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Alpha_Beta\"/>
    </mc:Choice>
  </mc:AlternateContent>
  <xr:revisionPtr revIDLastSave="0" documentId="13_ncr:1_{7F7DA7C9-A63D-4B6B-A0CB-F73F28C23062}" xr6:coauthVersionLast="47" xr6:coauthVersionMax="47" xr10:uidLastSave="{00000000-0000-0000-0000-000000000000}"/>
  <bookViews>
    <workbookView xWindow="-120" yWindow="-120" windowWidth="29040" windowHeight="1599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Propu!$A$317:$A$324</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 i="6" l="1" a="1"/>
  <c r="C15" i="6" s="1"/>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P14" i="6"/>
  <c r="E11" i="7" s="1"/>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I38" i="7" l="1"/>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O21" i="6"/>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T3" i="4"/>
  <c r="Y4" i="4"/>
  <c r="Q3"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D3" i="4"/>
  <c r="K3" i="4"/>
  <c r="J3" i="4"/>
  <c r="I4" i="4"/>
  <c r="C4" i="4"/>
  <c r="C3" i="4"/>
  <c r="H2" i="4"/>
  <c r="P2" i="4"/>
  <c r="U3" i="4"/>
  <c r="X2" i="4"/>
  <c r="L3" i="4"/>
  <c r="L2" i="4"/>
  <c r="V2" i="4"/>
  <c r="G4" i="4"/>
  <c r="T4" i="4"/>
  <c r="F4" i="4"/>
  <c r="B4" i="4"/>
  <c r="R2" i="4"/>
  <c r="X4" i="4"/>
  <c r="Z2" i="4"/>
  <c r="T2" i="4"/>
  <c r="N2" i="4"/>
  <c r="M4" i="4"/>
  <c r="V4" i="4"/>
  <c r="W4" i="4"/>
  <c r="N4" i="4"/>
  <c r="Y3" i="4"/>
  <c r="L4" i="4"/>
  <c r="F3" i="4"/>
  <c r="O4" i="4"/>
  <c r="B3" i="4"/>
  <c r="U4" i="4"/>
  <c r="X3" i="4"/>
  <c r="J4" i="4"/>
  <c r="W3" i="4"/>
  <c r="M3" i="4"/>
  <c r="H4" i="4"/>
  <c r="N3" i="4"/>
  <c r="G3" i="4"/>
  <c r="S4" i="4"/>
  <c r="S3" i="4"/>
  <c r="I3" i="4"/>
  <c r="E4" i="4"/>
  <c r="H3" i="4"/>
  <c r="J2" i="4"/>
  <c r="V3" i="4"/>
  <c r="Q4" i="4"/>
  <c r="O3" i="4"/>
  <c r="D4" i="4"/>
  <c r="P3" i="4"/>
  <c r="E3" i="4"/>
  <c r="R3" i="4"/>
  <c r="R4" i="4"/>
  <c r="K4" i="4"/>
  <c r="P4" i="4"/>
  <c r="D166" i="6" l="1"/>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C11" i="1" l="1"/>
  <c r="S4" i="3" s="1"/>
  <c r="T4" i="3" s="1"/>
  <c r="U4" i="3" s="1"/>
  <c r="P15" i="6"/>
  <c r="M15" i="6" s="1"/>
  <c r="J42" i="7" s="1"/>
  <c r="E35" i="6"/>
  <c r="O22" i="6" s="1"/>
  <c r="O19" i="6" s="1"/>
  <c r="M22" i="6"/>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C153" i="6"/>
  <c r="H31" i="6" l="1"/>
  <c r="H28" i="6"/>
  <c r="H46" i="7" s="1"/>
  <c r="N15" i="6"/>
  <c r="I42" i="7" s="1"/>
  <c r="H42" i="7"/>
  <c r="E108" i="7"/>
  <c r="D23" i="7"/>
  <c r="M19" i="6"/>
  <c r="AA6" i="3"/>
  <c r="H48" i="8"/>
  <c r="P29" i="1"/>
  <c r="A7" i="3"/>
  <c r="B7" i="3" s="1"/>
  <c r="P7" i="3" s="1"/>
  <c r="Q7" i="3" s="1"/>
  <c r="AD6" i="3"/>
  <c r="P6" i="3"/>
  <c r="Q6" i="3" s="1"/>
  <c r="H71" i="7"/>
  <c r="Z6" i="3"/>
  <c r="H68" i="7"/>
  <c r="H16" i="7"/>
  <c r="P28" i="1"/>
  <c r="H50" i="8"/>
  <c r="C149" i="6"/>
  <c r="H46" i="8"/>
  <c r="D152" i="6"/>
  <c r="H13" i="7"/>
  <c r="H58" i="8"/>
  <c r="R194" i="4"/>
  <c r="P196" i="4"/>
  <c r="F108" i="7"/>
  <c r="D213" i="4"/>
  <c r="F213" i="4" s="1"/>
  <c r="B191" i="6"/>
  <c r="C194" i="6"/>
  <c r="H61" i="8"/>
  <c r="D223" i="4"/>
  <c r="F223" i="4" s="1"/>
  <c r="X111" i="4"/>
  <c r="W111" i="4"/>
  <c r="D108" i="4" s="1"/>
  <c r="D188" i="4"/>
  <c r="F188" i="4" s="1"/>
  <c r="D130" i="6"/>
  <c r="E130" i="6" s="1"/>
  <c r="E129" i="6"/>
  <c r="S28" i="6"/>
  <c r="C193" i="6"/>
  <c r="X236" i="4"/>
  <c r="W236" i="4"/>
  <c r="W201" i="4"/>
  <c r="X201" i="4"/>
  <c r="D198" i="4" s="1"/>
  <c r="D2" i="4"/>
  <c r="C190" i="6" l="1"/>
  <c r="H29" i="6"/>
  <c r="H47" i="7" s="1"/>
  <c r="C155" i="6"/>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B190" i="6"/>
  <c r="S194" i="4"/>
  <c r="Q196" i="4"/>
  <c r="F108" i="4"/>
  <c r="D233" i="4"/>
  <c r="F233" i="4" s="1"/>
  <c r="F2" i="4"/>
  <c r="H30" i="6" l="1"/>
  <c r="H48" i="7" s="1"/>
  <c r="B194" i="6"/>
  <c r="H14" i="7"/>
  <c r="S29" i="6"/>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M7" i="3" s="1"/>
  <c r="N7" i="3" s="1"/>
  <c r="S14" i="3"/>
  <c r="T13" i="3"/>
  <c r="AA18" i="3"/>
  <c r="P18" i="3"/>
  <c r="Q18" i="3" s="1"/>
  <c r="R18" i="3" s="1"/>
  <c r="AC18" i="3"/>
  <c r="A19" i="3"/>
  <c r="B19" i="3" s="1"/>
  <c r="AD18" i="3"/>
  <c r="Z18" i="3"/>
  <c r="J7" i="3" l="1"/>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AD184" i="3" l="1"/>
  <c r="Z184" i="3"/>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AD433" i="3"/>
  <c r="U433" i="3"/>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U475" i="3" s="1"/>
  <c r="AD475" i="3"/>
  <c r="Y474" i="3"/>
  <c r="T476" i="3"/>
  <c r="AG476" i="3" l="1"/>
  <c r="D476" i="3"/>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C479" i="3"/>
  <c r="AA479" i="3"/>
  <c r="Z479" i="3"/>
  <c r="T479" i="3" l="1"/>
  <c r="L478" i="3"/>
  <c r="U478" i="3" l="1"/>
  <c r="E479" i="3" s="1"/>
  <c r="H479" i="3" s="1"/>
  <c r="AH479" i="3"/>
  <c r="AG479" i="3"/>
  <c r="Y477" i="3"/>
  <c r="D479" i="3" l="1"/>
  <c r="G479" i="3" s="1"/>
  <c r="K479" i="3"/>
  <c r="AE479" i="3" s="1"/>
  <c r="F479" i="3" l="1"/>
  <c r="I479" i="3"/>
  <c r="J479" i="3"/>
  <c r="AD479" i="3" s="1"/>
  <c r="M479" i="3"/>
  <c r="N479" i="3" s="1"/>
  <c r="V479" i="3"/>
  <c r="A480" i="3"/>
  <c r="B480" i="3" s="1"/>
  <c r="W479" i="3" l="1"/>
  <c r="AA480" i="3"/>
  <c r="P480" i="3"/>
  <c r="Q480" i="3" s="1"/>
  <c r="R480" i="3" s="1"/>
  <c r="S480" i="3" s="1"/>
  <c r="AC480" i="3"/>
  <c r="Z480" i="3"/>
  <c r="L479" i="3"/>
  <c r="U479" i="3" l="1"/>
  <c r="Y478" i="3"/>
  <c r="T480" i="3"/>
  <c r="E480" i="3" l="1"/>
  <c r="H480" i="3" s="1"/>
  <c r="K480" i="3" s="1"/>
  <c r="AE480" i="3" s="1"/>
  <c r="AH480" i="3"/>
  <c r="AG480" i="3"/>
  <c r="D480" i="3"/>
  <c r="V480" i="3" l="1"/>
  <c r="A481" i="3"/>
  <c r="B481" i="3" s="1"/>
  <c r="F480" i="3"/>
  <c r="G480" i="3"/>
  <c r="I480" i="3" l="1"/>
  <c r="W480" i="3" s="1"/>
  <c r="J480" i="3"/>
  <c r="AD480" i="3" s="1"/>
  <c r="M480" i="3"/>
  <c r="N480" i="3" s="1"/>
  <c r="P481" i="3"/>
  <c r="Q481" i="3" s="1"/>
  <c r="R481" i="3" s="1"/>
  <c r="S481" i="3" s="1"/>
  <c r="AC481" i="3"/>
  <c r="AA481" i="3"/>
  <c r="Z481" i="3"/>
  <c r="T481" i="3" l="1"/>
  <c r="L480" i="3"/>
  <c r="U480" i="3" l="1"/>
  <c r="D481" i="3" s="1"/>
  <c r="AG481" i="3"/>
  <c r="AH481" i="3"/>
  <c r="Y479" i="3"/>
  <c r="G481" i="3" l="1"/>
  <c r="E481" i="3"/>
  <c r="H481" i="3" s="1"/>
  <c r="K481" i="3" l="1"/>
  <c r="AE481" i="3" s="1"/>
  <c r="I481" i="3"/>
  <c r="J481" i="3"/>
  <c r="AD481" i="3" s="1"/>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A483" i="3"/>
  <c r="T483" i="3" l="1"/>
  <c r="E483" i="3" s="1"/>
  <c r="H483" i="3" s="1"/>
  <c r="AG483" i="3" l="1"/>
  <c r="AH483" i="3"/>
  <c r="D483" i="3"/>
  <c r="G483" i="3" s="1"/>
  <c r="K483" i="3"/>
  <c r="AE483" i="3" s="1"/>
  <c r="F483" i="3" l="1"/>
  <c r="I483" i="3"/>
  <c r="J483" i="3"/>
  <c r="AD483" i="3" s="1"/>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A485" i="3"/>
  <c r="AC485" i="3"/>
  <c r="Z485" i="3"/>
  <c r="U484" i="3" l="1"/>
  <c r="Y483" i="3"/>
  <c r="T485" i="3"/>
  <c r="D485" i="3" l="1"/>
  <c r="G485" i="3" s="1"/>
  <c r="AG485" i="3"/>
  <c r="AH485" i="3"/>
  <c r="E485" i="3"/>
  <c r="H485" i="3" s="1"/>
  <c r="K485" i="3" s="1"/>
  <c r="AE485" i="3" s="1"/>
  <c r="F485" i="3" l="1"/>
  <c r="I485" i="3"/>
  <c r="J485" i="3"/>
  <c r="AD485" i="3" s="1"/>
  <c r="M485" i="3"/>
  <c r="N485" i="3" s="1"/>
  <c r="V485" i="3"/>
  <c r="A486" i="3"/>
  <c r="B486" i="3" s="1"/>
  <c r="W485" i="3" l="1"/>
  <c r="L485" i="3"/>
  <c r="AA486" i="3"/>
  <c r="P486" i="3"/>
  <c r="Q486" i="3" s="1"/>
  <c r="R486" i="3" s="1"/>
  <c r="S486" i="3" s="1"/>
  <c r="AC486" i="3"/>
  <c r="Z486" i="3"/>
  <c r="T486" i="3" l="1"/>
  <c r="AH486" i="3" s="1"/>
  <c r="U485" i="3"/>
  <c r="Y484" i="3"/>
  <c r="D486" i="3" l="1"/>
  <c r="G486" i="3" s="1"/>
  <c r="AG486" i="3"/>
  <c r="E486" i="3"/>
  <c r="H486" i="3" s="1"/>
  <c r="K486" i="3" s="1"/>
  <c r="AE486" i="3" s="1"/>
  <c r="F486" i="3" l="1"/>
  <c r="V486" i="3"/>
  <c r="A487" i="3"/>
  <c r="B487" i="3" s="1"/>
  <c r="I486" i="3"/>
  <c r="J486" i="3"/>
  <c r="AD486" i="3" s="1"/>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Z490" i="3"/>
  <c r="AC490" i="3"/>
  <c r="P490" i="3"/>
  <c r="Q490" i="3" s="1"/>
  <c r="R490" i="3" s="1"/>
  <c r="S490" i="3" s="1"/>
  <c r="AA490" i="3"/>
  <c r="L489" i="3" l="1"/>
  <c r="U489" i="3" s="1"/>
  <c r="AD489" i="3"/>
  <c r="T490" i="3"/>
  <c r="Y488" i="3" l="1"/>
  <c r="AH490" i="3"/>
  <c r="E490" i="3"/>
  <c r="H490" i="3" s="1"/>
  <c r="K490" i="3" s="1"/>
  <c r="AE490" i="3" s="1"/>
  <c r="D490" i="3"/>
  <c r="AG490" i="3"/>
  <c r="V490" i="3" l="1"/>
  <c r="A491" i="3"/>
  <c r="B491" i="3" s="1"/>
  <c r="F490" i="3"/>
  <c r="G490" i="3"/>
  <c r="I490" i="3" l="1"/>
  <c r="W490" i="3" s="1"/>
  <c r="J490" i="3"/>
  <c r="AD490" i="3" s="1"/>
  <c r="M490" i="3"/>
  <c r="N490" i="3" s="1"/>
  <c r="P491" i="3"/>
  <c r="Q491" i="3" s="1"/>
  <c r="R491" i="3" s="1"/>
  <c r="S491" i="3" s="1"/>
  <c r="Z491" i="3"/>
  <c r="AC491" i="3"/>
  <c r="AA491" i="3"/>
  <c r="T491" i="3" l="1"/>
  <c r="L490" i="3"/>
  <c r="AH491" i="3" l="1"/>
  <c r="U490" i="3"/>
  <c r="D491" i="3" s="1"/>
  <c r="AG491" i="3"/>
  <c r="Y489" i="3"/>
  <c r="E491" i="3" l="1"/>
  <c r="H491" i="3" s="1"/>
  <c r="K491" i="3" s="1"/>
  <c r="AE491" i="3" s="1"/>
  <c r="G491" i="3"/>
  <c r="F491" i="3" l="1"/>
  <c r="I491" i="3"/>
  <c r="J491" i="3"/>
  <c r="AD491" i="3" s="1"/>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T493" i="3" l="1"/>
  <c r="AH493" i="3" s="1"/>
  <c r="AG493" i="3" l="1"/>
  <c r="E493" i="3"/>
  <c r="H493" i="3" s="1"/>
  <c r="K493" i="3" s="1"/>
  <c r="AE493" i="3" s="1"/>
  <c r="D493" i="3"/>
  <c r="F493" i="3" l="1"/>
  <c r="G493" i="3"/>
  <c r="J493" i="3" s="1"/>
  <c r="AD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Z525" i="3"/>
  <c r="P525" i="3"/>
  <c r="Q525" i="3" s="1"/>
  <c r="R525" i="3" s="1"/>
  <c r="S525" i="3" s="1"/>
  <c r="T525" i="3" l="1"/>
  <c r="AH525" i="3" s="1"/>
  <c r="U524" i="3"/>
  <c r="Y523" i="3"/>
  <c r="AG525" i="3" l="1"/>
  <c r="D525" i="3"/>
  <c r="E525" i="3"/>
  <c r="H525" i="3" s="1"/>
  <c r="F525" i="3" l="1"/>
  <c r="G525" i="3"/>
  <c r="K525" i="3"/>
  <c r="AE525" i="3" s="1"/>
  <c r="I525" i="3" l="1"/>
  <c r="J525" i="3"/>
  <c r="AD525" i="3" s="1"/>
  <c r="M525" i="3"/>
  <c r="N525" i="3" s="1"/>
  <c r="V525" i="3"/>
  <c r="A526" i="3"/>
  <c r="B526" i="3" s="1"/>
  <c r="L525" i="3" l="1"/>
  <c r="W525" i="3"/>
  <c r="AA526" i="3"/>
  <c r="P526" i="3"/>
  <c r="Q526" i="3" s="1"/>
  <c r="R526" i="3" s="1"/>
  <c r="S526" i="3" s="1"/>
  <c r="Z526" i="3"/>
  <c r="AC526" i="3"/>
  <c r="T526" i="3" l="1"/>
  <c r="U525" i="3"/>
  <c r="Y524" i="3"/>
  <c r="D526" i="3" l="1"/>
  <c r="G526" i="3" s="1"/>
  <c r="AH526" i="3"/>
  <c r="E526" i="3"/>
  <c r="H526" i="3" s="1"/>
  <c r="K526" i="3" s="1"/>
  <c r="AE526" i="3" s="1"/>
  <c r="AG526" i="3"/>
  <c r="F526" i="3" l="1"/>
  <c r="V526" i="3"/>
  <c r="A527" i="3"/>
  <c r="B527" i="3" s="1"/>
  <c r="I526" i="3"/>
  <c r="J526" i="3"/>
  <c r="AD526" i="3" s="1"/>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P529" i="3"/>
  <c r="Q529" i="3" s="1"/>
  <c r="R529" i="3" s="1"/>
  <c r="S529" i="3" s="1"/>
  <c r="AA529" i="3"/>
  <c r="L528" i="3" l="1"/>
  <c r="Y527" i="3" s="1"/>
  <c r="AD528" i="3"/>
  <c r="T529" i="3"/>
  <c r="AG529" i="3" l="1"/>
  <c r="U528" i="3"/>
  <c r="D529" i="3" s="1"/>
  <c r="G529" i="3" s="1"/>
  <c r="AH529" i="3"/>
  <c r="E529" i="3" l="1"/>
  <c r="H529" i="3" s="1"/>
  <c r="K529" i="3" s="1"/>
  <c r="AE529" i="3" s="1"/>
  <c r="J529" i="3"/>
  <c r="AD529" i="3" s="1"/>
  <c r="A530" i="3" l="1"/>
  <c r="B530" i="3" s="1"/>
  <c r="P530" i="3" s="1"/>
  <c r="Q530" i="3" s="1"/>
  <c r="R530" i="3" s="1"/>
  <c r="S530" i="3" s="1"/>
  <c r="V529" i="3"/>
  <c r="M529" i="3"/>
  <c r="N529" i="3" s="1"/>
  <c r="I529" i="3"/>
  <c r="F529" i="3"/>
  <c r="L529" i="3"/>
  <c r="AC530" i="3" l="1"/>
  <c r="Z530" i="3"/>
  <c r="AA530" i="3"/>
  <c r="W529" i="3"/>
  <c r="T530" i="3"/>
  <c r="U529" i="3"/>
  <c r="Y528" i="3"/>
  <c r="AG530" i="3" l="1"/>
  <c r="D530" i="3"/>
  <c r="G530" i="3" s="1"/>
  <c r="AH530" i="3"/>
  <c r="E530" i="3"/>
  <c r="H530" i="3" s="1"/>
  <c r="F530" i="3" l="1"/>
  <c r="I530" i="3"/>
  <c r="J530" i="3"/>
  <c r="AD530" i="3" s="1"/>
  <c r="M530" i="3"/>
  <c r="N530" i="3" s="1"/>
  <c r="K530" i="3"/>
  <c r="AE530" i="3" s="1"/>
  <c r="V530" i="3" l="1"/>
  <c r="W530" i="3" s="1"/>
  <c r="A531" i="3"/>
  <c r="B531" i="3" s="1"/>
  <c r="L530" i="3"/>
  <c r="U530" i="3" l="1"/>
  <c r="Y529" i="3"/>
  <c r="Z531" i="3"/>
  <c r="AC531" i="3"/>
  <c r="AA531" i="3"/>
  <c r="P531" i="3"/>
  <c r="Q531" i="3" s="1"/>
  <c r="R531" i="3" s="1"/>
  <c r="S531" i="3" s="1"/>
  <c r="T531" i="3" l="1"/>
  <c r="AG531" i="3" s="1"/>
  <c r="AH531" i="3" l="1"/>
  <c r="D531" i="3"/>
  <c r="E531" i="3"/>
  <c r="H531" i="3" s="1"/>
  <c r="K531" i="3" l="1"/>
  <c r="AE531" i="3" s="1"/>
  <c r="F531" i="3"/>
  <c r="G531" i="3"/>
  <c r="I531" i="3" l="1"/>
  <c r="J531" i="3"/>
  <c r="AD531" i="3" s="1"/>
  <c r="M531" i="3"/>
  <c r="N531" i="3" s="1"/>
  <c r="V531" i="3"/>
  <c r="A532" i="3"/>
  <c r="B532" i="3" s="1"/>
  <c r="W531" i="3" l="1"/>
  <c r="L531"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AD532" i="3" s="1"/>
  <c r="M532" i="3"/>
  <c r="N532" i="3" s="1"/>
  <c r="W532" i="3" l="1"/>
  <c r="L532" i="3"/>
  <c r="P533" i="3"/>
  <c r="Q533" i="3" s="1"/>
  <c r="R533" i="3" s="1"/>
  <c r="S533" i="3" s="1"/>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AD533" i="3" s="1"/>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s="1"/>
  <c r="Y562" i="3" l="1"/>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A625" i="3"/>
  <c r="Z625" i="3"/>
  <c r="AC625" i="3"/>
  <c r="U624" i="3" l="1"/>
  <c r="Y623" i="3"/>
  <c r="T625" i="3"/>
  <c r="D625" i="3" l="1"/>
  <c r="G625" i="3" s="1"/>
  <c r="E625" i="3"/>
  <c r="H625" i="3" s="1"/>
  <c r="AH625" i="3"/>
  <c r="AG625" i="3"/>
  <c r="F625" i="3" l="1"/>
  <c r="I625" i="3"/>
  <c r="J625" i="3"/>
  <c r="AD625" i="3" s="1"/>
  <c r="M625" i="3"/>
  <c r="N625" i="3" s="1"/>
  <c r="K625" i="3"/>
  <c r="AE625" i="3" s="1"/>
  <c r="V625" i="3" l="1"/>
  <c r="W625" i="3" s="1"/>
  <c r="A626" i="3"/>
  <c r="B626" i="3" s="1"/>
  <c r="L625" i="3"/>
  <c r="U625" i="3" l="1"/>
  <c r="Y624"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AD626" i="3" s="1"/>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Z629" i="3"/>
  <c r="T629" i="3" l="1"/>
  <c r="U628" i="3"/>
  <c r="Y627" i="3"/>
  <c r="E629" i="3" l="1"/>
  <c r="H629" i="3" s="1"/>
  <c r="K629" i="3" s="1"/>
  <c r="AE629" i="3" s="1"/>
  <c r="AH629" i="3"/>
  <c r="AG629" i="3"/>
  <c r="D629" i="3"/>
  <c r="F629" i="3" l="1"/>
  <c r="G629" i="3"/>
  <c r="V629" i="3"/>
  <c r="A630" i="3"/>
  <c r="B630" i="3" s="1"/>
  <c r="I629" i="3" l="1"/>
  <c r="W629" i="3" s="1"/>
  <c r="J629" i="3"/>
  <c r="AD629" i="3" s="1"/>
  <c r="M629" i="3"/>
  <c r="N629" i="3" s="1"/>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AD630" i="3" s="1"/>
  <c r="M630" i="3"/>
  <c r="N630" i="3" s="1"/>
  <c r="V630" i="3" l="1"/>
  <c r="W630" i="3" s="1"/>
  <c r="A631" i="3"/>
  <c r="B631" i="3" s="1"/>
  <c r="L630" i="3"/>
  <c r="U630" i="3" l="1"/>
  <c r="Y629" i="3"/>
  <c r="P631" i="3"/>
  <c r="Q631" i="3" s="1"/>
  <c r="R631" i="3" s="1"/>
  <c r="S631" i="3" s="1"/>
  <c r="AC631" i="3"/>
  <c r="AA631" i="3"/>
  <c r="Z631" i="3"/>
  <c r="T631" i="3" l="1"/>
  <c r="D631" i="3" s="1"/>
  <c r="AH631" i="3" l="1"/>
  <c r="E631" i="3"/>
  <c r="H631" i="3" s="1"/>
  <c r="K631" i="3" s="1"/>
  <c r="AE631" i="3" s="1"/>
  <c r="G631" i="3"/>
  <c r="AG631" i="3"/>
  <c r="F631" i="3" l="1"/>
  <c r="I631" i="3"/>
  <c r="J631" i="3"/>
  <c r="AD631" i="3" s="1"/>
  <c r="M631" i="3"/>
  <c r="N631" i="3" s="1"/>
  <c r="V631" i="3"/>
  <c r="A632" i="3"/>
  <c r="B632" i="3" s="1"/>
  <c r="L631" i="3" l="1"/>
  <c r="W631" i="3"/>
  <c r="AC632" i="3"/>
  <c r="AA632" i="3"/>
  <c r="Z632" i="3"/>
  <c r="P632" i="3"/>
  <c r="Q632" i="3" s="1"/>
  <c r="R632" i="3" s="1"/>
  <c r="S632" i="3" s="1"/>
  <c r="T632" i="3" l="1"/>
  <c r="U631" i="3"/>
  <c r="Y630" i="3"/>
  <c r="D632" i="3" l="1"/>
  <c r="G632" i="3" s="1"/>
  <c r="E632" i="3"/>
  <c r="H632" i="3" s="1"/>
  <c r="K632" i="3" s="1"/>
  <c r="AE632" i="3" s="1"/>
  <c r="AG632" i="3"/>
  <c r="AH632" i="3"/>
  <c r="F632" i="3" l="1"/>
  <c r="I632" i="3"/>
  <c r="J632" i="3"/>
  <c r="AD632" i="3" s="1"/>
  <c r="M632" i="3"/>
  <c r="N632" i="3" s="1"/>
  <c r="V632" i="3"/>
  <c r="A633" i="3"/>
  <c r="B633" i="3" s="1"/>
  <c r="W632" i="3" l="1"/>
  <c r="L632"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AD633" i="3" s="1"/>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T705" i="3" l="1"/>
  <c r="AH705" i="3" s="1"/>
  <c r="AG705" i="3" l="1"/>
  <c r="D705" i="3"/>
  <c r="E705" i="3"/>
  <c r="H705" i="3" s="1"/>
  <c r="F705" i="3" l="1"/>
  <c r="G705" i="3"/>
  <c r="K705" i="3"/>
  <c r="AE705" i="3" s="1"/>
  <c r="I705" i="3" l="1"/>
  <c r="J705" i="3"/>
  <c r="AD705" i="3" s="1"/>
  <c r="M705" i="3"/>
  <c r="N705" i="3" s="1"/>
  <c r="V705" i="3"/>
  <c r="A706" i="3"/>
  <c r="B706" i="3" s="1"/>
  <c r="W705" i="3" l="1"/>
  <c r="L705" i="3"/>
  <c r="P706" i="3"/>
  <c r="Q706" i="3" s="1"/>
  <c r="R706" i="3" s="1"/>
  <c r="S706" i="3" s="1"/>
  <c r="AA706" i="3"/>
  <c r="AC706" i="3"/>
  <c r="Z706" i="3"/>
  <c r="U705" i="3" l="1"/>
  <c r="Y704" i="3"/>
  <c r="T706" i="3"/>
  <c r="AH706" i="3" s="1"/>
  <c r="E706" i="3" l="1"/>
  <c r="H706" i="3" s="1"/>
  <c r="D706" i="3"/>
  <c r="AG706" i="3"/>
  <c r="K706" i="3" l="1"/>
  <c r="AE706" i="3" s="1"/>
  <c r="F706" i="3"/>
  <c r="G706" i="3"/>
  <c r="I706" i="3" l="1"/>
  <c r="J706" i="3"/>
  <c r="AD706" i="3" s="1"/>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AD709" i="3" s="1"/>
  <c r="M709" i="3"/>
  <c r="N709" i="3" s="1"/>
  <c r="W709" i="3" l="1"/>
  <c r="L709" i="3"/>
  <c r="AC710" i="3"/>
  <c r="Z710" i="3"/>
  <c r="AA710" i="3"/>
  <c r="P710" i="3"/>
  <c r="Q710" i="3" s="1"/>
  <c r="R710" i="3" s="1"/>
  <c r="S710" i="3" s="1"/>
  <c r="U709" i="3" l="1"/>
  <c r="Y708" i="3"/>
  <c r="T710" i="3"/>
  <c r="AH710" i="3" s="1"/>
  <c r="D710" i="3" l="1"/>
  <c r="E710" i="3"/>
  <c r="H710" i="3" s="1"/>
  <c r="AG710" i="3"/>
  <c r="F710" i="3" l="1"/>
  <c r="G710" i="3"/>
  <c r="K710" i="3"/>
  <c r="AE710" i="3" s="1"/>
  <c r="I710" i="3" l="1"/>
  <c r="J710" i="3"/>
  <c r="AD710" i="3" s="1"/>
  <c r="M710" i="3"/>
  <c r="N710" i="3" s="1"/>
  <c r="V710" i="3"/>
  <c r="A711" i="3"/>
  <c r="B711" i="3" s="1"/>
  <c r="W710" i="3" l="1"/>
  <c r="L710" i="3"/>
  <c r="AA711" i="3"/>
  <c r="AC711" i="3"/>
  <c r="Z711" i="3"/>
  <c r="P711" i="3"/>
  <c r="Q711" i="3" s="1"/>
  <c r="R711" i="3" s="1"/>
  <c r="S711" i="3" s="1"/>
  <c r="T711" i="3" l="1"/>
  <c r="U710" i="3"/>
  <c r="Y709" i="3"/>
  <c r="D711" i="3" l="1"/>
  <c r="G711" i="3" s="1"/>
  <c r="E711" i="3"/>
  <c r="H711" i="3" s="1"/>
  <c r="AH711" i="3"/>
  <c r="AG711" i="3"/>
  <c r="F711" i="3" l="1"/>
  <c r="K711" i="3"/>
  <c r="AE711" i="3" s="1"/>
  <c r="I711" i="3"/>
  <c r="J711" i="3"/>
  <c r="AD711" i="3" s="1"/>
  <c r="M711" i="3"/>
  <c r="N711" i="3" s="1"/>
  <c r="L711" i="3" l="1"/>
  <c r="V711" i="3"/>
  <c r="W711" i="3" s="1"/>
  <c r="A712" i="3"/>
  <c r="B712" i="3" s="1"/>
  <c r="AC712" i="3" l="1"/>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AD712" i="3" s="1"/>
  <c r="M712" i="3"/>
  <c r="N712" i="3" s="1"/>
  <c r="W712" i="3" l="1"/>
  <c r="L712" i="3"/>
  <c r="Z713" i="3"/>
  <c r="P713" i="3"/>
  <c r="Q713" i="3" s="1"/>
  <c r="R713" i="3" s="1"/>
  <c r="S713" i="3" s="1"/>
  <c r="AC713" i="3"/>
  <c r="AA713" i="3"/>
  <c r="T713" i="3" l="1"/>
  <c r="AH713" i="3" s="1"/>
  <c r="U712" i="3"/>
  <c r="Y711" i="3"/>
  <c r="D713" i="3" l="1"/>
  <c r="AG713" i="3"/>
  <c r="E713" i="3"/>
  <c r="H713" i="3" s="1"/>
  <c r="F713" i="3" l="1"/>
  <c r="G713" i="3"/>
  <c r="M713" i="3" s="1"/>
  <c r="N713" i="3" s="1"/>
  <c r="K713" i="3"/>
  <c r="AE713" i="3" s="1"/>
  <c r="I713" i="3" l="1"/>
  <c r="J713" i="3"/>
  <c r="V713" i="3"/>
  <c r="A714" i="3"/>
  <c r="B714" i="3" s="1"/>
  <c r="L713" i="3" l="1"/>
  <c r="U713" i="3" s="1"/>
  <c r="AD713" i="3"/>
  <c r="W713" i="3"/>
  <c r="AA714" i="3"/>
  <c r="P714" i="3"/>
  <c r="Q714" i="3" s="1"/>
  <c r="R714" i="3" s="1"/>
  <c r="S714" i="3" s="1"/>
  <c r="Z714" i="3"/>
  <c r="AC714" i="3"/>
  <c r="Y712" i="3" l="1"/>
  <c r="T714" i="3"/>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U714" i="3" l="1"/>
  <c r="Y713" i="3"/>
  <c r="T715" i="3"/>
  <c r="AG715" i="3" s="1"/>
  <c r="AH715" i="3" l="1"/>
  <c r="D715" i="3"/>
  <c r="G715" i="3" s="1"/>
  <c r="E715" i="3"/>
  <c r="H715" i="3" s="1"/>
  <c r="F715" i="3" l="1"/>
  <c r="I715" i="3"/>
  <c r="J715" i="3"/>
  <c r="AD715" i="3" s="1"/>
  <c r="M715" i="3"/>
  <c r="N715" i="3" s="1"/>
  <c r="K715" i="3"/>
  <c r="AE715" i="3" s="1"/>
  <c r="V715" i="3" l="1"/>
  <c r="W715" i="3" s="1"/>
  <c r="A716" i="3"/>
  <c r="B716" i="3" s="1"/>
  <c r="L715" i="3"/>
  <c r="U715" i="3" l="1"/>
  <c r="Y714" i="3"/>
  <c r="AC716" i="3"/>
  <c r="Z716" i="3"/>
  <c r="P716" i="3"/>
  <c r="Q716" i="3" s="1"/>
  <c r="R716" i="3" s="1"/>
  <c r="S716" i="3" s="1"/>
  <c r="AA716" i="3"/>
  <c r="T716" i="3" l="1"/>
  <c r="D716" i="3" s="1"/>
  <c r="E716" i="3" l="1"/>
  <c r="H716" i="3" s="1"/>
  <c r="K716" i="3" s="1"/>
  <c r="AE716" i="3" s="1"/>
  <c r="AH716" i="3"/>
  <c r="AG716" i="3"/>
  <c r="G716" i="3"/>
  <c r="F716" i="3" l="1"/>
  <c r="I716" i="3"/>
  <c r="J716" i="3"/>
  <c r="AD716" i="3" s="1"/>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Z739" i="3"/>
  <c r="T739" i="3" l="1"/>
  <c r="L738" i="3"/>
  <c r="AH739" i="3" l="1"/>
  <c r="U738" i="3"/>
  <c r="E739" i="3" s="1"/>
  <c r="H739" i="3" s="1"/>
  <c r="AG739" i="3"/>
  <c r="Y737" i="3"/>
  <c r="D739" i="3" l="1"/>
  <c r="G739" i="3" s="1"/>
  <c r="K739" i="3"/>
  <c r="AE739" i="3" s="1"/>
  <c r="F739" i="3" l="1"/>
  <c r="I739" i="3"/>
  <c r="J739" i="3"/>
  <c r="AD739" i="3" s="1"/>
  <c r="M739" i="3"/>
  <c r="N739" i="3" s="1"/>
  <c r="V739" i="3"/>
  <c r="A740" i="3"/>
  <c r="B740" i="3" s="1"/>
  <c r="W739" i="3" l="1"/>
  <c r="L739" i="3"/>
  <c r="P740" i="3"/>
  <c r="Q740" i="3" s="1"/>
  <c r="R740" i="3" s="1"/>
  <c r="S740" i="3" s="1"/>
  <c r="Z740" i="3"/>
  <c r="AC740" i="3"/>
  <c r="AA740" i="3"/>
  <c r="U739" i="3" l="1"/>
  <c r="Y738" i="3"/>
  <c r="T740" i="3"/>
  <c r="E740" i="3" l="1"/>
  <c r="H740" i="3" s="1"/>
  <c r="K740" i="3" s="1"/>
  <c r="AE740" i="3" s="1"/>
  <c r="D740" i="3"/>
  <c r="G740" i="3" s="1"/>
  <c r="AH740" i="3"/>
  <c r="AG740" i="3"/>
  <c r="F740" i="3" l="1"/>
  <c r="I740" i="3"/>
  <c r="J740" i="3"/>
  <c r="AD740" i="3" s="1"/>
  <c r="M740" i="3"/>
  <c r="N740" i="3" s="1"/>
  <c r="V740" i="3"/>
  <c r="A741" i="3"/>
  <c r="B741" i="3" s="1"/>
  <c r="W740" i="3" l="1"/>
  <c r="L740" i="3"/>
  <c r="AA741" i="3"/>
  <c r="P741" i="3"/>
  <c r="Q741" i="3" s="1"/>
  <c r="R741" i="3" s="1"/>
  <c r="S741" i="3" s="1"/>
  <c r="Z741" i="3"/>
  <c r="AC741" i="3"/>
  <c r="T741" i="3" l="1"/>
  <c r="AG741" i="3" s="1"/>
  <c r="U740" i="3"/>
  <c r="Y739" i="3"/>
  <c r="E741" i="3" l="1"/>
  <c r="H741" i="3" s="1"/>
  <c r="D741" i="3"/>
  <c r="AH741" i="3"/>
  <c r="K741" i="3" l="1"/>
  <c r="AE741" i="3" s="1"/>
  <c r="F741" i="3"/>
  <c r="G741" i="3"/>
  <c r="V741" i="3" l="1"/>
  <c r="A742" i="3"/>
  <c r="B742" i="3" s="1"/>
  <c r="I741" i="3"/>
  <c r="J741" i="3"/>
  <c r="AD741" i="3" s="1"/>
  <c r="M741" i="3"/>
  <c r="N741" i="3" s="1"/>
  <c r="L741" i="3" l="1"/>
  <c r="W741" i="3"/>
  <c r="AC742" i="3"/>
  <c r="P742" i="3"/>
  <c r="Q742" i="3" s="1"/>
  <c r="R742" i="3" s="1"/>
  <c r="S742" i="3" s="1"/>
  <c r="Z742" i="3"/>
  <c r="AA742" i="3"/>
  <c r="U741" i="3" l="1"/>
  <c r="Y740" i="3"/>
  <c r="T742" i="3"/>
  <c r="AG742" i="3" s="1"/>
  <c r="E742" i="3" l="1"/>
  <c r="H742" i="3" s="1"/>
  <c r="K742" i="3" s="1"/>
  <c r="AE742" i="3" s="1"/>
  <c r="AH742" i="3"/>
  <c r="D742" i="3"/>
  <c r="F742" i="3" l="1"/>
  <c r="G742" i="3"/>
  <c r="V742" i="3"/>
  <c r="A743" i="3"/>
  <c r="B743" i="3" s="1"/>
  <c r="I742" i="3" l="1"/>
  <c r="W742" i="3" s="1"/>
  <c r="J742" i="3"/>
  <c r="AD742" i="3" s="1"/>
  <c r="M742" i="3"/>
  <c r="N742" i="3" s="1"/>
  <c r="Z743" i="3"/>
  <c r="AA743" i="3"/>
  <c r="P743" i="3"/>
  <c r="Q743" i="3" s="1"/>
  <c r="R743" i="3" s="1"/>
  <c r="S743" i="3" s="1"/>
  <c r="AC743" i="3"/>
  <c r="T743" i="3" l="1"/>
  <c r="L742" i="3"/>
  <c r="U742" i="3" l="1"/>
  <c r="E743" i="3" s="1"/>
  <c r="H743" i="3" s="1"/>
  <c r="AH743" i="3"/>
  <c r="AG743" i="3"/>
  <c r="Y741" i="3"/>
  <c r="D743" i="3" l="1"/>
  <c r="G743" i="3" s="1"/>
  <c r="K743" i="3"/>
  <c r="AE743" i="3" s="1"/>
  <c r="F743" i="3" l="1"/>
  <c r="I743" i="3"/>
  <c r="J743" i="3"/>
  <c r="AD743" i="3" s="1"/>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<sst xmlns="http://schemas.openxmlformats.org/spreadsheetml/2006/main" count="1735" uniqueCount="576">
  <si>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</si>
  <si>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</si>
  <si>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</si>
  <si>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</si>
  <si>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</si>
  <si>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</si>
  <si>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</si>
  <si>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</si>
  <si>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</si>
  <si>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</si>
  <si>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</si>
  <si>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</si>
  <si>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</si>
  <si>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</si>
  <si>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</si>
  <si>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</si>
  <si>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</si>
  <si>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</si>
  <si>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</si>
  <si>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</si>
  <si>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</si>
  <si>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</si>
  <si>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</si>
  <si>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</si>
  <si>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</si>
  <si>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</si>
  <si>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</si>
  <si>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</si>
  <si>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</si>
  <si>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</si>
  <si>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</si>
  <si>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</si>
  <si>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</si>
  <si>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</si>
  <si>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</si>
  <si>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</si>
  <si>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</si>
  <si>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</si>
  <si>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</si>
  <si>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</si>
  <si>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</si>
  <si>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</si>
  <si>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</si>
  <si>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</si>
  <si>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</si>
  <si>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</si>
  <si>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</si>
  <si>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</si>
  <si>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</si>
  <si>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</si>
  <si>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</si>
  <si>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</si>
  <si>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</si>
  <si>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</si>
  <si>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</si>
  <si>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</si>
  <si>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</si>
  <si>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</si>
  <si>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</si>
  <si>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</si>
  <si>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</si>
  <si>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</si>
  <si>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</si>
  <si>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</si>
  <si>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</si>
  <si>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</si>
  <si>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</si>
  <si>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</si>
  <si>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</si>
  <si>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</si>
  <si>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</si>
  <si>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</si>
  <si>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</si>
  <si>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</si>
  <si>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</si>
  <si>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</si>
  <si>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</si>
  <si>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</si>
  <si>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</si>
  <si>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</si>
  <si>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</si>
  <si>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</si>
  <si>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</si>
  <si>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</si>
  <si>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</si>
  <si>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</si>
  <si>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</si>
  <si>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</si>
  <si>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</si>
  <si>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</si>
  <si>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</si>
  <si>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</si>
  <si>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</si>
  <si>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</si>
  <si>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</si>
  <si>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</si>
  <si>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</si>
  <si>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</si>
  <si>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</si>
  <si>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</si>
  <si>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</si>
  <si>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</si>
  <si>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</si>
  <si>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</si>
  <si>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</si>
  <si>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</si>
  <si>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</si>
  <si>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</si>
  <si>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</si>
  <si>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</si>
  <si>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</si>
  <si>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</si>
  <si>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</si>
  <si>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</si>
  <si>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</si>
  <si>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</si>
  <si>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</si>
  <si>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</si>
  <si>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</si>
  <si>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</si>
  <si>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</si>
  <si>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</si>
  <si>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</si>
  <si>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</si>
  <si>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</si>
  <si>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</si>
  <si>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</si>
  <si>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</si>
  <si>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</si>
  <si>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</si>
  <si>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</si>
  <si>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</si>
  <si>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</si>
  <si>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</si>
  <si>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</si>
  <si>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</si>
  <si>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</si>
  <si>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</si>
  <si>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</si>
  <si>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</si>
  <si>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</si>
  <si>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</si>
  <si>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</si>
  <si>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</si>
  <si>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</si>
  <si>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</si>
  <si>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</si>
  <si>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</si>
  <si>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</si>
  <si>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</si>
  <si>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</si>
  <si>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</si>
  <si>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</si>
  <si>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</si>
  <si>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</si>
  <si>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</si>
  <si>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</si>
  <si>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</si>
  <si>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</si>
  <si>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</si>
  <si>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</si>
  <si>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</si>
  <si>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</si>
  <si>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</si>
  <si>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</si>
  <si>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</si>
  <si>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</si>
  <si>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</si>
  <si>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</si>
  <si>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</si>
  <si>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</si>
  <si>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</si>
  <si>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</si>
  <si>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</si>
  <si>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</si>
  <si>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</si>
  <si>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</si>
  <si>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</si>
  <si>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</si>
  <si>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</si>
  <si>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</si>
  <si>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</si>
  <si>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</si>
  <si>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</si>
  <si>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</si>
  <si>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</si>
  <si>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</si>
  <si>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</si>
  <si>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</si>
  <si>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</si>
  <si>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</si>
  <si>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</si>
  <si>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</si>
  <si>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</si>
  <si>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</si>
  <si>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</si>
  <si>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</si>
  <si>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</si>
  <si>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</si>
  <si>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</si>
  <si>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</si>
  <si>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</si>
  <si>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</si>
  <si>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</si>
  <si>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</si>
  <si>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</si>
  <si>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</si>
  <si>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</si>
  <si>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</si>
  <si>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</si>
  <si>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</si>
  <si>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</si>
  <si>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</si>
  <si>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</si>
  <si>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</si>
  <si>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</si>
  <si>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</si>
  <si>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</si>
  <si>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</si>
  <si>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</si>
  <si>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</si>
  <si>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</si>
  <si>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</si>
  <si>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</si>
  <si>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</si>
  <si>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</si>
  <si>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</si>
  <si>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</si>
  <si>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</si>
  <si>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</si>
  <si>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</si>
  <si>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</si>
  <si>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</si>
  <si>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</si>
  <si>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</si>
  <si>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</si>
  <si>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</si>
  <si>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</si>
  <si>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</si>
  <si>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</si>
  <si>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</si>
  <si>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</si>
  <si>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</si>
  <si>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</si>
  <si>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</si>
  <si>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</si>
  <si>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</si>
  <si>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</si>
  <si>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</si>
  <si>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</si>
  <si>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</si>
  <si>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</si>
  <si>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</si>
  <si>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</si>
  <si>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</si>
  <si>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</si>
  <si>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</si>
  <si>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</si>
  <si>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</si>
  <si>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</si>
  <si>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</si>
  <si>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</si>
  <si>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</si>
  <si>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</si>
  <si>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</si>
  <si>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</si>
  <si>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</si>
  <si>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</si>
  <si>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</si>
  <si>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</si>
  <si>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</si>
  <si>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</si>
  <si>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</si>
  <si>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</si>
  <si>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</si>
  <si>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</si>
  <si>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</si>
  <si>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</si>
  <si>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</si>
  <si>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</si>
  <si>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</si>
  <si>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</si>
  <si>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</si>
  <si>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</si>
  <si>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</si>
  <si>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</si>
  <si>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</si>
  <si>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</si>
  <si>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</si>
  <si>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</si>
  <si>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</si>
  <si>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</si>
  <si>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</si>
  <si>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</si>
  <si>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</si>
  <si>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</si>
  <si>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</si>
  <si>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</si>
  <si>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</si>
  <si>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</si>
  <si>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</si>
  <si>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</si>
  <si>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</si>
  <si>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</si>
  <si>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</si>
  <si>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</si>
  <si>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</si>
  <si>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</si>
  <si>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</si>
  <si>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</si>
  <si>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</si>
  <si>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</si>
  <si>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</si>
  <si>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</si>
  <si>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</si>
  <si>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</si>
  <si>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</si>
  <si>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</si>
  <si>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</si>
  <si>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</si>
  <si>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</si>
  <si>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</si>
  <si>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</si>
  <si>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</si>
  <si>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</si>
  <si>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</si>
  <si>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</si>
  <si>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</si>
  <si>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</si>
  <si>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</si>
  <si>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</si>
  <si>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</si>
  <si>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</si>
  <si>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</si>
  <si>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</si>
  <si>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</si>
  <si>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</si>
  <si>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</si>
  <si>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</si>
  <si>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</si>
  <si>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</si>
  <si>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</si>
  <si>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</si>
  <si>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</si>
  <si>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</si>
  <si>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</si>
  <si>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</si>
  <si>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</si>
  <si>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</si>
  <si>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</si>
  <si>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</si>
  <si>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</si>
  <si>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</si>
  <si>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</si>
  <si>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</si>
  <si>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</si>
  <si>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</si>
  <si>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</si>
  <si>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</si>
  <si>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</si>
  <si>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</si>
  <si>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</si>
  <si>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</si>
  <si>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</si>
  <si>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</si>
  <si>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</si>
  <si>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</si>
  <si>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</si>
  <si>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</si>
  <si>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</si>
  <si>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</si>
  <si>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</si>
  <si>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</si>
  <si>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</si>
  <si>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</si>
  <si>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</si>
  <si>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</si>
  <si>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</si>
  <si>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</si>
  <si>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</si>
  <si>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</si>
  <si>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</si>
  <si>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</si>
  <si>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</si>
  <si>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</si>
  <si>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</si>
  <si>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</si>
  <si>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</si>
  <si>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</si>
  <si>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</si>
  <si>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</si>
  <si>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</si>
  <si>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</si>
  <si>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</si>
  <si>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</si>
  <si>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</si>
  <si>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</si>
  <si>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</si>
  <si>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</si>
  <si>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</si>
  <si>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</si>
  <si>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</si>
  <si>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</si>
  <si>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</si>
  <si>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</si>
  <si>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</si>
  <si>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</si>
  <si>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</si>
  <si>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</si>
  <si>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</si>
  <si>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</si>
  <si>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</si>
  <si>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</si>
  <si>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</si>
  <si>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</si>
  <si>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</si>
  <si>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</si>
  <si>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</si>
  <si>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</si>
  <si>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</si>
  <si>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</si>
  <si>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</si>
  <si>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</si>
  <si>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</si>
  <si>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</si>
  <si>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</si>
  <si>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</si>
  <si>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</si>
  <si>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</si>
  <si>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</si>
  <si>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</si>
  <si>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</si>
  <si>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</si>
  <si>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</si>
  <si>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</si>
  <si>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</si>
  <si>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</si>
  <si>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</si>
  <si>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</si>
  <si>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</si>
  <si>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</si>
  <si>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</si>
  <si>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</si>
  <si>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</si>
  <si>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</si>
  <si>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</si>
  <si>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</si>
  <si>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</si>
  <si>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</si>
  <si>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</si>
  <si>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</si>
  <si>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</si>
  <si>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</si>
  <si>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</si>
  <si>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</si>
  <si>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</si>
  <si>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</si>
  <si>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</si>
  <si>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</si>
  <si>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</si>
  <si>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</si>
  <si>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</si>
  <si>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</si>
  <si>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</si>
  <si>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</si>
  <si>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</si>
  <si>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</si>
  <si>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</si>
  <si>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</si>
  <si>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</si>
  <si>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</si>
  <si>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</si>
  <si>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</si>
  <si>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</si>
  <si>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</si>
  <si>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</si>
  <si>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</si>
  <si>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</si>
  <si>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</si>
  <si>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</si>
  <si>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</si>
  <si>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</si>
  <si>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</si>
  <si>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</si>
  <si>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</si>
  <si>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</si>
  <si>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</si>
  <si>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</si>
  <si>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</si>
  <si>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</si>
  <si>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</si>
  <si>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</si>
  <si>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</si>
  <si>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</si>
  <si>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</si>
  <si>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</si>
  <si>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</si>
  <si>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</si>
  <si>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</si>
  <si>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</si>
  <si>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</si>
  <si>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</si>
  <si>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</si>
  <si>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</si>
  <si>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</si>
  <si>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</si>
  <si>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</si>
  <si>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</si>
  <si>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</si>
  <si>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</si>
  <si>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</si>
  <si>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</si>
  <si>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</si>
  <si>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</si>
  <si>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</si>
  <si>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</si>
  <si>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</si>
  <si>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</si>
  <si>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</si>
  <si>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</si>
  <si>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</si>
  <si>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</si>
  <si>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</si>
  <si>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</si>
  <si>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</si>
  <si>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</si>
  <si>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</si>
  <si>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</si>
  <si>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</si>
  <si>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</si>
  <si>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</si>
  <si>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</si>
  <si>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</si>
  <si>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</si>
  <si>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</si>
  <si>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</si>
  <si>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</si>
  <si>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</si>
  <si>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</si>
  <si>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</si>
  <si>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</si>
  <si>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</si>
  <si>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</si>
  <si>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</si>
  <si>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</si>
  <si>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</si>
  <si>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</si>
  <si>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</si>
  <si>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</si>
  <si>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</si>
  <si>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</si>
  <si>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</si>
  <si>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</si>
  <si>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</si>
  <si>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</si>
  <si>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</si>
  <si>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</si>
  <si>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</si>
  <si>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</si>
  <si>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</si>
  <si>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</si>
  <si>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</si>
  <si>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</si>
  <si>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</si>
  <si>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</si>
  <si>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</si>
  <si>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</si>
  <si>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</si>
  <si>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</si>
  <si>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</si>
  <si>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</si>
  <si>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</si>
  <si>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</si>
  <si>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OpenRocket</t>
  </si>
  <si>
    <t>MS</t>
  </si>
  <si>
    <t>Cnalpha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</si>
</sst>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-942</c:v>
                </c:pt>
                <c:pt idx="3">
                  <c:v>-1002</c:v>
                </c:pt>
                <c:pt idx="4">
                  <c:v>-2002</c:v>
                </c:pt>
                <c:pt idx="5">
                  <c:v>-2042</c:v>
                </c:pt>
                <c:pt idx="6">
                  <c:v>-2052</c:v>
                </c:pt>
                <c:pt idx="7">
                  <c:v>-2052</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-1782</c:v>
                </c:pt>
                <c:pt idx="1">
                  <c:v>-1962</c:v>
                </c:pt>
                <c:pt idx="2">
                  <c:v>-2042</c:v>
                </c:pt>
                <c:pt idx="3">
                  <c:v>-1972</c:v>
                </c:pt>
                <c:pt idx="4">
                  <c:v>-1782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-942</c:v>
                </c:pt>
                <c:pt idx="3">
                  <c:v>-1002</c:v>
                </c:pt>
                <c:pt idx="4">
                  <c:v>-2002</c:v>
                </c:pt>
                <c:pt idx="5">
                  <c:v>-2042</c:v>
                </c:pt>
                <c:pt idx="6">
                  <c:v>-2052</c:v>
                </c:pt>
                <c:pt idx="7">
                  <c:v>-2052</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-1782</c:v>
                </c:pt>
                <c:pt idx="1">
                  <c:v>-1962</c:v>
                </c:pt>
                <c:pt idx="2">
                  <c:v>-2042</c:v>
                </c:pt>
                <c:pt idx="3">
                  <c:v>-1972</c:v>
                </c:pt>
                <c:pt idx="4">
                  <c:v>-1782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-1184.7170439414115</c:v>
                </c:pt>
                <c:pt idx="1">
                  <c:v>-1102.4298784308812</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156.51015117496797</c:v>
                </c:pt>
                <c:pt idx="2">
                  <c:v>187.6655571144149</c:v>
                </c:pt>
                <c:pt idx="3">
                  <c:v>0</c:v>
                </c:pt>
              </c:numCache>
            </c:numRef>
          </c:xVal>
          <c:yVal>
            <c:numRef>
              <c:f>Stabilito!$C$151:$C$154</c:f>
              <c:numCache>
                <c:formatCode>0</c:formatCode>
                <c:ptCount val="4"/>
                <c:pt idx="0">
                  <c:v>-1299.8709230581501</c:v>
                </c:pt>
                <c:pt idx="1">
                  <c:v>-1299.8709230581501</c:v>
                </c:pt>
                <c:pt idx="2">
                  <c:v>-1398.7372071664229</c:v>
                </c:pt>
                <c:pt idx="3">
                  <c:v>-1398.7372071664229</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52</c:v>
                </c:pt>
                <c:pt idx="1">
                  <c:v>159</c:v>
                </c:pt>
                <c:pt idx="2">
                  <c:v>159</c:v>
                </c:pt>
                <c:pt idx="3">
                  <c:v>52</c:v>
                </c:pt>
                <c:pt idx="4">
                  <c:v>52</c:v>
                </c:pt>
              </c:numCache>
            </c:numRef>
          </c:xVal>
          <c:yVal>
            <c:numRef>
              <c:f>Stabilito!$C$158:$C$162</c:f>
              <c:numCache>
                <c:formatCode>0</c:formatCode>
                <c:ptCount val="5"/>
                <c:pt idx="0">
                  <c:v>-772</c:v>
                </c:pt>
                <c:pt idx="1">
                  <c:v>-892</c:v>
                </c:pt>
                <c:pt idx="2">
                  <c:v>-972</c:v>
                </c:pt>
                <c:pt idx="3">
                  <c:v>-942</c:v>
                </c:pt>
                <c:pt idx="4">
                  <c:v>-772</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-52</c:v>
                </c:pt>
                <c:pt idx="1">
                  <c:v>-159</c:v>
                </c:pt>
                <c:pt idx="2">
                  <c:v>-159</c:v>
                </c:pt>
                <c:pt idx="3">
                  <c:v>-52</c:v>
                </c:pt>
                <c:pt idx="4">
                  <c:v>-52</c:v>
                </c:pt>
              </c:numCache>
            </c:numRef>
          </c:xVal>
          <c:yVal>
            <c:numRef>
              <c:f>Stabilito!$C$158:$C$162</c:f>
              <c:numCache>
                <c:formatCode>0</c:formatCode>
                <c:ptCount val="5"/>
                <c:pt idx="0">
                  <c:v>-772</c:v>
                </c:pt>
                <c:pt idx="1">
                  <c:v>-892</c:v>
                </c:pt>
                <c:pt idx="2">
                  <c:v>-972</c:v>
                </c:pt>
                <c:pt idx="3">
                  <c:v>-942</c:v>
                </c:pt>
                <c:pt idx="4">
                  <c:v>-772</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52</c:v>
                </c:pt>
                <c:pt idx="1">
                  <c:v>149</c:v>
                </c:pt>
                <c:pt idx="2">
                  <c:v>149</c:v>
                </c:pt>
                <c:pt idx="3">
                  <c:v>52</c:v>
                </c:pt>
                <c:pt idx="4">
                  <c:v>52</c:v>
                </c:pt>
              </c:numCache>
            </c:numRef>
          </c:xVal>
          <c:yVal>
            <c:numRef>
              <c:f>Stabilito!$C$163:$C$167</c:f>
              <c:numCache>
                <c:formatCode>0</c:formatCode>
                <c:ptCount val="5"/>
                <c:pt idx="0">
                  <c:v>-1782</c:v>
                </c:pt>
                <c:pt idx="1">
                  <c:v>-1902.4137931034484</c:v>
                </c:pt>
                <c:pt idx="2">
                  <c:v>-2018.8275862068967</c:v>
                </c:pt>
                <c:pt idx="3">
                  <c:v>-1972</c:v>
                </c:pt>
                <c:pt idx="4">
                  <c:v>-1782</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-52</c:v>
                </c:pt>
                <c:pt idx="1">
                  <c:v>-149</c:v>
                </c:pt>
                <c:pt idx="2">
                  <c:v>-149</c:v>
                </c:pt>
                <c:pt idx="3">
                  <c:v>-52</c:v>
                </c:pt>
                <c:pt idx="4">
                  <c:v>-52</c:v>
                </c:pt>
              </c:numCache>
            </c:numRef>
          </c:xVal>
          <c:yVal>
            <c:numRef>
              <c:f>Stabilito!$C$163:$C$167</c:f>
              <c:numCache>
                <c:formatCode>0</c:formatCode>
                <c:ptCount val="5"/>
                <c:pt idx="0">
                  <c:v>-1782</c:v>
                </c:pt>
                <c:pt idx="1">
                  <c:v>-1902.4137931034484</c:v>
                </c:pt>
                <c:pt idx="2">
                  <c:v>-2018.8275862068967</c:v>
                </c:pt>
                <c:pt idx="3">
                  <c:v>-1972</c:v>
                </c:pt>
                <c:pt idx="4">
                  <c:v>-1782</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684</c:v>
                </c:pt>
                <c:pt idx="1">
                  <c:v>-684</c:v>
                </c:pt>
              </c:numCache>
            </c:numRef>
          </c:xVal>
          <c:yVal>
            <c:numRef>
              <c:f>Stabilito!$C$168:$C$169</c:f>
              <c:numCache>
                <c:formatCode>0</c:formatCode>
                <c:ptCount val="2"/>
                <c:pt idx="0">
                  <c:v>-2072.52</c:v>
                </c:pt>
                <c:pt idx="1">
                  <c:v>-2072.52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-27</c:v>
                </c:pt>
                <c:pt idx="1">
                  <c:v>27</c:v>
                </c:pt>
                <c:pt idx="2">
                  <c:v>27</c:v>
                </c:pt>
                <c:pt idx="3">
                  <c:v>-27</c:v>
                </c:pt>
                <c:pt idx="4">
                  <c:v>-27</c:v>
                </c:pt>
              </c:numCache>
            </c:numRef>
          </c:xVal>
          <c:yVal>
            <c:numRef>
              <c:f>Stabilito!$C$170:$C$174</c:f>
              <c:numCache>
                <c:formatCode>0</c:formatCode>
                <c:ptCount val="5"/>
                <c:pt idx="0">
                  <c:v>-1564</c:v>
                </c:pt>
                <c:pt idx="1">
                  <c:v>-1564</c:v>
                </c:pt>
                <c:pt idx="2">
                  <c:v>-2052</c:v>
                </c:pt>
                <c:pt idx="3">
                  <c:v>-2052</c:v>
                </c:pt>
                <c:pt idx="4">
                  <c:v>-1564</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-2110.4</c:v>
                </c:pt>
                <c:pt idx="1">
                  <c:v>-2110.4</c:v>
                </c:pt>
                <c:pt idx="2">
                  <c:v>-2110.4</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-265.39999999999998</c:v>
                </c:pt>
                <c:pt idx="1">
                  <c:v>-265.39999999999998</c:v>
                </c:pt>
                <c:pt idx="2">
                  <c:v>-265.39999999999998</c:v>
                </c:pt>
              </c:numCache>
            </c:numRef>
          </c:xVal>
          <c:yVal>
            <c:numRef>
              <c:f>Stabilito!$C$143:$C$145</c:f>
              <c:numCache>
                <c:formatCode>0</c:formatCode>
                <c:ptCount val="3"/>
                <c:pt idx="0">
                  <c:v>-1782</c:v>
                </c:pt>
                <c:pt idx="1">
                  <c:v>-1872</c:v>
                </c:pt>
                <c:pt idx="2">
                  <c:v>-1962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-299.60000000000002</c:v>
                </c:pt>
                <c:pt idx="1">
                  <c:v>-299.60000000000002</c:v>
                </c:pt>
                <c:pt idx="2">
                  <c:v>-299.60000000000002</c:v>
                </c:pt>
              </c:numCache>
            </c:numRef>
          </c:xVal>
          <c:yVal>
            <c:numRef>
              <c:f>Stabilito!$C$146:$C$148</c:f>
              <c:numCache>
                <c:formatCode>0</c:formatCode>
                <c:ptCount val="3"/>
                <c:pt idx="0">
                  <c:v>-1962</c:v>
                </c:pt>
                <c:pt idx="1">
                  <c:v>-2002</c:v>
                </c:pt>
                <c:pt idx="2">
                  <c:v>-2042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299.60000000000002</c:v>
                </c:pt>
                <c:pt idx="1">
                  <c:v>299.60000000000002</c:v>
                </c:pt>
                <c:pt idx="2">
                  <c:v>299.60000000000002</c:v>
                </c:pt>
              </c:numCache>
            </c:numRef>
          </c:xVal>
          <c:yVal>
            <c:numRef>
              <c:f>Stabilito!$C$140:$C$142</c:f>
              <c:numCache>
                <c:formatCode>0</c:formatCode>
                <c:ptCount val="3"/>
                <c:pt idx="0">
                  <c:v>-1782</c:v>
                </c:pt>
                <c:pt idx="1">
                  <c:v>-1877</c:v>
                </c:pt>
                <c:pt idx="2">
                  <c:v>-1972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-299.60000000000002</c:v>
                </c:pt>
                <c:pt idx="1">
                  <c:v>-299.60000000000002</c:v>
                </c:pt>
                <c:pt idx="2">
                  <c:v>-299.60000000000002</c:v>
                </c:pt>
              </c:numCache>
            </c:numRef>
          </c:xVal>
          <c:yVal>
            <c:numRef>
              <c:f>Stabilito!$C$155:$C$157</c:f>
              <c:numCache>
                <c:formatCode>0</c:formatCode>
                <c:ptCount val="3"/>
                <c:pt idx="0">
                  <c:v>-1143.5734611861462</c:v>
                </c:pt>
                <c:pt idx="1">
                  <c:v>-1221.722192122148</c:v>
                </c:pt>
                <c:pt idx="2">
                  <c:v>-1299.8709230581501</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1.2207377249728655</c:v>
                </c:pt>
                <c:pt idx="1">
                  <c:v>2.2688118642426609</c:v>
                </c:pt>
                <c:pt idx="2">
                  <c:v>3.141131997878428</c:v>
                </c:pt>
                <c:pt idx="3">
                  <c:v>2.0930578586086321</c:v>
                </c:pt>
              </c:numCache>
            </c:numRef>
          </c:xVal>
          <c:yVal>
            <c:numRef>
              <c:f>Stabilito!$C$190:$C$193</c:f>
              <c:numCache>
                <c:formatCode>0.00</c:formatCode>
                <c:ptCount val="4"/>
                <c:pt idx="0">
                  <c:v>24.887287429562296</c:v>
                </c:pt>
                <c:pt idx="1">
                  <c:v>29.841429616370945</c:v>
                </c:pt>
                <c:pt idx="2">
                  <c:v>29.841429616370945</c:v>
                </c:pt>
                <c:pt idx="3">
                  <c:v>24.887287429562296</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2.0930578586086321</c:v>
                </c:pt>
                <c:pt idx="1">
                  <c:v>1.2207377249728655</c:v>
                </c:pt>
              </c:numCache>
            </c:numRef>
          </c:xVal>
          <c:yVal>
            <c:numRef>
              <c:f>Stabilito!$C$193:$C$194</c:f>
              <c:numCache>
                <c:formatCode>0.00</c:formatCode>
                <c:ptCount val="2"/>
                <c:pt idx="0">
                  <c:v>24.887287429562296</c:v>
                </c:pt>
                <c:pt idx="1">
                  <c:v>24.887287429562296</c:v>
                </c:pt>
              </c:numCache>
            </c:numRef>
          </c:yVal>
          <c:smooth val="0"/>
          <c:extLst>
            <c:ext xmlns:c16="http://schemas.microsoft.com/office/drawing/2014/chart" uri="{C3380CC4-5D6E-409C-BE32-E72D297353CC}">
              <c16:uniqueId val="{0000000B-DD97-4068-951F-4990D529CDCA}"/>
            </c:ext>
          </c:extLst>
        </c:ser>
        <c:ser>
          <c:idx val="12"/>
          <c:order val="12"/>
          <c:tx>
            <c:strRef>
              <c:f>Stabilito!$U$29</c:f>
              <c:strCache>
                <c:ptCount val="1"/>
                <c:pt idx="0">
                  <c:v>OpenRocket</c:v>
                </c:pt>
              </c:strCache>
            </c:strRef>
          </c:tx>
          <c:xVal>
            <c:numRef>
              <c:f>Stabilito!$U$31:$U$32</c:f>
              <c:numCache>
                <c:formatCode>General</c:formatCode>
                <c:ptCount val="2"/>
                <c:pt idx="0">
                  <c:v>2.12</c:v>
                </c:pt>
                <c:pt idx="1">
                  <c:v>2.9</c:v>
                </c:pt>
              </c:numCache>
            </c:numRef>
          </c:xVal>
          <c:yVal>
            <c:numRef>
              <c:f>Stabilito!$V$31:$V$32</c:f>
              <c:numCache>
                <c:formatCode>General</c:formatCode>
                <c:ptCount val="2"/>
                <c:pt idx="0">
                  <c:v>24.960999999999999</c:v>
                </c:pt>
                <c:pt idx="1">
                  <c:v>24.960999999999999</c:v>
                </c:pt>
              </c:numCache>
            </c:numRef>
          </c:yVal>
          <c:smooth val="0"/>
          <c:extLst>
            <c:ext xmlns:c16="http://schemas.microsoft.com/office/drawing/2014/chart" uri="{C3380CC4-5D6E-409C-BE32-E72D297353CC}">
              <c16:uniqueId val="{00000000-3ED3-4439-B93A-D35DD3C53364}"/>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1427.4899365371464</c:v>
                </c:pt>
              </c:numCache>
            </c:numRef>
          </c:xVal>
          <c:yVal>
            <c:numRef>
              <c:f>Trajecto!$C$121</c:f>
              <c:numCache>
                <c:formatCode>0</c:formatCode>
                <c:ptCount val="1"/>
                <c:pt idx="0">
                  <c:v>1427.4899365371464</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3.7385297752236575</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15.497235711656741</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33.926768791578532</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55.298609555165484</c:v>
                </c:pt>
                <c:pt idx="401">
                  <c:v>#N/A</c:v>
                </c:pt>
                <c:pt idx="402">
                  <c:v>#N/A</c:v>
                </c:pt>
                <c:pt idx="403">
                  <c:v>#N/A</c:v>
                </c:pt>
                <c:pt idx="404">
                  <c:v>#N/A</c:v>
                </c:pt>
                <c:pt idx="405">
                  <c:v>#N/A</c:v>
                </c:pt>
                <c:pt idx="406">
                  <c:v>#N/A</c:v>
                </c:pt>
                <c:pt idx="407">
                  <c:v>#N/A</c:v>
                </c:pt>
                <c:pt idx="408">
                  <c:v>#N/A</c:v>
                </c:pt>
                <c:pt idx="409">
                  <c:v>#N/A</c:v>
                </c:pt>
                <c:pt idx="410">
                  <c:v>75.369003666699271</c:v>
                </c:pt>
                <c:pt idx="411">
                  <c:v>#N/A</c:v>
                </c:pt>
                <c:pt idx="412">
                  <c:v>#N/A</c:v>
                </c:pt>
                <c:pt idx="413">
                  <c:v>#N/A</c:v>
                </c:pt>
                <c:pt idx="414">
                  <c:v>#N/A</c:v>
                </c:pt>
                <c:pt idx="415">
                  <c:v>#N/A</c:v>
                </c:pt>
                <c:pt idx="416">
                  <c:v>#N/A</c:v>
                </c:pt>
                <c:pt idx="417">
                  <c:v>#N/A</c:v>
                </c:pt>
                <c:pt idx="418">
                  <c:v>#N/A</c:v>
                </c:pt>
                <c:pt idx="419">
                  <c:v>#N/A</c:v>
                </c:pt>
                <c:pt idx="420">
                  <c:v>94.148218663132525</c:v>
                </c:pt>
                <c:pt idx="421">
                  <c:v>#N/A</c:v>
                </c:pt>
                <c:pt idx="422">
                  <c:v>#N/A</c:v>
                </c:pt>
                <c:pt idx="423">
                  <c:v>#N/A</c:v>
                </c:pt>
                <c:pt idx="424">
                  <c:v>#N/A</c:v>
                </c:pt>
                <c:pt idx="425">
                  <c:v>#N/A</c:v>
                </c:pt>
                <c:pt idx="426">
                  <c:v>#N/A</c:v>
                </c:pt>
                <c:pt idx="427">
                  <c:v>#N/A</c:v>
                </c:pt>
                <c:pt idx="428">
                  <c:v>#N/A</c:v>
                </c:pt>
                <c:pt idx="429">
                  <c:v>#N/A</c:v>
                </c:pt>
                <c:pt idx="430">
                  <c:v>111.87909324352918</c:v>
                </c:pt>
                <c:pt idx="431">
                  <c:v>#N/A</c:v>
                </c:pt>
                <c:pt idx="432">
                  <c:v>#N/A</c:v>
                </c:pt>
                <c:pt idx="433">
                  <c:v>#N/A</c:v>
                </c:pt>
                <c:pt idx="434">
                  <c:v>#N/A</c:v>
                </c:pt>
                <c:pt idx="435">
                  <c:v>#N/A</c:v>
                </c:pt>
                <c:pt idx="436">
                  <c:v>#N/A</c:v>
                </c:pt>
                <c:pt idx="437">
                  <c:v>#N/A</c:v>
                </c:pt>
                <c:pt idx="438">
                  <c:v>#N/A</c:v>
                </c:pt>
                <c:pt idx="439">
                  <c:v>#N/A</c:v>
                </c:pt>
                <c:pt idx="440">
                  <c:v>128.75100142731992</c:v>
                </c:pt>
                <c:pt idx="441">
                  <c:v>#N/A</c:v>
                </c:pt>
                <c:pt idx="442">
                  <c:v>#N/A</c:v>
                </c:pt>
                <c:pt idx="443">
                  <c:v>#N/A</c:v>
                </c:pt>
                <c:pt idx="444">
                  <c:v>#N/A</c:v>
                </c:pt>
                <c:pt idx="445">
                  <c:v>#N/A</c:v>
                </c:pt>
                <c:pt idx="446">
                  <c:v>#N/A</c:v>
                </c:pt>
                <c:pt idx="447">
                  <c:v>#N/A</c:v>
                </c:pt>
                <c:pt idx="448">
                  <c:v>#N/A</c:v>
                </c:pt>
                <c:pt idx="449">
                  <c:v>#N/A</c:v>
                </c:pt>
                <c:pt idx="450">
                  <c:v>144.91548663198097</c:v>
                </c:pt>
                <c:pt idx="451">
                  <c:v>#N/A</c:v>
                </c:pt>
                <c:pt idx="452">
                  <c:v>#N/A</c:v>
                </c:pt>
                <c:pt idx="453">
                  <c:v>#N/A</c:v>
                </c:pt>
                <c:pt idx="454">
                  <c:v>#N/A</c:v>
                </c:pt>
                <c:pt idx="455">
                  <c:v>#N/A</c:v>
                </c:pt>
                <c:pt idx="456">
                  <c:v>#N/A</c:v>
                </c:pt>
                <c:pt idx="457">
                  <c:v>#N/A</c:v>
                </c:pt>
                <c:pt idx="458">
                  <c:v>#N/A</c:v>
                </c:pt>
                <c:pt idx="459">
                  <c:v>#N/A</c:v>
                </c:pt>
                <c:pt idx="460">
                  <c:v>160.49665258970947</c:v>
                </c:pt>
                <c:pt idx="461">
                  <c:v>#N/A</c:v>
                </c:pt>
                <c:pt idx="462">
                  <c:v>#N/A</c:v>
                </c:pt>
                <c:pt idx="463">
                  <c:v>#N/A</c:v>
                </c:pt>
                <c:pt idx="464">
                  <c:v>#N/A</c:v>
                </c:pt>
                <c:pt idx="465">
                  <c:v>#N/A</c:v>
                </c:pt>
                <c:pt idx="466">
                  <c:v>#N/A</c:v>
                </c:pt>
                <c:pt idx="467">
                  <c:v>#N/A</c:v>
                </c:pt>
                <c:pt idx="468">
                  <c:v>#N/A</c:v>
                </c:pt>
                <c:pt idx="469">
                  <c:v>#N/A</c:v>
                </c:pt>
                <c:pt idx="470">
                  <c:v>175.59829986170033</c:v>
                </c:pt>
                <c:pt idx="471">
                  <c:v>#N/A</c:v>
                </c:pt>
                <c:pt idx="472">
                  <c:v>#N/A</c:v>
                </c:pt>
                <c:pt idx="473">
                  <c:v>#N/A</c:v>
                </c:pt>
                <c:pt idx="474">
                  <c:v>#N/A</c:v>
                </c:pt>
                <c:pt idx="475">
                  <c:v>#N/A</c:v>
                </c:pt>
                <c:pt idx="476">
                  <c:v>#N/A</c:v>
                </c:pt>
                <c:pt idx="477">
                  <c:v>#N/A</c:v>
                </c:pt>
                <c:pt idx="478">
                  <c:v>#N/A</c:v>
                </c:pt>
                <c:pt idx="479">
                  <c:v>#N/A</c:v>
                </c:pt>
                <c:pt idx="480">
                  <c:v>190.30895378017684</c:v>
                </c:pt>
                <c:pt idx="481">
                  <c:v>#N/A</c:v>
                </c:pt>
                <c:pt idx="482">
                  <c:v>#N/A</c:v>
                </c:pt>
                <c:pt idx="483">
                  <c:v>#N/A</c:v>
                </c:pt>
                <c:pt idx="484">
                  <c:v>#N/A</c:v>
                </c:pt>
                <c:pt idx="485">
                  <c:v>#N/A</c:v>
                </c:pt>
                <c:pt idx="486">
                  <c:v>#N/A</c:v>
                </c:pt>
                <c:pt idx="487">
                  <c:v>#N/A</c:v>
                </c:pt>
                <c:pt idx="488">
                  <c:v>#N/A</c:v>
                </c:pt>
                <c:pt idx="489">
                  <c:v>#N/A</c:v>
                </c:pt>
                <c:pt idx="490">
                  <c:v>204.705452508771</c:v>
                </c:pt>
                <c:pt idx="491">
                  <c:v>#N/A</c:v>
                </c:pt>
                <c:pt idx="492">
                  <c:v>#N/A</c:v>
                </c:pt>
                <c:pt idx="493">
                  <c:v>#N/A</c:v>
                </c:pt>
                <c:pt idx="494">
                  <c:v>#N/A</c:v>
                </c:pt>
                <c:pt idx="495">
                  <c:v>#N/A</c:v>
                </c:pt>
                <c:pt idx="496">
                  <c:v>#N/A</c:v>
                </c:pt>
                <c:pt idx="497">
                  <c:v>#N/A</c:v>
                </c:pt>
                <c:pt idx="498">
                  <c:v>#N/A</c:v>
                </c:pt>
                <c:pt idx="499">
                  <c:v>#N/A</c:v>
                </c:pt>
                <c:pt idx="500">
                  <c:v>218.85544949809307</c:v>
                </c:pt>
                <c:pt idx="501">
                  <c:v>#N/A</c:v>
                </c:pt>
                <c:pt idx="502">
                  <c:v>#N/A</c:v>
                </c:pt>
                <c:pt idx="503">
                  <c:v>#N/A</c:v>
                </c:pt>
                <c:pt idx="504">
                  <c:v>#N/A</c:v>
                </c:pt>
                <c:pt idx="505">
                  <c:v>#N/A</c:v>
                </c:pt>
                <c:pt idx="506">
                  <c:v>#N/A</c:v>
                </c:pt>
                <c:pt idx="507">
                  <c:v>#N/A</c:v>
                </c:pt>
                <c:pt idx="508">
                  <c:v>#N/A</c:v>
                </c:pt>
                <c:pt idx="509">
                  <c:v>#N/A</c:v>
                </c:pt>
                <c:pt idx="510">
                  <c:v>232.81887116209245</c:v>
                </c:pt>
                <c:pt idx="511">
                  <c:v>#N/A</c:v>
                </c:pt>
                <c:pt idx="512">
                  <c:v>#N/A</c:v>
                </c:pt>
                <c:pt idx="513">
                  <c:v>#N/A</c:v>
                </c:pt>
                <c:pt idx="514">
                  <c:v>#N/A</c:v>
                </c:pt>
                <c:pt idx="515">
                  <c:v>#N/A</c:v>
                </c:pt>
                <c:pt idx="516">
                  <c:v>#N/A</c:v>
                </c:pt>
                <c:pt idx="517">
                  <c:v>#N/A</c:v>
                </c:pt>
                <c:pt idx="518">
                  <c:v>#N/A</c:v>
                </c:pt>
                <c:pt idx="519">
                  <c:v>#N/A</c:v>
                </c:pt>
                <c:pt idx="520">
                  <c:v>246.64773157684891</c:v>
                </c:pt>
                <c:pt idx="521">
                  <c:v>#N/A</c:v>
                </c:pt>
                <c:pt idx="522">
                  <c:v>#N/A</c:v>
                </c:pt>
                <c:pt idx="523">
                  <c:v>#N/A</c:v>
                </c:pt>
                <c:pt idx="524">
                  <c:v>#N/A</c:v>
                </c:pt>
                <c:pt idx="525">
                  <c:v>#N/A</c:v>
                </c:pt>
                <c:pt idx="526">
                  <c:v>#N/A</c:v>
                </c:pt>
                <c:pt idx="527">
                  <c:v>#N/A</c:v>
                </c:pt>
                <c:pt idx="528">
                  <c:v>#N/A</c:v>
                </c:pt>
                <c:pt idx="529">
                  <c:v>#N/A</c:v>
                </c:pt>
                <c:pt idx="530">
                  <c:v>260.38181089588608</c:v>
                </c:pt>
                <c:pt idx="531">
                  <c:v>#N/A</c:v>
                </c:pt>
                <c:pt idx="532">
                  <c:v>#N/A</c:v>
                </c:pt>
                <c:pt idx="533">
                  <c:v>#N/A</c:v>
                </c:pt>
                <c:pt idx="534">
                  <c:v>#N/A</c:v>
                </c:pt>
                <c:pt idx="535">
                  <c:v>#N/A</c:v>
                </c:pt>
                <c:pt idx="536">
                  <c:v>#N/A</c:v>
                </c:pt>
                <c:pt idx="537">
                  <c:v>#N/A</c:v>
                </c:pt>
                <c:pt idx="538">
                  <c:v>#N/A</c:v>
                </c:pt>
                <c:pt idx="539">
                  <c:v>#N/A</c:v>
                </c:pt>
                <c:pt idx="540">
                  <c:v>274.03638725100052</c:v>
                </c:pt>
                <c:pt idx="541">
                  <c:v>#N/A</c:v>
                </c:pt>
                <c:pt idx="542">
                  <c:v>#N/A</c:v>
                </c:pt>
                <c:pt idx="543">
                  <c:v>#N/A</c:v>
                </c:pt>
                <c:pt idx="544">
                  <c:v>#N/A</c:v>
                </c:pt>
                <c:pt idx="545">
                  <c:v>#N/A</c:v>
                </c:pt>
                <c:pt idx="546">
                  <c:v>#N/A</c:v>
                </c:pt>
                <c:pt idx="547">
                  <c:v>#N/A</c:v>
                </c:pt>
                <c:pt idx="548">
                  <c:v>#N/A</c:v>
                </c:pt>
                <c:pt idx="549">
                  <c:v>#N/A</c:v>
                </c:pt>
                <c:pt idx="550">
                  <c:v>287.59428106549484</c:v>
                </c:pt>
                <c:pt idx="551">
                  <c:v>#N/A</c:v>
                </c:pt>
                <c:pt idx="552">
                  <c:v>#N/A</c:v>
                </c:pt>
                <c:pt idx="553">
                  <c:v>#N/A</c:v>
                </c:pt>
                <c:pt idx="554">
                  <c:v>#N/A</c:v>
                </c:pt>
                <c:pt idx="555">
                  <c:v>#N/A</c:v>
                </c:pt>
                <c:pt idx="556">
                  <c:v>#N/A</c:v>
                </c:pt>
                <c:pt idx="557">
                  <c:v>#N/A</c:v>
                </c:pt>
                <c:pt idx="558">
                  <c:v>#N/A</c:v>
                </c:pt>
                <c:pt idx="559">
                  <c:v>#N/A</c:v>
                </c:pt>
                <c:pt idx="560">
                  <c:v>301.01831746094643</c:v>
                </c:pt>
                <c:pt idx="561">
                  <c:v>#N/A</c:v>
                </c:pt>
                <c:pt idx="562">
                  <c:v>#N/A</c:v>
                </c:pt>
                <c:pt idx="563">
                  <c:v>#N/A</c:v>
                </c:pt>
                <c:pt idx="564">
                  <c:v>#N/A</c:v>
                </c:pt>
                <c:pt idx="565">
                  <c:v>#N/A</c:v>
                </c:pt>
                <c:pt idx="566">
                  <c:v>#N/A</c:v>
                </c:pt>
                <c:pt idx="567">
                  <c:v>#N/A</c:v>
                </c:pt>
                <c:pt idx="568">
                  <c:v>#N/A</c:v>
                </c:pt>
                <c:pt idx="569">
                  <c:v>#N/A</c:v>
                </c:pt>
                <c:pt idx="570">
                  <c:v>314.26491535709448</c:v>
                </c:pt>
                <c:pt idx="571">
                  <c:v>#N/A</c:v>
                </c:pt>
                <c:pt idx="572">
                  <c:v>#N/A</c:v>
                </c:pt>
                <c:pt idx="573">
                  <c:v>#N/A</c:v>
                </c:pt>
                <c:pt idx="574">
                  <c:v>#N/A</c:v>
                </c:pt>
                <c:pt idx="575">
                  <c:v>#N/A</c:v>
                </c:pt>
                <c:pt idx="576">
                  <c:v>#N/A</c:v>
                </c:pt>
                <c:pt idx="577">
                  <c:v>#N/A</c:v>
                </c:pt>
                <c:pt idx="578">
                  <c:v>#N/A</c:v>
                </c:pt>
                <c:pt idx="579">
                  <c:v>#N/A</c:v>
                </c:pt>
                <c:pt idx="580">
                  <c:v>327.2899301875172</c:v>
                </c:pt>
                <c:pt idx="581">
                  <c:v>#N/A</c:v>
                </c:pt>
                <c:pt idx="582">
                  <c:v>#N/A</c:v>
                </c:pt>
                <c:pt idx="583">
                  <c:v>#N/A</c:v>
                </c:pt>
                <c:pt idx="584">
                  <c:v>#N/A</c:v>
                </c:pt>
                <c:pt idx="585">
                  <c:v>#N/A</c:v>
                </c:pt>
                <c:pt idx="586">
                  <c:v>#N/A</c:v>
                </c:pt>
                <c:pt idx="587">
                  <c:v>#N/A</c:v>
                </c:pt>
                <c:pt idx="588">
                  <c:v>#N/A</c:v>
                </c:pt>
                <c:pt idx="589">
                  <c:v>#N/A</c:v>
                </c:pt>
                <c:pt idx="590">
                  <c:v>340.05107894625434</c:v>
                </c:pt>
                <c:pt idx="591">
                  <c:v>#N/A</c:v>
                </c:pt>
                <c:pt idx="592">
                  <c:v>#N/A</c:v>
                </c:pt>
                <c:pt idx="593">
                  <c:v>#N/A</c:v>
                </c:pt>
                <c:pt idx="594">
                  <c:v>#N/A</c:v>
                </c:pt>
                <c:pt idx="595">
                  <c:v>#N/A</c:v>
                </c:pt>
                <c:pt idx="596">
                  <c:v>#N/A</c:v>
                </c:pt>
                <c:pt idx="597">
                  <c:v>#N/A</c:v>
                </c:pt>
                <c:pt idx="598">
                  <c:v>#N/A</c:v>
                </c:pt>
                <c:pt idx="599">
                  <c:v>#N/A</c:v>
                </c:pt>
                <c:pt idx="600">
                  <c:v>352.50921055321379</c:v>
                </c:pt>
                <c:pt idx="601">
                  <c:v>#N/A</c:v>
                </c:pt>
                <c:pt idx="602">
                  <c:v>#N/A</c:v>
                </c:pt>
                <c:pt idx="603">
                  <c:v>#N/A</c:v>
                </c:pt>
                <c:pt idx="604">
                  <c:v>#N/A</c:v>
                </c:pt>
                <c:pt idx="605">
                  <c:v>#N/A</c:v>
                </c:pt>
                <c:pt idx="606">
                  <c:v>#N/A</c:v>
                </c:pt>
                <c:pt idx="607">
                  <c:v>#N/A</c:v>
                </c:pt>
                <c:pt idx="608">
                  <c:v>#N/A</c:v>
                </c:pt>
                <c:pt idx="609">
                  <c:v>#N/A</c:v>
                </c:pt>
                <c:pt idx="610">
                  <c:v>364.62908183256098</c:v>
                </c:pt>
                <c:pt idx="611">
                  <c:v>#N/A</c:v>
                </c:pt>
                <c:pt idx="612">
                  <c:v>#N/A</c:v>
                </c:pt>
                <c:pt idx="613">
                  <c:v>#N/A</c:v>
                </c:pt>
                <c:pt idx="614">
                  <c:v>#N/A</c:v>
                </c:pt>
                <c:pt idx="615">
                  <c:v>#N/A</c:v>
                </c:pt>
                <c:pt idx="616">
                  <c:v>#N/A</c:v>
                </c:pt>
                <c:pt idx="617">
                  <c:v>#N/A</c:v>
                </c:pt>
                <c:pt idx="618">
                  <c:v>#N/A</c:v>
                </c:pt>
                <c:pt idx="619">
                  <c:v>#N/A</c:v>
                </c:pt>
                <c:pt idx="620">
                  <c:v>376.37984732946546</c:v>
                </c:pt>
                <c:pt idx="621">
                  <c:v>#N/A</c:v>
                </c:pt>
                <c:pt idx="622">
                  <c:v>#N/A</c:v>
                </c:pt>
                <c:pt idx="623">
                  <c:v>#N/A</c:v>
                </c:pt>
                <c:pt idx="624">
                  <c:v>#N/A</c:v>
                </c:pt>
                <c:pt idx="625">
                  <c:v>#N/A</c:v>
                </c:pt>
                <c:pt idx="626">
                  <c:v>#N/A</c:v>
                </c:pt>
                <c:pt idx="627">
                  <c:v>#N/A</c:v>
                </c:pt>
                <c:pt idx="628">
                  <c:v>#N/A</c:v>
                </c:pt>
                <c:pt idx="629">
                  <c:v>#N/A</c:v>
                </c:pt>
                <c:pt idx="630">
                  <c:v>387.73534275110359</c:v>
                </c:pt>
                <c:pt idx="631">
                  <c:v>#N/A</c:v>
                </c:pt>
                <c:pt idx="632">
                  <c:v>#N/A</c:v>
                </c:pt>
                <c:pt idx="633">
                  <c:v>#N/A</c:v>
                </c:pt>
                <c:pt idx="634">
                  <c:v>#N/A</c:v>
                </c:pt>
                <c:pt idx="635">
                  <c:v>#N/A</c:v>
                </c:pt>
                <c:pt idx="636">
                  <c:v>#N/A</c:v>
                </c:pt>
                <c:pt idx="637">
                  <c:v>#N/A</c:v>
                </c:pt>
                <c:pt idx="638">
                  <c:v>#N/A</c:v>
                </c:pt>
                <c:pt idx="639">
                  <c:v>#N/A</c:v>
                </c:pt>
                <c:pt idx="640">
                  <c:v>398.67420182276715</c:v>
                </c:pt>
                <c:pt idx="641">
                  <c:v>#N/A</c:v>
                </c:pt>
                <c:pt idx="642">
                  <c:v>#N/A</c:v>
                </c:pt>
                <c:pt idx="643">
                  <c:v>#N/A</c:v>
                </c:pt>
                <c:pt idx="644">
                  <c:v>#N/A</c:v>
                </c:pt>
                <c:pt idx="645">
                  <c:v>#N/A</c:v>
                </c:pt>
                <c:pt idx="646">
                  <c:v>#N/A</c:v>
                </c:pt>
                <c:pt idx="647">
                  <c:v>#N/A</c:v>
                </c:pt>
                <c:pt idx="648">
                  <c:v>#N/A</c:v>
                </c:pt>
                <c:pt idx="649">
                  <c:v>#N/A</c:v>
                </c:pt>
                <c:pt idx="650">
                  <c:v>409.17983353378548</c:v>
                </c:pt>
                <c:pt idx="651">
                  <c:v>#N/A</c:v>
                </c:pt>
                <c:pt idx="652">
                  <c:v>#N/A</c:v>
                </c:pt>
                <c:pt idx="653">
                  <c:v>#N/A</c:v>
                </c:pt>
                <c:pt idx="654">
                  <c:v>#N/A</c:v>
                </c:pt>
                <c:pt idx="655">
                  <c:v>#N/A</c:v>
                </c:pt>
                <c:pt idx="656">
                  <c:v>#N/A</c:v>
                </c:pt>
                <c:pt idx="657">
                  <c:v>#N/A</c:v>
                </c:pt>
                <c:pt idx="658">
                  <c:v>#N/A</c:v>
                </c:pt>
                <c:pt idx="659">
                  <c:v>#N/A</c:v>
                </c:pt>
                <c:pt idx="660">
                  <c:v>419.24028287879651</c:v>
                </c:pt>
                <c:pt idx="661">
                  <c:v>#N/A</c:v>
                </c:pt>
                <c:pt idx="662">
                  <c:v>#N/A</c:v>
                </c:pt>
                <c:pt idx="663">
                  <c:v>#N/A</c:v>
                </c:pt>
                <c:pt idx="664">
                  <c:v>#N/A</c:v>
                </c:pt>
                <c:pt idx="665">
                  <c:v>#N/A</c:v>
                </c:pt>
                <c:pt idx="666">
                  <c:v>#N/A</c:v>
                </c:pt>
                <c:pt idx="667">
                  <c:v>#N/A</c:v>
                </c:pt>
                <c:pt idx="668">
                  <c:v>#N/A</c:v>
                </c:pt>
                <c:pt idx="669">
                  <c:v>#N/A</c:v>
                </c:pt>
                <c:pt idx="670">
                  <c:v>428.84799709307669</c:v>
                </c:pt>
                <c:pt idx="671">
                  <c:v>#N/A</c:v>
                </c:pt>
                <c:pt idx="672">
                  <c:v>#N/A</c:v>
                </c:pt>
                <c:pt idx="673">
                  <c:v>#N/A</c:v>
                </c:pt>
                <c:pt idx="674">
                  <c:v>#N/A</c:v>
                </c:pt>
                <c:pt idx="675">
                  <c:v>#N/A</c:v>
                </c:pt>
                <c:pt idx="676">
                  <c:v>#N/A</c:v>
                </c:pt>
                <c:pt idx="677">
                  <c:v>#N/A</c:v>
                </c:pt>
                <c:pt idx="678">
                  <c:v>#N/A</c:v>
                </c:pt>
                <c:pt idx="679">
                  <c:v>#N/A</c:v>
                </c:pt>
                <c:pt idx="680">
                  <c:v>437.99951876020759</c:v>
                </c:pt>
                <c:pt idx="681">
                  <c:v>#N/A</c:v>
                </c:pt>
                <c:pt idx="682">
                  <c:v>#N/A</c:v>
                </c:pt>
                <c:pt idx="683">
                  <c:v>#N/A</c:v>
                </c:pt>
                <c:pt idx="684">
                  <c:v>#N/A</c:v>
                </c:pt>
                <c:pt idx="685">
                  <c:v>#N/A</c:v>
                </c:pt>
                <c:pt idx="686">
                  <c:v>#N/A</c:v>
                </c:pt>
                <c:pt idx="687">
                  <c:v>#N/A</c:v>
                </c:pt>
                <c:pt idx="688">
                  <c:v>#N/A</c:v>
                </c:pt>
                <c:pt idx="689">
                  <c:v>#N/A</c:v>
                </c:pt>
                <c:pt idx="690">
                  <c:v>446.69512621278392</c:v>
                </c:pt>
                <c:pt idx="691">
                  <c:v>#N/A</c:v>
                </c:pt>
                <c:pt idx="692">
                  <c:v>#N/A</c:v>
                </c:pt>
                <c:pt idx="693">
                  <c:v>#N/A</c:v>
                </c:pt>
                <c:pt idx="694">
                  <c:v>#N/A</c:v>
                </c:pt>
                <c:pt idx="695">
                  <c:v>#N/A</c:v>
                </c:pt>
                <c:pt idx="696">
                  <c:v>#N/A</c:v>
                </c:pt>
                <c:pt idx="697">
                  <c:v>#N/A</c:v>
                </c:pt>
                <c:pt idx="698">
                  <c:v>#N/A</c:v>
                </c:pt>
                <c:pt idx="699">
                  <c:v>#N/A</c:v>
                </c:pt>
                <c:pt idx="700">
                  <c:v>454.93844013039535</c:v>
                </c:pt>
                <c:pt idx="701">
                  <c:v>#N/A</c:v>
                </c:pt>
                <c:pt idx="702">
                  <c:v>#N/A</c:v>
                </c:pt>
                <c:pt idx="703">
                  <c:v>#N/A</c:v>
                </c:pt>
                <c:pt idx="704">
                  <c:v>#N/A</c:v>
                </c:pt>
                <c:pt idx="705">
                  <c:v>#N/A</c:v>
                </c:pt>
                <c:pt idx="706">
                  <c:v>#N/A</c:v>
                </c:pt>
                <c:pt idx="707">
                  <c:v>#N/A</c:v>
                </c:pt>
                <c:pt idx="708">
                  <c:v>#N/A</c:v>
                </c:pt>
                <c:pt idx="709">
                  <c:v>#N/A</c:v>
                </c:pt>
                <c:pt idx="710">
                  <c:v>462.73601320538836</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6.8158011024989312E-6</c:v>
                </c:pt>
                <c:pt idx="2">
                  <c:v>1.0146639636617392E-3</c:v>
                </c:pt>
                <c:pt idx="3">
                  <c:v>4.9988855250675431E-3</c:v>
                </c:pt>
                <c:pt idx="4">
                  <c:v>1.3936191054571544E-2</c:v>
                </c:pt>
                <c:pt idx="5">
                  <c:v>2.9805237587798149E-2</c:v>
                </c:pt>
                <c:pt idx="6">
                  <c:v>5.4086653680871032E-2</c:v>
                </c:pt>
                <c:pt idx="7">
                  <c:v>8.7261849014639709E-2</c:v>
                </c:pt>
                <c:pt idx="8">
                  <c:v>0.12931211141550331</c:v>
                </c:pt>
                <c:pt idx="9">
                  <c:v>0.18021863305817598</c:v>
                </c:pt>
                <c:pt idx="10">
                  <c:v>0.23996251081243741</c:v>
                </c:pt>
                <c:pt idx="11">
                  <c:v>0.30852474659351542</c:v>
                </c:pt>
                <c:pt idx="12">
                  <c:v>0.38588624771607272</c:v>
                </c:pt>
                <c:pt idx="13">
                  <c:v>0.47202782725176878</c:v>
                </c:pt>
                <c:pt idx="14">
                  <c:v>0.56693020439036834</c:v>
                </c:pt>
                <c:pt idx="15">
                  <c:v>0.67057400480436691</c:v>
                </c:pt>
                <c:pt idx="16">
                  <c:v>0.78293976101710383</c:v>
                </c:pt>
                <c:pt idx="17">
                  <c:v>0.9040079127743329</c:v>
                </c:pt>
                <c:pt idx="18">
                  <c:v>1.033758807419221</c:v>
                </c:pt>
                <c:pt idx="19">
                  <c:v>1.1721727002707432</c:v>
                </c:pt>
                <c:pt idx="20">
                  <c:v>1.3192297550054444</c:v>
                </c:pt>
                <c:pt idx="21">
                  <c:v>1.4749100440425362</c:v>
                </c:pt>
                <c:pt idx="22">
                  <c:v>1.6391935489322984</c:v>
                </c:pt>
                <c:pt idx="23">
                  <c:v>1.8120601607477511</c:v>
                </c:pt>
                <c:pt idx="24">
                  <c:v>1.9934896804795699</c:v>
                </c:pt>
                <c:pt idx="25">
                  <c:v>2.1834618194342066</c:v>
                </c:pt>
                <c:pt idx="26">
                  <c:v>2.3819561996351881</c:v>
                </c:pt>
                <c:pt idx="27">
                  <c:v>2.5889523542275579</c:v>
                </c:pt>
                <c:pt idx="28">
                  <c:v>2.8044297278854273</c:v>
                </c:pt>
                <c:pt idx="29">
                  <c:v>3.0283676772226049</c:v>
                </c:pt>
                <c:pt idx="30">
                  <c:v>3.26074547120627</c:v>
                </c:pt>
                <c:pt idx="31">
                  <c:v>3.5015422915736552</c:v>
                </c:pt>
                <c:pt idx="32">
                  <c:v>3.7507372332517055</c:v>
                </c:pt>
                <c:pt idx="33">
                  <c:v>4.0083093047796812</c:v>
                </c:pt>
                <c:pt idx="34">
                  <c:v>4.2742337010814717</c:v>
                </c:pt>
                <c:pt idx="35">
                  <c:v>4.5484854049669261</c:v>
                </c:pt>
                <c:pt idx="36">
                  <c:v>4.8310429168443738</c:v>
                </c:pt>
                <c:pt idx="37">
                  <c:v>5.1218846574311359</c:v>
                </c:pt>
                <c:pt idx="38">
                  <c:v>5.4209889697491516</c:v>
                </c:pt>
                <c:pt idx="39">
                  <c:v>5.7283341192522652</c:v>
                </c:pt>
                <c:pt idx="40">
                  <c:v>6.0438982939804093</c:v>
                </c:pt>
                <c:pt idx="41">
                  <c:v>6.3676596047381508</c:v>
                </c:pt>
                <c:pt idx="42">
                  <c:v>6.6995960852954006</c:v>
                </c:pt>
                <c:pt idx="43">
                  <c:v>7.0396856926083373</c:v>
                </c:pt>
                <c:pt idx="44">
                  <c:v>7.3879063070588487</c:v>
                </c:pt>
                <c:pt idx="45">
                  <c:v>7.744235732710953</c:v>
                </c:pt>
                <c:pt idx="46">
                  <c:v>8.1086516975828804</c:v>
                </c:pt>
                <c:pt idx="47">
                  <c:v>8.48113185393359</c:v>
                </c:pt>
                <c:pt idx="48">
                  <c:v>8.861653778562669</c:v>
                </c:pt>
                <c:pt idx="49">
                  <c:v>9.2501949731226407</c:v>
                </c:pt>
                <c:pt idx="50">
                  <c:v>9.6467328644428214</c:v>
                </c:pt>
                <c:pt idx="51">
                  <c:v>10.05124743837848</c:v>
                </c:pt>
                <c:pt idx="52">
                  <c:v>10.463723877355719</c:v>
                </c:pt>
                <c:pt idx="53">
                  <c:v>10.884149932220319</c:v>
                </c:pt>
                <c:pt idx="54">
                  <c:v>11.312513290285395</c:v>
                </c:pt>
                <c:pt idx="55">
                  <c:v>11.748801575453523</c:v>
                </c:pt>
                <c:pt idx="56">
                  <c:v>12.193002348346042</c:v>
                </c:pt>
                <c:pt idx="57">
                  <c:v>12.645103106439137</c:v>
                </c:pt>
                <c:pt idx="58">
                  <c:v>13.105091284206402</c:v>
                </c:pt>
                <c:pt idx="59">
                  <c:v>13.572954253267554</c:v>
                </c:pt>
                <c:pt idx="60">
                  <c:v>14.048679322543032</c:v>
                </c:pt>
                <c:pt idx="61">
                  <c:v>14.532253738414216</c:v>
                </c:pt>
                <c:pt idx="62">
                  <c:v>15.02366468488902</c:v>
                </c:pt>
                <c:pt idx="63">
                  <c:v>15.522899283772656</c:v>
                </c:pt>
                <c:pt idx="64">
                  <c:v>16.029944594843336</c:v>
                </c:pt>
                <c:pt idx="65">
                  <c:v>16.544787616032753</c:v>
                </c:pt>
                <c:pt idx="66">
                  <c:v>17.067415283611115</c:v>
                </c:pt>
                <c:pt idx="67">
                  <c:v>17.597814472376633</c:v>
                </c:pt>
                <c:pt idx="68">
                  <c:v>18.135971995849228</c:v>
                </c:pt>
                <c:pt idx="69">
                  <c:v>18.681874606468387</c:v>
                </c:pt>
                <c:pt idx="70">
                  <c:v>19.235508995794969</c:v>
                </c:pt>
                <c:pt idx="71">
                  <c:v>19.796861794716875</c:v>
                </c:pt>
                <c:pt idx="72">
                  <c:v>20.365919573658445</c:v>
                </c:pt>
                <c:pt idx="73">
                  <c:v>20.942668842793459</c:v>
                </c:pt>
                <c:pt idx="74">
                  <c:v>21.527096052261648</c:v>
                </c:pt>
                <c:pt idx="75">
                  <c:v>22.119187592388609</c:v>
                </c:pt>
                <c:pt idx="76">
                  <c:v>22.718929793909041</c:v>
                </c:pt>
                <c:pt idx="77">
                  <c:v>23.326308928193164</c:v>
                </c:pt>
                <c:pt idx="78">
                  <c:v>23.9413112074763</c:v>
                </c:pt>
                <c:pt idx="79">
                  <c:v>24.563922785091489</c:v>
                </c:pt>
                <c:pt idx="80">
                  <c:v>25.194129755705056</c:v>
                </c:pt>
                <c:pt idx="81">
                  <c:v>25.831918155555105</c:v>
                </c:pt>
                <c:pt idx="82">
                  <c:v>26.477273962692802</c:v>
                </c:pt>
                <c:pt idx="83">
                  <c:v>27.130183097226418</c:v>
                </c:pt>
                <c:pt idx="84">
                  <c:v>27.790631421568072</c:v>
                </c:pt>
                <c:pt idx="85">
                  <c:v>28.458604740683079</c:v>
                </c:pt>
                <c:pt idx="86">
                  <c:v>29.134088802341861</c:v>
                </c:pt>
                <c:pt idx="87">
                  <c:v>29.817069297374378</c:v>
                </c:pt>
                <c:pt idx="88">
                  <c:v>30.507531859926988</c:v>
                </c:pt>
                <c:pt idx="89">
                  <c:v>31.205462067721704</c:v>
                </c:pt>
                <c:pt idx="90">
                  <c:v>31.910845442317793</c:v>
                </c:pt>
                <c:pt idx="91">
                  <c:v>32.62366744937566</c:v>
                </c:pt>
                <c:pt idx="92">
                  <c:v>33.343913498922987</c:v>
                </c:pt>
                <c:pt idx="93">
                  <c:v>34.071568945623035</c:v>
                </c:pt>
                <c:pt idx="94">
                  <c:v>34.806619089045121</c:v>
                </c:pt>
                <c:pt idx="95">
                  <c:v>35.549049173937171</c:v>
                </c:pt>
                <c:pt idx="96">
                  <c:v>36.298844390500363</c:v>
                </c:pt>
                <c:pt idx="97">
                  <c:v>37.055989874665741</c:v>
                </c:pt>
                <c:pt idx="98">
                  <c:v>37.820470708372845</c:v>
                </c:pt>
                <c:pt idx="99">
                  <c:v>38.592271919850226</c:v>
                </c:pt>
                <c:pt idx="100">
                  <c:v>39.371378483897907</c:v>
                </c:pt>
                <c:pt idx="101">
                  <c:v>40.157774108690624</c:v>
                </c:pt>
                <c:pt idx="102">
                  <c:v>40.951440021396799</c:v>
                </c:pt>
                <c:pt idx="103">
                  <c:v>41.752356180623842</c:v>
                </c:pt>
                <c:pt idx="104">
                  <c:v>42.560502490107623</c:v>
                </c:pt>
                <c:pt idx="105">
                  <c:v>43.375858799116223</c:v>
                </c:pt>
                <c:pt idx="106">
                  <c:v>44.198404902855216</c:v>
                </c:pt>
                <c:pt idx="107">
                  <c:v>45.028120542874383</c:v>
                </c:pt>
                <c:pt idx="108">
                  <c:v>45.864985407475821</c:v>
                </c:pt>
                <c:pt idx="109">
                  <c:v>46.708979132123432</c:v>
                </c:pt>
                <c:pt idx="110">
                  <c:v>47.560081299853721</c:v>
                </c:pt>
                <c:pt idx="111">
                  <c:v>48.418271441687864</c:v>
                </c:pt>
                <c:pt idx="112">
                  <c:v>49.283529037044985</c:v>
                </c:pt>
                <c:pt idx="113">
                  <c:v>50.15583351415669</c:v>
                </c:pt>
                <c:pt idx="114">
                  <c:v>51.035164250482659</c:v>
                </c:pt>
                <c:pt idx="115">
                  <c:v>51.921500573127425</c:v>
                </c:pt>
                <c:pt idx="116">
                  <c:v>52.81482175925818</c:v>
                </c:pt>
                <c:pt idx="117">
                  <c:v>53.715107036523605</c:v>
                </c:pt>
                <c:pt idx="118">
                  <c:v>54.622335583473728</c:v>
                </c:pt>
                <c:pt idx="119">
                  <c:v>55.536486529980699</c:v>
                </c:pt>
                <c:pt idx="120">
                  <c:v>56.457538957660475</c:v>
                </c:pt>
                <c:pt idx="121">
                  <c:v>57.385471900295421</c:v>
                </c:pt>
                <c:pt idx="122">
                  <c:v>58.320264344257701</c:v>
                </c:pt>
                <c:pt idx="123">
                  <c:v>59.261895228933511</c:v>
                </c:pt>
                <c:pt idx="124">
                  <c:v>60.210343447148048</c:v>
                </c:pt>
                <c:pt idx="125">
                  <c:v>61.165587845591219</c:v>
                </c:pt>
                <c:pt idx="126">
                  <c:v>62.127607225244056</c:v>
                </c:pt>
                <c:pt idx="127">
                  <c:v>63.096380341805776</c:v>
                </c:pt>
                <c:pt idx="128">
                  <c:v>64.071885906121452</c:v>
                </c:pt>
                <c:pt idx="129">
                  <c:v>65.054102584610291</c:v>
                </c:pt>
                <c:pt idx="130">
                  <c:v>66.043008999694493</c:v>
                </c:pt>
                <c:pt idx="131">
                  <c:v>67.038583730228552</c:v>
                </c:pt>
                <c:pt idx="132">
                  <c:v>68.04080531192912</c:v>
                </c:pt>
                <c:pt idx="133">
                  <c:v>69.04965223780529</c:v>
                </c:pt>
                <c:pt idx="134">
                  <c:v>70.065102958589293</c:v>
                </c:pt>
                <c:pt idx="135">
                  <c:v>71.087135883167605</c:v>
                </c:pt>
                <c:pt idx="136">
                  <c:v>72.115729379012379</c:v>
                </c:pt>
                <c:pt idx="137">
                  <c:v>73.15086177261324</c:v>
                </c:pt>
                <c:pt idx="138">
                  <c:v>74.192511349909296</c:v>
                </c:pt>
                <c:pt idx="139">
                  <c:v>75.24065635672153</c:v>
                </c:pt>
                <c:pt idx="140">
                  <c:v>76.295274999185267</c:v>
                </c:pt>
                <c:pt idx="141">
                  <c:v>77.356345444182949</c:v>
                </c:pt>
                <c:pt idx="142">
                  <c:v>78.423845819777057</c:v>
                </c:pt>
                <c:pt idx="143">
                  <c:v>79.497754215643084</c:v>
                </c:pt>
                <c:pt idx="144">
                  <c:v>80.578048683502743</c:v>
                </c:pt>
                <c:pt idx="145">
                  <c:v>81.664707237557124</c:v>
                </c:pt>
                <c:pt idx="146">
                  <c:v>82.757707854919971</c:v>
                </c:pt>
                <c:pt idx="147">
                  <c:v>83.857028476050957</c:v>
                </c:pt>
                <c:pt idx="148">
                  <c:v>84.962647005188884</c:v>
                </c:pt>
                <c:pt idx="149">
                  <c:v>86.074541310784923</c:v>
                </c:pt>
                <c:pt idx="150">
                  <c:v>87.192689225935709</c:v>
                </c:pt>
                <c:pt idx="151">
                  <c:v>88.317068961453813</c:v>
                </c:pt>
                <c:pt idx="152">
                  <c:v>89.447659519146569</c:v>
                </c:pt>
                <c:pt idx="153">
                  <c:v>90.584440279702392</c:v>
                </c:pt>
                <c:pt idx="154">
                  <c:v>91.72739059035041</c:v>
                </c:pt>
                <c:pt idx="155">
                  <c:v>92.876489765256835</c:v>
                </c:pt>
                <c:pt idx="156">
                  <c:v>94.031717085921301</c:v>
                </c:pt>
                <c:pt idx="157">
                  <c:v>95.193051801573034</c:v>
                </c:pt>
                <c:pt idx="158">
                  <c:v>96.360473129566984</c:v>
                </c:pt>
                <c:pt idx="159">
                  <c:v>97.533960255779689</c:v>
                </c:pt>
                <c:pt idx="160">
                  <c:v>98.713492335005057</c:v>
                </c:pt>
                <c:pt idx="161">
                  <c:v>99.899048491349888</c:v>
                </c:pt>
                <c:pt idx="162">
                  <c:v>101.09060781862915</c:v>
                </c:pt>
                <c:pt idx="163">
                  <c:v>102.28814938076106</c:v>
                </c:pt>
                <c:pt idx="164">
                  <c:v>103.49165221216182</c:v>
                </c:pt>
                <c:pt idx="165">
                  <c:v>104.70109531814016</c:v>
                </c:pt>
                <c:pt idx="166">
                  <c:v>105.91645767529138</c:v>
                </c:pt>
                <c:pt idx="167">
                  <c:v>107.13771823189123</c:v>
                </c:pt>
                <c:pt idx="168">
                  <c:v>108.36485590828927</c:v>
                </c:pt>
                <c:pt idx="169">
                  <c:v>109.59784959730196</c:v>
                </c:pt>
                <c:pt idx="170">
                  <c:v>110.83667816460523</c:v>
                </c:pt>
                <c:pt idx="171">
                  <c:v>112.08132044912669</c:v>
                </c:pt>
                <c:pt idx="172">
                  <c:v>113.33175526343732</c:v>
                </c:pt>
                <c:pt idx="173">
                  <c:v>114.58796139414265</c:v>
                </c:pt>
                <c:pt idx="174">
                  <c:v>115.84991760227362</c:v>
                </c:pt>
                <c:pt idx="175">
                  <c:v>117.11760262367662</c:v>
                </c:pt>
                <c:pt idx="176">
                  <c:v>118.3909951694032</c:v>
                </c:pt>
                <c:pt idx="177">
                  <c:v>119.67007392609918</c:v>
                </c:pt>
                <c:pt idx="178">
                  <c:v>120.95481755639308</c:v>
                </c:pt>
                <c:pt idx="179">
                  <c:v>122.24520469928399</c:v>
                </c:pt>
                <c:pt idx="180">
                  <c:v>123.5412139705288</c:v>
                </c:pt>
                <c:pt idx="181">
                  <c:v>124.84282396302883</c:v>
                </c:pt>
                <c:pt idx="182">
                  <c:v>126.15001324721565</c:v>
                </c:pt>
                <c:pt idx="183">
                  <c:v>127.46276037143636</c:v>
                </c:pt>
                <c:pt idx="184">
                  <c:v>128.78104386233801</c:v>
                </c:pt>
                <c:pt idx="185">
                  <c:v>130.10484222525142</c:v>
                </c:pt>
                <c:pt idx="186">
                  <c:v>131.43413394457409</c:v>
                </c:pt>
                <c:pt idx="187">
                  <c:v>132.76889748415255</c:v>
                </c:pt>
                <c:pt idx="188">
                  <c:v>134.10911128766364</c:v>
                </c:pt>
                <c:pt idx="189">
                  <c:v>135.45475377899521</c:v>
                </c:pt>
                <c:pt idx="190">
                  <c:v>136.80580336262588</c:v>
                </c:pt>
                <c:pt idx="191">
                  <c:v>138.16223842400396</c:v>
                </c:pt>
                <c:pt idx="192">
                  <c:v>139.52403732992548</c:v>
                </c:pt>
                <c:pt idx="193">
                  <c:v>140.89117842891139</c:v>
                </c:pt>
                <c:pt idx="194">
                  <c:v>142.26364005158376</c:v>
                </c:pt>
                <c:pt idx="195">
                  <c:v>143.64140051104121</c:v>
                </c:pt>
                <c:pt idx="196">
                  <c:v>145.02443810323317</c:v>
                </c:pt>
                <c:pt idx="197">
                  <c:v>146.41273110733334</c:v>
                </c:pt>
                <c:pt idx="198">
                  <c:v>147.80625778611221</c:v>
                </c:pt>
                <c:pt idx="199">
                  <c:v>149.20499638630838</c:v>
                </c:pt>
                <c:pt idx="200">
                  <c:v>150.6089251389991</c:v>
                </c:pt>
                <c:pt idx="201">
                  <c:v>152.01802225996957</c:v>
                </c:pt>
                <c:pt idx="202">
                  <c:v>153.43226595008136</c:v>
                </c:pt>
                <c:pt idx="203">
                  <c:v>154.85163439563968</c:v>
                </c:pt>
                <c:pt idx="204">
                  <c:v>156.27610576875958</c:v>
                </c:pt>
                <c:pt idx="205">
                  <c:v>157.70565822773102</c:v>
                </c:pt>
                <c:pt idx="206">
                  <c:v>159.14026991738291</c:v>
                </c:pt>
                <c:pt idx="207">
                  <c:v>160.57991896944594</c:v>
                </c:pt>
                <c:pt idx="208">
                  <c:v>162.02458350291434</c:v>
                </c:pt>
                <c:pt idx="209">
                  <c:v>163.47424162440635</c:v>
                </c:pt>
                <c:pt idx="210">
                  <c:v>164.92887142852368</c:v>
                </c:pt>
                <c:pt idx="211">
                  <c:v>166.38845099820966</c:v>
                </c:pt>
                <c:pt idx="212">
                  <c:v>167.85295840510622</c:v>
                </c:pt>
                <c:pt idx="213">
                  <c:v>169.3223717099097</c:v>
                </c:pt>
                <c:pt idx="214">
                  <c:v>170.79666896272528</c:v>
                </c:pt>
                <c:pt idx="215">
                  <c:v>172.2758282034203</c:v>
                </c:pt>
                <c:pt idx="216">
                  <c:v>173.7598274619763</c:v>
                </c:pt>
                <c:pt idx="217">
                  <c:v>175.24864475883973</c:v>
                </c:pt>
                <c:pt idx="218">
                  <c:v>176.74225810527133</c:v>
                </c:pt>
                <c:pt idx="219">
                  <c:v>178.24064550369437</c:v>
                </c:pt>
                <c:pt idx="220">
                  <c:v>179.74378494804134</c:v>
                </c:pt>
                <c:pt idx="221">
                  <c:v>181.25165442409954</c:v>
                </c:pt>
                <c:pt idx="222">
                  <c:v>182.76423190985514</c:v>
                </c:pt>
                <c:pt idx="223">
                  <c:v>184.28149537583602</c:v>
                </c:pt>
                <c:pt idx="224">
                  <c:v>185.80342278545308</c:v>
                </c:pt>
                <c:pt idx="225">
                  <c:v>187.32999209534034</c:v>
                </c:pt>
                <c:pt idx="226">
                  <c:v>188.86118125569359</c:v>
                </c:pt>
                <c:pt idx="227">
                  <c:v>190.39696821060747</c:v>
                </c:pt>
                <c:pt idx="228">
                  <c:v>191.9373308984114</c:v>
                </c:pt>
                <c:pt idx="229">
                  <c:v>193.4822472520039</c:v>
                </c:pt>
                <c:pt idx="230">
                  <c:v>195.03169519918549</c:v>
                </c:pt>
                <c:pt idx="231">
                  <c:v>196.58565266299019</c:v>
                </c:pt>
                <c:pt idx="232">
                  <c:v>198.1440975620155</c:v>
                </c:pt>
                <c:pt idx="233">
                  <c:v>199.70700781075089</c:v>
                </c:pt>
                <c:pt idx="234">
                  <c:v>201.27436131990493</c:v>
                </c:pt>
                <c:pt idx="235">
                  <c:v>202.84613599673071</c:v>
                </c:pt>
                <c:pt idx="236">
                  <c:v>204.42230974534996</c:v>
                </c:pt>
                <c:pt idx="237">
                  <c:v>206.00286046707552</c:v>
                </c:pt>
                <c:pt idx="238">
                  <c:v>207.58776606073229</c:v>
                </c:pt>
                <c:pt idx="239">
                  <c:v>209.17700442297672</c:v>
                </c:pt>
                <c:pt idx="240">
                  <c:v>210.77055344861469</c:v>
                </c:pt>
                <c:pt idx="241">
                  <c:v>212.36839103091785</c:v>
                </c:pt>
                <c:pt idx="242">
                  <c:v>213.97049506193829</c:v>
                </c:pt>
                <c:pt idx="243">
                  <c:v>215.5768434328219</c:v>
                </c:pt>
                <c:pt idx="244">
                  <c:v>217.18741403411985</c:v>
                </c:pt>
                <c:pt idx="245">
                  <c:v>218.80218475609863</c:v>
                </c:pt>
                <c:pt idx="246">
                  <c:v>220.4211334890484</c:v>
                </c:pt>
                <c:pt idx="247">
                  <c:v>222.04423812358991</c:v>
                </c:pt>
                <c:pt idx="248">
                  <c:v>223.67147655097952</c:v>
                </c:pt>
                <c:pt idx="249">
                  <c:v>225.3028266634129</c:v>
                </c:pt>
                <c:pt idx="250">
                  <c:v>226.93826635432683</c:v>
                </c:pt>
                <c:pt idx="251">
                  <c:v>228.5777717415167</c:v>
                </c:pt>
                <c:pt idx="252">
                  <c:v>230.22131539081062</c:v>
                </c:pt>
                <c:pt idx="253">
                  <c:v>231.86886809579477</c:v>
                </c:pt>
                <c:pt idx="254">
                  <c:v>233.52040065703846</c:v>
                </c:pt>
                <c:pt idx="255">
                  <c:v>235.17588388250601</c:v>
                </c:pt>
                <c:pt idx="256">
                  <c:v>236.83528858796566</c:v>
                </c:pt>
                <c:pt idx="257">
                  <c:v>238.49858559739559</c:v>
                </c:pt>
                <c:pt idx="258">
                  <c:v>240.16574574338713</c:v>
                </c:pt>
                <c:pt idx="259">
                  <c:v>241.83673986754496</c:v>
                </c:pt>
                <c:pt idx="260">
                  <c:v>243.51153882088445</c:v>
                </c:pt>
                <c:pt idx="261">
                  <c:v>245.1901134642261</c:v>
                </c:pt>
                <c:pt idx="262">
                  <c:v>246.872434668587</c:v>
                </c:pt>
                <c:pt idx="263">
                  <c:v>248.55847331556933</c:v>
                </c:pt>
                <c:pt idx="264">
                  <c:v>250.248200297746</c:v>
                </c:pt>
                <c:pt idx="265">
                  <c:v>251.94158651904334</c:v>
                </c:pt>
                <c:pt idx="266">
                  <c:v>253.63860289512073</c:v>
                </c:pt>
                <c:pt idx="267">
                  <c:v>255.33922035374735</c:v>
                </c:pt>
                <c:pt idx="268">
                  <c:v>257.04340983517602</c:v>
                </c:pt>
                <c:pt idx="269">
                  <c:v>258.75114229251386</c:v>
                </c:pt>
                <c:pt idx="270">
                  <c:v>260.4623886920902</c:v>
                </c:pt>
                <c:pt idx="271">
                  <c:v>262.17712001382142</c:v>
                </c:pt>
                <c:pt idx="272">
                  <c:v>263.89530725157283</c:v>
                </c:pt>
                <c:pt idx="273">
                  <c:v>265.6169214135175</c:v>
                </c:pt>
                <c:pt idx="274">
                  <c:v>267.34193352249207</c:v>
                </c:pt>
                <c:pt idx="275">
                  <c:v>269.07031461634972</c:v>
                </c:pt>
                <c:pt idx="276">
                  <c:v>270.80203574831006</c:v>
                </c:pt>
                <c:pt idx="277">
                  <c:v>272.53706798730587</c:v>
                </c:pt>
                <c:pt idx="278">
                  <c:v>274.27538241832718</c:v>
                </c:pt>
                <c:pt idx="279">
                  <c:v>276.01695014276197</c:v>
                </c:pt>
                <c:pt idx="280">
                  <c:v>277.76174227873406</c:v>
                </c:pt>
                <c:pt idx="281">
                  <c:v>279.50972996143804</c:v>
                </c:pt>
                <c:pt idx="282">
                  <c:v>281.26088434347099</c:v>
                </c:pt>
                <c:pt idx="283">
                  <c:v>283.01517659516134</c:v>
                </c:pt>
                <c:pt idx="284">
                  <c:v>284.77257790489472</c:v>
                </c:pt>
                <c:pt idx="285">
                  <c:v>286.53305947943676</c:v>
                </c:pt>
                <c:pt idx="286">
                  <c:v>288.29659254425275</c:v>
                </c:pt>
                <c:pt idx="287">
                  <c:v>290.06314834382448</c:v>
                </c:pt>
                <c:pt idx="288">
                  <c:v>291.8326981419641</c:v>
                </c:pt>
                <c:pt idx="289">
                  <c:v>293.60521322212463</c:v>
                </c:pt>
                <c:pt idx="290">
                  <c:v>295.38066488770789</c:v>
                </c:pt>
                <c:pt idx="291">
                  <c:v>297.15902446236902</c:v>
                </c:pt>
                <c:pt idx="292">
                  <c:v>298.94026329031823</c:v>
                </c:pt>
                <c:pt idx="293">
                  <c:v>300.72435273661966</c:v>
                </c:pt>
                <c:pt idx="294">
                  <c:v>302.5112641874868</c:v>
                </c:pt>
                <c:pt idx="295">
                  <c:v>304.30096905057525</c:v>
                </c:pt>
                <c:pt idx="296">
                  <c:v>306.09343875527242</c:v>
                </c:pt>
                <c:pt idx="297">
                  <c:v>307.88864475298419</c:v>
                </c:pt>
                <c:pt idx="298">
                  <c:v>309.68653902881954</c:v>
                </c:pt>
                <c:pt idx="299">
                  <c:v>311.48703462730384</c:v>
                </c:pt>
                <c:pt idx="300">
                  <c:v>313.29002517959941</c:v>
                </c:pt>
                <c:pt idx="301">
                  <c:v>315.0954044176608</c:v>
                </c:pt>
                <c:pt idx="302">
                  <c:v>316.90306617642699</c:v>
                </c:pt>
                <c:pt idx="303">
                  <c:v>318.71290439597681</c:v>
                </c:pt>
                <c:pt idx="304">
                  <c:v>320.52481312364716</c:v>
                </c:pt>
                <c:pt idx="305">
                  <c:v>322.33868651611465</c:v>
                </c:pt>
                <c:pt idx="306">
                  <c:v>324.15441884143996</c:v>
                </c:pt>
                <c:pt idx="307">
                  <c:v>325.97190448107568</c:v>
                </c:pt>
                <c:pt idx="308">
                  <c:v>327.7910379318372</c:v>
                </c:pt>
                <c:pt idx="309">
                  <c:v>329.61171380783691</c:v>
                </c:pt>
                <c:pt idx="310">
                  <c:v>331.43382684238179</c:v>
                </c:pt>
                <c:pt idx="311">
                  <c:v>333.25727188983433</c:v>
                </c:pt>
                <c:pt idx="312">
                  <c:v>335.08194392743701</c:v>
                </c:pt>
                <c:pt idx="313">
                  <c:v>336.90773805710018</c:v>
                </c:pt>
                <c:pt idx="314">
                  <c:v>338.73454950715393</c:v>
                </c:pt>
                <c:pt idx="315">
                  <c:v>340.56227363406327</c:v>
                </c:pt>
                <c:pt idx="316">
                  <c:v>342.39080592410761</c:v>
                </c:pt>
                <c:pt idx="317">
                  <c:v>344.22004199502368</c:v>
                </c:pt>
                <c:pt idx="318">
                  <c:v>346.04987759761303</c:v>
                </c:pt>
                <c:pt idx="319">
                  <c:v>347.88020861731331</c:v>
                </c:pt>
                <c:pt idx="320">
                  <c:v>349.71093107573398</c:v>
                </c:pt>
                <c:pt idx="321">
                  <c:v>351.54194887936637</c:v>
                </c:pt>
                <c:pt idx="322">
                  <c:v>353.3731815586504</c:v>
                </c:pt>
                <c:pt idx="323">
                  <c:v>355.20455650078401</c:v>
                </c:pt>
                <c:pt idx="324">
                  <c:v>357.03600119173421</c:v>
                </c:pt>
                <c:pt idx="325">
                  <c:v>358.86744321686359</c:v>
                </c:pt>
                <c:pt idx="326">
                  <c:v>360.69881026154013</c:v>
                </c:pt>
                <c:pt idx="327">
                  <c:v>362.53003011172962</c:v>
                </c:pt>
                <c:pt idx="328">
                  <c:v>364.36103065457144</c:v>
                </c:pt>
                <c:pt idx="329">
                  <c:v>366.19173987893748</c:v>
                </c:pt>
                <c:pt idx="330">
                  <c:v>368.02208587597414</c:v>
                </c:pt>
                <c:pt idx="331">
                  <c:v>369.85199683962787</c:v>
                </c:pt>
                <c:pt idx="332">
                  <c:v>371.68140106715418</c:v>
                </c:pt>
                <c:pt idx="333">
                  <c:v>373.51022695960978</c:v>
                </c:pt>
                <c:pt idx="334">
                  <c:v>375.33840302232892</c:v>
                </c:pt>
                <c:pt idx="335">
                  <c:v>377.16585786538303</c:v>
                </c:pt>
                <c:pt idx="336">
                  <c:v>378.99252020402429</c:v>
                </c:pt>
                <c:pt idx="337">
                  <c:v>380.81831885911299</c:v>
                </c:pt>
                <c:pt idx="338">
                  <c:v>382.64318275752919</c:v>
                </c:pt>
                <c:pt idx="339">
                  <c:v>384.46704093256801</c:v>
                </c:pt>
                <c:pt idx="340">
                  <c:v>386.28982252431962</c:v>
                </c:pt>
                <c:pt idx="341">
                  <c:v>388.11145678003294</c:v>
                </c:pt>
                <c:pt idx="342">
                  <c:v>389.93187305446429</c:v>
                </c:pt>
                <c:pt idx="343">
                  <c:v>391.75100081021003</c:v>
                </c:pt>
                <c:pt idx="344">
                  <c:v>393.56876961802419</c:v>
                </c:pt>
                <c:pt idx="345">
                  <c:v>395.38510915712038</c:v>
                </c:pt>
                <c:pt idx="346">
                  <c:v>397.1999492154589</c:v>
                </c:pt>
                <c:pt idx="347">
                  <c:v>399.01321969001833</c:v>
                </c:pt>
                <c:pt idx="348">
                  <c:v>400.82485142223686</c:v>
                </c:pt>
                <c:pt idx="349">
                  <c:v>402.63477703209844</c:v>
                </c:pt>
                <c:pt idx="350">
                  <c:v>404.44293008043405</c:v>
                </c:pt>
                <c:pt idx="351">
                  <c:v>406.24924423252725</c:v>
                </c:pt>
                <c:pt idx="352">
                  <c:v>408.05365325827097</c:v>
                </c:pt>
                <c:pt idx="353">
                  <c:v>409.85609103231076</c:v>
                </c:pt>
                <c:pt idx="354">
                  <c:v>411.65649153417553</c:v>
                </c:pt>
                <c:pt idx="355">
                  <c:v>413.45478884839497</c:v>
                </c:pt>
                <c:pt idx="356">
                  <c:v>415.25091716460474</c:v>
                </c:pt>
                <c:pt idx="357">
                  <c:v>417.04481077763842</c:v>
                </c:pt>
                <c:pt idx="358">
                  <c:v>418.83640408760721</c:v>
                </c:pt>
                <c:pt idx="359">
                  <c:v>420.62563159996722</c:v>
                </c:pt>
                <c:pt idx="360">
                  <c:v>422.41244529304026</c:v>
                </c:pt>
                <c:pt idx="361">
                  <c:v>424.19683195549652</c:v>
                </c:pt>
                <c:pt idx="362">
                  <c:v>425.97879575924941</c:v>
                </c:pt>
                <c:pt idx="363">
                  <c:v>427.75834086238825</c:v>
                </c:pt>
                <c:pt idx="364">
                  <c:v>429.53547140923843</c:v>
                </c:pt>
                <c:pt idx="365">
                  <c:v>431.31019153042092</c:v>
                </c:pt>
                <c:pt idx="366">
                  <c:v>433.08250534291182</c:v>
                </c:pt>
                <c:pt idx="367">
                  <c:v>434.8524169501012</c:v>
                </c:pt>
                <c:pt idx="368">
                  <c:v>436.61993044185203</c:v>
                </c:pt>
                <c:pt idx="369">
                  <c:v>438.38504989455845</c:v>
                </c:pt>
                <c:pt idx="370">
                  <c:v>440.1477793712038</c:v>
                </c:pt>
                <c:pt idx="371">
                  <c:v>441.90812292141857</c:v>
                </c:pt>
                <c:pt idx="372">
                  <c:v>443.66608458153763</c:v>
                </c:pt>
                <c:pt idx="373">
                  <c:v>445.42166837465754</c:v>
                </c:pt>
                <c:pt idx="374">
                  <c:v>447.17487831069315</c:v>
                </c:pt>
                <c:pt idx="375">
                  <c:v>448.92571838643437</c:v>
                </c:pt>
                <c:pt idx="376">
                  <c:v>450.67419258560221</c:v>
                </c:pt>
                <c:pt idx="377">
                  <c:v>452.42030487890469</c:v>
                </c:pt>
                <c:pt idx="378">
                  <c:v>454.1640592240924</c:v>
                </c:pt>
                <c:pt idx="379">
                  <c:v>455.90545956601397</c:v>
                </c:pt>
                <c:pt idx="380">
                  <c:v>457.64450983667092</c:v>
                </c:pt>
                <c:pt idx="381">
                  <c:v>459.3812139552723</c:v>
                </c:pt>
                <c:pt idx="382">
                  <c:v>461.1155758282892</c:v>
                </c:pt>
                <c:pt idx="383">
                  <c:v>462.84759934950887</c:v>
                </c:pt>
                <c:pt idx="384">
                  <c:v>464.57728840008843</c:v>
                </c:pt>
                <c:pt idx="385">
                  <c:v>466.30464684860851</c:v>
                </c:pt>
                <c:pt idx="386">
                  <c:v>468.02967855112644</c:v>
                </c:pt>
                <c:pt idx="387">
                  <c:v>469.75238735122917</c:v>
                </c:pt>
                <c:pt idx="388">
                  <c:v>471.47277708008602</c:v>
                </c:pt>
                <c:pt idx="389">
                  <c:v>473.19085155650095</c:v>
                </c:pt>
                <c:pt idx="390">
                  <c:v>474.90661458696474</c:v>
                </c:pt>
                <c:pt idx="391">
                  <c:v>476.62006996570688</c:v>
                </c:pt>
                <c:pt idx="392">
                  <c:v>478.331221474747</c:v>
                </c:pt>
                <c:pt idx="393">
                  <c:v>480.04007288394615</c:v>
                </c:pt>
                <c:pt idx="394">
                  <c:v>481.74662795105797</c:v>
                </c:pt>
                <c:pt idx="395">
                  <c:v>483.45089042177915</c:v>
                </c:pt>
                <c:pt idx="396">
                  <c:v>485.15286402980018</c:v>
                </c:pt>
                <c:pt idx="397">
                  <c:v>486.85255249685531</c:v>
                </c:pt>
                <c:pt idx="398">
                  <c:v>488.54995953277256</c:v>
                </c:pt>
                <c:pt idx="399">
                  <c:v>490.24508883552346</c:v>
                </c:pt>
                <c:pt idx="400">
                  <c:v>491.93794409127236</c:v>
                </c:pt>
                <c:pt idx="401">
                  <c:v>508.74170869813679</c:v>
                </c:pt>
                <c:pt idx="402">
                  <c:v>525.32043421578862</c:v>
                </c:pt>
                <c:pt idx="403">
                  <c:v>541.67769313597285</c:v>
                </c:pt>
                <c:pt idx="404">
                  <c:v>557.81694627271884</c:v>
                </c:pt>
                <c:pt idx="405">
                  <c:v>573.74154726872325</c:v>
                </c:pt>
                <c:pt idx="406">
                  <c:v>589.45474687242347</c:v>
                </c:pt>
                <c:pt idx="407">
                  <c:v>604.95969699966679</c:v>
                </c:pt>
                <c:pt idx="408">
                  <c:v>620.25945459289983</c:v>
                </c:pt>
                <c:pt idx="409">
                  <c:v>635.35698528990451</c:v>
                </c:pt>
                <c:pt idx="410">
                  <c:v>650.25516691327471</c:v>
                </c:pt>
                <c:pt idx="411">
                  <c:v>664.95679279106696</c:v>
                </c:pt>
                <c:pt idx="412">
                  <c:v>679.46457491835042</c:v>
                </c:pt>
                <c:pt idx="413">
                  <c:v>693.78114696873206</c:v>
                </c:pt>
                <c:pt idx="414">
                  <c:v>707.90906716433108</c:v>
                </c:pt>
                <c:pt idx="415">
                  <c:v>721.85082101211958</c:v>
                </c:pt>
                <c:pt idx="416">
                  <c:v>735.60882391403356</c:v>
                </c:pt>
                <c:pt idx="417">
                  <c:v>749.18542365777955</c:v>
                </c:pt>
                <c:pt idx="418">
                  <c:v>762.58290279482071</c:v>
                </c:pt>
                <c:pt idx="419">
                  <c:v>775.80348091161773</c:v>
                </c:pt>
                <c:pt idx="420">
                  <c:v>788.84931679981707</c:v>
                </c:pt>
                <c:pt idx="421">
                  <c:v>801.72251053072819</c:v>
                </c:pt>
                <c:pt idx="422">
                  <c:v>814.42510543910043</c:v>
                </c:pt>
                <c:pt idx="423">
                  <c:v>826.95909002090661</c:v>
                </c:pt>
                <c:pt idx="424">
                  <c:v>839.32639974955487</c:v>
                </c:pt>
                <c:pt idx="425">
                  <c:v>851.52891881468611</c:v>
                </c:pt>
                <c:pt idx="426">
                  <c:v>863.56848178746645</c:v>
                </c:pt>
                <c:pt idx="427">
                  <c:v>875.44687521605545</c:v>
                </c:pt>
                <c:pt idx="428">
                  <c:v>887.16583915471449</c:v>
                </c:pt>
                <c:pt idx="429">
                  <c:v>898.72706862982056</c:v>
                </c:pt>
                <c:pt idx="430">
                  <c:v>910.1322150458617</c:v>
                </c:pt>
                <c:pt idx="431">
                  <c:v>921.38288753431664</c:v>
                </c:pt>
                <c:pt idx="432">
                  <c:v>932.48065424815627</c:v>
                </c:pt>
                <c:pt idx="433">
                  <c:v>943.42704360455195</c:v>
                </c:pt>
                <c:pt idx="434">
                  <c:v>954.22354547823136</c:v>
                </c:pt>
                <c:pt idx="435">
                  <c:v>964.87161234778898</c:v>
                </c:pt>
                <c:pt idx="436">
                  <c:v>975.37266039713097</c:v>
                </c:pt>
                <c:pt idx="437">
                  <c:v>985.72807057411683</c:v>
                </c:pt>
                <c:pt idx="438">
                  <c:v>995.9391896083489</c:v>
                </c:pt>
                <c:pt idx="439">
                  <c:v>1006.0073309899566</c:v>
                </c:pt>
                <c:pt idx="440">
                  <c:v>1015.9337759111237</c:v>
                </c:pt>
                <c:pt idx="441">
                  <c:v>1025.719774172017</c:v>
                </c:pt>
                <c:pt idx="442">
                  <c:v>1035.3665450526839</c:v>
                </c:pt>
                <c:pt idx="443">
                  <c:v>1044.875278152412</c:v>
                </c:pt>
                <c:pt idx="444">
                  <c:v>1054.2471341979578</c:v>
                </c:pt>
                <c:pt idx="445">
                  <c:v>1063.4832458219901</c:v>
                </c:pt>
                <c:pt idx="446">
                  <c:v>1072.5847183130143</c:v>
                </c:pt>
                <c:pt idx="447">
                  <c:v>1081.552630337992</c:v>
                </c:pt>
                <c:pt idx="448">
                  <c:v>1090.3880346387982</c:v>
                </c:pt>
                <c:pt idx="449">
                  <c:v>1099.0919587036096</c:v>
                </c:pt>
                <c:pt idx="450">
                  <c:v>1107.6654054142596</c:v>
                </c:pt>
                <c:pt idx="451">
                  <c:v>1116.1093536705466</c:v>
                </c:pt>
                <c:pt idx="452">
                  <c:v>1124.4247589924344</c:v>
                </c:pt>
                <c:pt idx="453">
                  <c:v>1132.6125541010347</c:v>
                </c:pt>
                <c:pt idx="454">
                  <c:v>1140.6736494792249</c:v>
                </c:pt>
                <c:pt idx="455">
                  <c:v>1148.6089339127091</c:v>
                </c:pt>
                <c:pt idx="456">
                  <c:v>1156.4192750122916</c:v>
                </c:pt>
                <c:pt idx="457">
                  <c:v>1164.1055197181008</c:v>
                </c:pt>
                <c:pt idx="458">
                  <c:v>1171.6684947864621</c:v>
                </c:pt>
                <c:pt idx="459">
                  <c:v>1179.1090072600871</c:v>
                </c:pt>
                <c:pt idx="460">
                  <c:v>1186.4278449222165</c:v>
                </c:pt>
                <c:pt idx="461">
                  <c:v>1193.6257767353268</c:v>
                </c:pt>
                <c:pt idx="462">
                  <c:v>1200.7035532649761</c:v>
                </c:pt>
                <c:pt idx="463">
                  <c:v>1207.6619070893473</c:v>
                </c:pt>
                <c:pt idx="464">
                  <c:v>1214.5015531950157</c:v>
                </c:pt>
                <c:pt idx="465">
                  <c:v>1221.223189359446</c:v>
                </c:pt>
                <c:pt idx="466">
                  <c:v>1227.8274965207022</c:v>
                </c:pt>
                <c:pt idx="467">
                  <c:v>1234.3151391348322</c:v>
                </c:pt>
                <c:pt idx="468">
                  <c:v>1240.6867655213678</c:v>
                </c:pt>
                <c:pt idx="469">
                  <c:v>1246.9430081973626</c:v>
                </c:pt>
                <c:pt idx="470">
                  <c:v>1253.0844842003723</c:v>
                </c:pt>
                <c:pt idx="471">
                  <c:v>1259.1117954007639</c:v>
                </c:pt>
                <c:pt idx="472">
                  <c:v>1265.0255288037229</c:v>
                </c:pt>
                <c:pt idx="473">
                  <c:v>1270.8262568413163</c:v>
                </c:pt>
                <c:pt idx="474">
                  <c:v>1276.5145376549481</c:v>
                </c:pt>
                <c:pt idx="475">
                  <c:v>1282.0909153685357</c:v>
                </c:pt>
                <c:pt idx="476">
                  <c:v>1287.5559203527191</c:v>
                </c:pt>
                <c:pt idx="477">
                  <c:v>1292.9100694804038</c:v>
                </c:pt>
                <c:pt idx="478">
                  <c:v>1298.1538663739252</c:v>
                </c:pt>
                <c:pt idx="479">
                  <c:v>1303.2878016441125</c:v>
                </c:pt>
                <c:pt idx="480">
                  <c:v>1308.3123531215192</c:v>
                </c:pt>
                <c:pt idx="481">
                  <c:v>1313.2279860800759</c:v>
                </c:pt>
                <c:pt idx="482">
                  <c:v>1318.0351534534157</c:v>
                </c:pt>
                <c:pt idx="483">
                  <c:v>1322.7342960441085</c:v>
                </c:pt>
                <c:pt idx="484">
                  <c:v>1327.3258427260391</c:v>
                </c:pt>
                <c:pt idx="485">
                  <c:v>1331.8102106401502</c:v>
                </c:pt>
                <c:pt idx="486">
                  <c:v>1336.1878053837709</c:v>
                </c:pt>
                <c:pt idx="487">
                  <c:v>1340.4590211937407</c:v>
                </c:pt>
                <c:pt idx="488">
                  <c:v>1344.6242411235373</c:v>
                </c:pt>
                <c:pt idx="489">
                  <c:v>1348.6838372146121</c:v>
                </c:pt>
                <c:pt idx="490">
                  <c:v>1352.6381706621301</c:v>
                </c:pt>
                <c:pt idx="491">
                  <c:v>1356.4875919753163</c:v>
                </c:pt>
                <c:pt idx="492">
                  <c:v>1360.2324411326028</c:v>
                </c:pt>
                <c:pt idx="493">
                  <c:v>1363.8730477317736</c:v>
                </c:pt>
                <c:pt idx="494">
                  <c:v>1367.4097311353069</c:v>
                </c:pt>
                <c:pt idx="495">
                  <c:v>1370.8428006111189</c:v>
                </c:pt>
                <c:pt idx="496">
                  <c:v>1374.1725554689144</c:v>
                </c:pt>
                <c:pt idx="497">
                  <c:v>1377.3992851923631</c:v>
                </c:pt>
                <c:pt idx="498">
                  <c:v>1380.5232695673267</c:v>
                </c:pt>
                <c:pt idx="499">
                  <c:v>1383.5447788063821</c:v>
                </c:pt>
                <c:pt idx="500">
                  <c:v>1386.4640736698959</c:v>
                </c:pt>
                <c:pt idx="501">
                  <c:v>1389.281405583939</c:v>
                </c:pt>
                <c:pt idx="502">
                  <c:v>1391.9970167553495</c:v>
                </c:pt>
                <c:pt idx="503">
                  <c:v>1394.6111402842989</c:v>
                </c:pt>
                <c:pt idx="504">
                  <c:v>1397.1240002747543</c:v>
                </c:pt>
                <c:pt idx="505">
                  <c:v>1399.5358119432899</c:v>
                </c:pt>
                <c:pt idx="506">
                  <c:v>1401.8467817267717</c:v>
                </c:pt>
                <c:pt idx="507">
                  <c:v>1404.0571073895258</c:v>
                </c:pt>
                <c:pt idx="508">
                  <c:v>1406.1669781307037</c:v>
                </c:pt>
                <c:pt idx="509">
                  <c:v>1408.1765746926978</c:v>
                </c:pt>
                <c:pt idx="510">
                  <c:v>1410.0860694716116</c:v>
                </c:pt>
                <c:pt idx="511">
                  <c:v>1411.8956266309951</c:v>
                </c:pt>
                <c:pt idx="512">
                  <c:v>1413.6054022202916</c:v>
                </c:pt>
                <c:pt idx="513">
                  <c:v>1415.2155442997348</c:v>
                </c:pt>
                <c:pt idx="514">
                  <c:v>1416.7261930737914</c:v>
                </c:pt>
                <c:pt idx="515">
                  <c:v>1418.137481035656</c:v>
                </c:pt>
                <c:pt idx="516">
                  <c:v>1419.4495331258038</c:v>
                </c:pt>
                <c:pt idx="517">
                  <c:v>1420.6624669081712</c:v>
                </c:pt>
                <c:pt idx="518">
                  <c:v>1421.7763927681699</c:v>
                </c:pt>
                <c:pt idx="519">
                  <c:v>1422.791414137426</c:v>
                </c:pt>
                <c:pt idx="520">
                  <c:v>1423.7076277508202</c:v>
                </c:pt>
                <c:pt idx="521">
                  <c:v>1424.525123942039</c:v>
                </c:pt>
                <c:pt idx="522">
                  <c:v>1425.2439869842974</c:v>
                </c:pt>
                <c:pt idx="523">
                  <c:v>1425.8642954830227</c:v>
                </c:pt>
                <c:pt idx="524">
                  <c:v>1426.3861228269077</c:v>
                </c:pt>
                <c:pt idx="525">
                  <c:v>1426.8095377026211</c:v>
                </c:pt>
                <c:pt idx="526">
                  <c:v>1427.1346046764331</c:v>
                </c:pt>
                <c:pt idx="527">
                  <c:v>1427.36138484295</c:v>
                </c:pt>
                <c:pt idx="528">
                  <c:v>1427.4899365371464</c:v>
                </c:pt>
                <c:pt idx="529">
                  <c:v>1427.5203161012212</c:v>
                </c:pt>
                <c:pt idx="530">
                  <c:v>1427.4525786930656</c:v>
                </c:pt>
                <c:pt idx="531">
                  <c:v>1427.2867791190511</c:v>
                </c:pt>
                <c:pt idx="532">
                  <c:v>1427.0229726711766</c:v>
                </c:pt>
                <c:pt idx="533">
                  <c:v>1426.6612159478925</c:v>
                </c:pt>
                <c:pt idx="534">
                  <c:v>1426.2015676393048</c:v>
                </c:pt>
                <c:pt idx="535">
                  <c:v>1425.6440892606629</c:v>
                </c:pt>
                <c:pt idx="536">
                  <c:v>1424.9888458224182</c:v>
                </c:pt>
                <c:pt idx="537">
                  <c:v>1424.2359064299444</c:v>
                </c:pt>
                <c:pt idx="538">
                  <c:v>1423.3853448105212</c:v>
                </c:pt>
                <c:pt idx="539">
                  <c:v>1422.4372397689165</c:v>
                </c:pt>
                <c:pt idx="540">
                  <c:v>1421.3916755756338</c:v>
                </c:pt>
                <c:pt idx="541">
                  <c:v>1420.2487422936156</c:v>
                </c:pt>
                <c:pt idx="542">
                  <c:v>1419.0085360500375</c:v>
                </c:pt>
                <c:pt idx="543">
                  <c:v>1417.6711592600197</c:v>
                </c:pt>
                <c:pt idx="544">
                  <c:v>1416.2367208088176</c:v>
                </c:pt>
                <c:pt idx="545">
                  <c:v>1414.7053361985118</c:v>
                </c:pt>
                <c:pt idx="546">
                  <c:v>1413.077127664556</c:v>
                </c:pt>
                <c:pt idx="547">
                  <c:v>1411.3522242668337</c:v>
                </c:pt>
                <c:pt idx="548">
                  <c:v>1409.5307619591961</c:v>
                </c:pt>
                <c:pt idx="549">
                  <c:v>1407.6128836408323</c:v>
                </c:pt>
                <c:pt idx="550">
                  <c:v>1405.5987391922722</c:v>
                </c:pt>
                <c:pt idx="551">
                  <c:v>1403.4884854983536</c:v>
                </c:pt>
                <c:pt idx="552">
                  <c:v>1401.2822864600785</c:v>
                </c:pt>
                <c:pt idx="553">
                  <c:v>1398.9803129969557</c:v>
                </c:pt>
                <c:pt idx="554">
                  <c:v>1396.5827430411439</c:v>
                </c:pt>
                <c:pt idx="555">
                  <c:v>1394.089761524483</c:v>
                </c:pt>
                <c:pt idx="556">
                  <c:v>1391.5015603593147</c:v>
                </c:pt>
                <c:pt idx="557">
                  <c:v>1388.8183384138381</c:v>
                </c:pt>
                <c:pt idx="558">
                  <c:v>1386.0403014826225</c:v>
                </c:pt>
                <c:pt idx="559">
                  <c:v>1383.1676622527946</c:v>
                </c:pt>
                <c:pt idx="560">
                  <c:v>1380.2006402663362</c:v>
                </c:pt>
                <c:pt idx="561">
                  <c:v>1377.139461878859</c:v>
                </c:pt>
                <c:pt idx="562">
                  <c:v>1373.9843602151655</c:v>
                </c:pt>
                <c:pt idx="563">
                  <c:v>1370.7355751218606</c:v>
                </c:pt>
                <c:pt idx="564">
                  <c:v>1367.3933531172431</c:v>
                </c:pt>
                <c:pt idx="565">
                  <c:v>1363.957947338668</c:v>
                </c:pt>
                <c:pt idx="566">
                  <c:v>1360.4296174875526</c:v>
                </c:pt>
                <c:pt idx="567">
                  <c:v>1356.8086297721736</c:v>
                </c:pt>
                <c:pt idx="568">
                  <c:v>1353.0952568483872</c:v>
                </c:pt>
                <c:pt idx="569">
                  <c:v>1349.2897777583858</c:v>
                </c:pt>
                <c:pt idx="570">
                  <c:v>1345.3924778675998</c:v>
                </c:pt>
                <c:pt idx="571">
                  <c:v>1341.4036487998349</c:v>
                </c:pt>
                <c:pt idx="572">
                  <c:v>1337.3235883707307</c:v>
                </c:pt>
                <c:pt idx="573">
                  <c:v>1333.1526005196226</c:v>
                </c:pt>
                <c:pt idx="574">
                  <c:v>1328.8909952398756</c:v>
                </c:pt>
                <c:pt idx="575">
                  <c:v>1324.5390885077584</c:v>
                </c:pt>
                <c:pt idx="576">
                  <c:v>1320.0972022099247</c:v>
                </c:pt>
                <c:pt idx="577">
                  <c:v>1315.5656640695559</c:v>
                </c:pt>
                <c:pt idx="578">
                  <c:v>1310.944807571226</c:v>
                </c:pt>
                <c:pt idx="579">
                  <c:v>1306.2349718845428</c:v>
                </c:pt>
                <c:pt idx="580">
                  <c:v>1301.4365017866155</c:v>
                </c:pt>
                <c:pt idx="581">
                  <c:v>1296.5497475834002</c:v>
                </c:pt>
                <c:pt idx="582">
                  <c:v>1291.5750650299724</c:v>
                </c:pt>
                <c:pt idx="583">
                  <c:v>1286.5128152497732</c:v>
                </c:pt>
                <c:pt idx="584">
                  <c:v>1281.3633646528751</c:v>
                </c:pt>
                <c:pt idx="585">
                  <c:v>1276.1270848533143</c:v>
                </c:pt>
                <c:pt idx="586">
                  <c:v>1270.8043525855298</c:v>
                </c:pt>
                <c:pt idx="587">
                  <c:v>1265.395549619959</c:v>
                </c:pt>
                <c:pt idx="588">
                  <c:v>1259.9010626778252</c:v>
                </c:pt>
                <c:pt idx="589">
                  <c:v>1254.3212833451669</c:v>
                </c:pt>
                <c:pt idx="590">
                  <c:v>1248.6566079861432</c:v>
                </c:pt>
                <c:pt idx="591">
                  <c:v>1242.9074376556625</c:v>
                </c:pt>
                <c:pt idx="592">
                  <c:v>1237.074178011371</c:v>
                </c:pt>
                <c:pt idx="593">
                  <c:v>1231.1572392250437</c:v>
                </c:pt>
                <c:pt idx="594">
                  <c:v>1225.1570358934159</c:v>
                </c:pt>
                <c:pt idx="595">
                  <c:v>1219.0739869484978</c:v>
                </c:pt>
                <c:pt idx="596">
                  <c:v>1212.9085155674061</c:v>
                </c:pt>
                <c:pt idx="597">
                  <c:v>1206.6610490817568</c:v>
                </c:pt>
                <c:pt idx="598">
                  <c:v>1200.3320188866542</c:v>
                </c:pt>
                <c:pt idx="599">
                  <c:v>1193.9218603493148</c:v>
                </c:pt>
                <c:pt idx="600">
                  <c:v>1187.4310127173644</c:v>
                </c:pt>
                <c:pt idx="601">
                  <c:v>1180.8599190268453</c:v>
                </c:pt>
                <c:pt idx="602">
                  <c:v>1174.2090260099703</c:v>
                </c:pt>
                <c:pt idx="603">
                  <c:v>1167.4787840026606</c:v>
                </c:pt>
                <c:pt idx="604">
                  <c:v>1160.6696468519035</c:v>
                </c:pt>
                <c:pt idx="605">
                  <c:v>1153.7820718229659</c:v>
                </c:pt>
                <c:pt idx="606">
                  <c:v>1146.8165195064987</c:v>
                </c:pt>
                <c:pt idx="607">
                  <c:v>1139.7734537255674</c:v>
                </c:pt>
                <c:pt idx="608">
                  <c:v>1132.6533414426444</c:v>
                </c:pt>
                <c:pt idx="609">
                  <c:v>1125.4566526665956</c:v>
                </c:pt>
                <c:pt idx="610">
                  <c:v>1118.1838603596957</c:v>
                </c:pt>
                <c:pt idx="611">
                  <c:v>1110.835440344707</c:v>
                </c:pt>
                <c:pt idx="612">
                  <c:v>1103.4118712120528</c:v>
                </c:pt>
                <c:pt idx="613">
                  <c:v>1095.9136342271183</c:v>
                </c:pt>
                <c:pt idx="614">
                  <c:v>1088.3412132377121</c:v>
                </c:pt>
                <c:pt idx="615">
                  <c:v>1080.6950945817175</c:v>
                </c:pt>
                <c:pt idx="616">
                  <c:v>1072.9757669949688</c:v>
                </c:pt>
                <c:pt idx="617">
                  <c:v>1065.1837215193773</c:v>
                </c:pt>
                <c:pt idx="618">
                  <c:v>1057.3194514113432</c:v>
                </c:pt>
                <c:pt idx="619">
                  <c:v>1049.3834520504779</c:v>
                </c:pt>
                <c:pt idx="620">
                  <c:v>1041.3762208486692</c:v>
                </c:pt>
                <c:pt idx="621">
                  <c:v>1033.2982571595153</c:v>
                </c:pt>
                <c:pt idx="622">
                  <c:v>1025.1500621881576</c:v>
                </c:pt>
                <c:pt idx="623">
                  <c:v>1016.9321389015386</c:v>
                </c:pt>
                <c:pt idx="624">
                  <c:v>1008.6449919391113</c:v>
                </c:pt>
                <c:pt idx="625">
                  <c:v>1000.2891275240272</c:v>
                </c:pt>
                <c:pt idx="626">
                  <c:v>991.86505337482868</c:v>
                </c:pt>
                <c:pt idx="627">
                  <c:v>983.37327861766948</c:v>
                </c:pt>
                <c:pt idx="628">
                  <c:v>974.81431369908978</c:v>
                </c:pt>
                <c:pt idx="629">
                  <c:v>966.18867029936769</c:v>
                </c:pt>
                <c:pt idx="630">
                  <c:v>957.49686124647224</c:v>
                </c:pt>
                <c:pt idx="631">
                  <c:v>948.73940043063908</c:v>
                </c:pt>
                <c:pt idx="632">
                  <c:v>939.91680271959228</c:v>
                </c:pt>
                <c:pt idx="633">
                  <c:v>931.02958387443289</c:v>
                </c:pt>
                <c:pt idx="634">
                  <c:v>922.07826046621506</c:v>
                </c:pt>
                <c:pt idx="635">
                  <c:v>913.06334979323071</c:v>
                </c:pt>
                <c:pt idx="636">
                  <c:v>903.98536979902167</c:v>
                </c:pt>
                <c:pt idx="637">
                  <c:v>894.84483899113832</c:v>
                </c:pt>
                <c:pt idx="638">
                  <c:v>885.64227636066369</c:v>
                </c:pt>
                <c:pt idx="639">
                  <c:v>876.37820130252044</c:v>
                </c:pt>
                <c:pt idx="640">
                  <c:v>867.05313353657743</c:v>
                </c:pt>
                <c:pt idx="641">
                  <c:v>857.66759302957314</c:v>
                </c:pt>
                <c:pt idx="642">
                  <c:v>848.22209991787133</c:v>
                </c:pt>
                <c:pt idx="643">
                  <c:v>838.71717443106445</c:v>
                </c:pt>
                <c:pt idx="644">
                  <c:v>829.15333681643938</c:v>
                </c:pt>
                <c:pt idx="645">
                  <c:v>819.5311072643193</c:v>
                </c:pt>
                <c:pt idx="646">
                  <c:v>809.85100583429573</c:v>
                </c:pt>
                <c:pt idx="647">
                  <c:v>800.11355238236251</c:v>
                </c:pt>
                <c:pt idx="648">
                  <c:v>790.31926648896501</c:v>
                </c:pt>
                <c:pt idx="649">
                  <c:v>780.46866738797542</c:v>
                </c:pt>
                <c:pt idx="650">
                  <c:v>770.56227389660546</c:v>
                </c:pt>
                <c:pt idx="651">
                  <c:v>760.60060434626655</c:v>
                </c:pt>
                <c:pt idx="652">
                  <c:v>750.58417651438754</c:v>
                </c:pt>
                <c:pt idx="653">
                  <c:v>740.51350755719909</c:v>
                </c:pt>
                <c:pt idx="654">
                  <c:v>730.38911394349316</c:v>
                </c:pt>
                <c:pt idx="655">
                  <c:v>720.21151138936591</c:v>
                </c:pt>
                <c:pt idx="656">
                  <c:v>709.98121479395093</c:v>
                </c:pt>
                <c:pt idx="657">
                  <c:v>699.69873817615075</c:v>
                </c:pt>
                <c:pt idx="658">
                  <c:v>689.36459461237132</c:v>
                </c:pt>
                <c:pt idx="659">
                  <c:v>678.97929617526688</c:v>
                </c:pt>
                <c:pt idx="660">
                  <c:v>668.54335387349954</c:v>
                </c:pt>
                <c:pt idx="661">
                  <c:v>658.05727759251806</c:v>
                </c:pt>
                <c:pt idx="662">
                  <c:v>647.52157603636101</c:v>
                </c:pt>
                <c:pt idx="663">
                  <c:v>636.93675667048637</c:v>
                </c:pt>
                <c:pt idx="664">
                  <c:v>626.30332566563243</c:v>
                </c:pt>
                <c:pt idx="665">
                  <c:v>615.62178784271111</c:v>
                </c:pt>
                <c:pt idx="666">
                  <c:v>604.89264661873653</c:v>
                </c:pt>
                <c:pt idx="667">
                  <c:v>594.11640395379038</c:v>
                </c:pt>
                <c:pt idx="668">
                  <c:v>583.29356029902522</c:v>
                </c:pt>
                <c:pt idx="669">
                  <c:v>572.42461454570571</c:v>
                </c:pt>
                <c:pt idx="670">
                  <c:v>561.51006397528909</c:v>
                </c:pt>
                <c:pt idx="671">
                  <c:v>550.55040421054366</c:v>
                </c:pt>
                <c:pt idx="672">
                  <c:v>539.54612916770498</c:v>
                </c:pt>
                <c:pt idx="673">
                  <c:v>528.49773100966831</c:v>
                </c:pt>
                <c:pt idx="674">
                  <c:v>517.40570010021645</c:v>
                </c:pt>
                <c:pt idx="675">
                  <c:v>506.2705249592795</c:v>
                </c:pt>
                <c:pt idx="676">
                  <c:v>495.09269221922602</c:v>
                </c:pt>
                <c:pt idx="677">
                  <c:v>483.87268658218102</c:v>
                </c:pt>
                <c:pt idx="678">
                  <c:v>472.61099077836866</c:v>
                </c:pt>
                <c:pt idx="679">
                  <c:v>461.30808552547563</c:v>
                </c:pt>
                <c:pt idx="680">
                  <c:v>449.96444948903132</c:v>
                </c:pt>
                <c:pt idx="681">
                  <c:v>438.58055924380039</c:v>
                </c:pt>
                <c:pt idx="682">
                  <c:v>427.15688923618313</c:v>
                </c:pt>
                <c:pt idx="683">
                  <c:v>415.69391174761876</c:v>
                </c:pt>
                <c:pt idx="684">
                  <c:v>404.19209685898591</c:v>
                </c:pt>
                <c:pt idx="685">
                  <c:v>392.65191241599484</c:v>
                </c:pt>
                <c:pt idx="686">
                  <c:v>381.07382399556565</c:v>
                </c:pt>
                <c:pt idx="687">
                  <c:v>369.45829487318565</c:v>
                </c:pt>
                <c:pt idx="688">
                  <c:v>357.80578599123993</c:v>
                </c:pt>
                <c:pt idx="689">
                  <c:v>346.11675592830767</c:v>
                </c:pt>
                <c:pt idx="690">
                  <c:v>334.39166086941759</c:v>
                </c:pt>
                <c:pt idx="691">
                  <c:v>322.63095457725478</c:v>
                </c:pt>
                <c:pt idx="692">
                  <c:v>310.83508836431145</c:v>
                </c:pt>
                <c:pt idx="693">
                  <c:v>299.00451106597376</c:v>
                </c:pt>
                <c:pt idx="694">
                  <c:v>287.13966901453648</c:v>
                </c:pt>
                <c:pt idx="695">
                  <c:v>275.24100601413699</c:v>
                </c:pt>
                <c:pt idx="696">
                  <c:v>263.30896331660068</c:v>
                </c:pt>
                <c:pt idx="697">
                  <c:v>251.34397959818816</c:v>
                </c:pt>
                <c:pt idx="698">
                  <c:v>239.3464909372361</c:v>
                </c:pt>
                <c:pt idx="699">
                  <c:v>227.31693079268194</c:v>
                </c:pt>
                <c:pt idx="700">
                  <c:v>215.2557299834636</c:v>
                </c:pt>
                <c:pt idx="701">
                  <c:v>203.16331666878449</c:v>
                </c:pt>
                <c:pt idx="702">
                  <c:v>191.04011632923417</c:v>
                </c:pt>
                <c:pt idx="703">
                  <c:v>178.88655174875498</c:v>
                </c:pt>
                <c:pt idx="704">
                  <c:v>166.70304299744464</c:v>
                </c:pt>
                <c:pt idx="705">
                  <c:v>154.49000741518475</c:v>
                </c:pt>
                <c:pt idx="706">
                  <c:v>142.24785959608496</c:v>
                </c:pt>
                <c:pt idx="707">
                  <c:v>129.97701137373264</c:v>
                </c:pt>
                <c:pt idx="708">
                  <c:v>117.67787180723749</c:v>
                </c:pt>
                <c:pt idx="709">
                  <c:v>105.3508471680606</c:v>
                </c:pt>
                <c:pt idx="710">
                  <c:v>92.996340927617368</c:v>
                </c:pt>
                <c:pt idx="711">
                  <c:v>80.614753745643668</c:v>
                </c:pt>
                <c:pt idx="712">
                  <c:v>68.206483459314299</c:v>
                </c:pt>
                <c:pt idx="713">
                  <c:v>55.771925073103048</c:v>
                </c:pt>
                <c:pt idx="714">
                  <c:v>43.311470749373328</c:v>
                </c:pt>
                <c:pt idx="715">
                  <c:v>30.825509799688554</c:v>
                </c:pt>
                <c:pt idx="716">
                  <c:v>18.314428676831142</c:v>
                </c:pt>
                <c:pt idx="717">
                  <c:v>5.7786109675191106</c:v>
                </c:pt>
                <c:pt idx="718">
                  <c:v>-6.7815626141907881</c:v>
                </c:pt>
                <c:pt idx="719">
                  <c:v>-6.7941348827845758</c:v>
                </c:pt>
                <c:pt idx="720">
                  <c:v>-6.8067071751680173</c:v>
                </c:pt>
                <c:pt idx="721">
                  <c:v>-6.8192794913407386</c:v>
                </c:pt>
                <c:pt idx="722">
                  <c:v>-6.8318518313023677</c:v>
                </c:pt>
                <c:pt idx="723">
                  <c:v>-6.8444241950525324</c:v>
                </c:pt>
                <c:pt idx="724">
                  <c:v>-6.8569965825908588</c:v>
                </c:pt>
                <c:pt idx="725">
                  <c:v>-6.8695689939169746</c:v>
                </c:pt>
                <c:pt idx="726">
                  <c:v>-6.8821414290305079</c:v>
                </c:pt>
                <c:pt idx="727">
                  <c:v>-6.8947138879310845</c:v>
                </c:pt>
                <c:pt idx="728">
                  <c:v>-6.9072863706183325</c:v>
                </c:pt>
                <c:pt idx="729">
                  <c:v>-6.9198588770918796</c:v>
                </c:pt>
                <c:pt idx="730">
                  <c:v>-6.932431407351352</c:v>
                </c:pt>
                <c:pt idx="731">
                  <c:v>-6.9450039613963783</c:v>
                </c:pt>
                <c:pt idx="732">
                  <c:v>-6.9575765392265847</c:v>
                </c:pt>
                <c:pt idx="733">
                  <c:v>-6.970149140841599</c:v>
                </c:pt>
                <c:pt idx="734">
                  <c:v>-6.9827217662410481</c:v>
                </c:pt>
                <c:pt idx="735">
                  <c:v>-6.99529441542456</c:v>
                </c:pt>
                <c:pt idx="736">
                  <c:v>-7.0078670883917615</c:v>
                </c:pt>
                <c:pt idx="737">
                  <c:v>-7.0204397851422797</c:v>
                </c:pt>
                <c:pt idx="738">
                  <c:v>-7.0330125056757424</c:v>
                </c:pt>
                <c:pt idx="739">
                  <c:v>-7.0455852499917766</c:v>
                </c:pt>
                <c:pt idx="740">
                  <c:v>-7.0581580180900101</c:v>
                </c:pt>
                <c:pt idx="741">
                  <c:v>-7.0707308099700699</c:v>
                </c:pt>
                <c:pt idx="742">
                  <c:v>-7.0833036256315829</c:v>
                </c:pt>
                <c:pt idx="743">
                  <c:v>-7.095876465074177</c:v>
                </c:pt>
                <c:pt idx="744">
                  <c:v>-7.1084493282974792</c:v>
                </c:pt>
                <c:pt idx="745">
                  <c:v>-7.1210222153011165</c:v>
                </c:pt>
                <c:pt idx="746">
                  <c:v>-7.1335951260847166</c:v>
                </c:pt>
                <c:pt idx="747">
                  <c:v>-7.1461680606479074</c:v>
                </c:pt>
                <c:pt idx="748">
                  <c:v>-7.158741018990316</c:v>
                </c:pt>
                <c:pt idx="749">
                  <c:v>-7.1713140011115692</c:v>
                </c:pt>
                <c:pt idx="750">
                  <c:v>-7.183887007011295</c:v>
                </c:pt>
                <c:pt idx="751">
                  <c:v>-7.1964600366891203</c:v>
                </c:pt>
                <c:pt idx="752">
                  <c:v>-7.209033090144672</c:v>
                </c:pt>
                <c:pt idx="753">
                  <c:v>-7.221606167377578</c:v>
                </c:pt>
                <c:pt idx="754">
                  <c:v>-7.2341792683874662</c:v>
                </c:pt>
                <c:pt idx="755">
                  <c:v>-7.2467523931739635</c:v>
                </c:pt>
                <c:pt idx="756">
                  <c:v>-7.2593255417366969</c:v>
                </c:pt>
                <c:pt idx="757">
                  <c:v>-7.2718987140752942</c:v>
                </c:pt>
                <c:pt idx="758">
                  <c:v>-7.2844719101893824</c:v>
                </c:pt>
                <c:pt idx="759">
                  <c:v>-7.2970451300785895</c:v>
                </c:pt>
                <c:pt idx="760">
                  <c:v>-7.3096183737425422</c:v>
                </c:pt>
                <c:pt idx="761">
                  <c:v>-7.3221916411808676</c:v>
                </c:pt>
                <c:pt idx="762">
                  <c:v>-7.3347649323931936</c:v>
                </c:pt>
                <c:pt idx="763">
                  <c:v>-7.347338247379148</c:v>
                </c:pt>
                <c:pt idx="764">
                  <c:v>-7.3599115861383577</c:v>
                </c:pt>
                <c:pt idx="765">
                  <c:v>-7.3724849486704498</c:v>
                </c:pt>
                <c:pt idx="766">
                  <c:v>-7.385058334975052</c:v>
                </c:pt>
                <c:pt idx="767">
                  <c:v>-7.3976317450517923</c:v>
                </c:pt>
                <c:pt idx="768">
                  <c:v>-7.4102051789002976</c:v>
                </c:pt>
                <c:pt idx="769">
                  <c:v>-7.4227786365201949</c:v>
                </c:pt>
                <c:pt idx="770">
                  <c:v>-7.4353521179111119</c:v>
                </c:pt>
                <c:pt idx="771">
                  <c:v>-7.4479256230726758</c:v>
                </c:pt>
                <c:pt idx="772">
                  <c:v>-7.4604991520045143</c:v>
                </c:pt>
                <c:pt idx="773">
                  <c:v>-7.4730727047062553</c:v>
                </c:pt>
                <c:pt idx="774">
                  <c:v>-7.4856462811775257</c:v>
                </c:pt>
                <c:pt idx="775">
                  <c:v>-7.4982198814179526</c:v>
                </c:pt>
                <c:pt idx="776">
                  <c:v>-7.5107935054271637</c:v>
                </c:pt>
                <c:pt idx="777">
                  <c:v>-7.5233671532047861</c:v>
                </c:pt>
                <c:pt idx="778">
                  <c:v>-7.5359408247504476</c:v>
                </c:pt>
                <c:pt idx="779">
                  <c:v>-7.548514520063776</c:v>
                </c:pt>
                <c:pt idx="780">
                  <c:v>-7.5610882391443983</c:v>
                </c:pt>
                <c:pt idx="781">
                  <c:v>-7.5736619819919415</c:v>
                </c:pt>
                <c:pt idx="782">
                  <c:v>-7.5862357486060334</c:v>
                </c:pt>
                <c:pt idx="783">
                  <c:v>-7.598809538986302</c:v>
                </c:pt>
                <c:pt idx="784">
                  <c:v>-7.611383353132374</c:v>
                </c:pt>
                <c:pt idx="785">
                  <c:v>-7.6239571910438775</c:v>
                </c:pt>
                <c:pt idx="786">
                  <c:v>-7.6365310527204393</c:v>
                </c:pt>
                <c:pt idx="787">
                  <c:v>-7.6491049381616874</c:v>
                </c:pt>
                <c:pt idx="788">
                  <c:v>-7.6616788473672486</c:v>
                </c:pt>
                <c:pt idx="789">
                  <c:v>-7.6742527803367508</c:v>
                </c:pt>
                <c:pt idx="790">
                  <c:v>-7.6868267370698211</c:v>
                </c:pt>
                <c:pt idx="791">
                  <c:v>-7.6994007175660872</c:v>
                </c:pt>
                <c:pt idx="792">
                  <c:v>-7.7119747218251771</c:v>
                </c:pt>
                <c:pt idx="793">
                  <c:v>-7.7245487498467176</c:v>
                </c:pt>
                <c:pt idx="794">
                  <c:v>-7.7371228016303366</c:v>
                </c:pt>
                <c:pt idx="795">
                  <c:v>-7.7496968771756611</c:v>
                </c:pt>
                <c:pt idx="796">
                  <c:v>-7.762270976482319</c:v>
                </c:pt>
                <c:pt idx="797">
                  <c:v>-7.7748450995499372</c:v>
                </c:pt>
                <c:pt idx="798">
                  <c:v>-7.7874192463781435</c:v>
                </c:pt>
                <c:pt idx="799">
                  <c:v>-7.799993416966565</c:v>
                </c:pt>
                <c:pt idx="800">
                  <c:v>-7.8125676113148304</c:v>
                </c:pt>
                <c:pt idx="801">
                  <c:v>-7.8251418294225656</c:v>
                </c:pt>
                <c:pt idx="802">
                  <c:v>-7.8377160712893996</c:v>
                </c:pt>
                <c:pt idx="803">
                  <c:v>-7.8502903369149593</c:v>
                </c:pt>
                <c:pt idx="804">
                  <c:v>-7.8628646262988715</c:v>
                </c:pt>
                <c:pt idx="805">
                  <c:v>-7.8754389394407642</c:v>
                </c:pt>
                <c:pt idx="806">
                  <c:v>-7.8880132763402653</c:v>
                </c:pt>
                <c:pt idx="807">
                  <c:v>-7.9005876369970016</c:v>
                </c:pt>
                <c:pt idx="808">
                  <c:v>-7.9131620214106011</c:v>
                </c:pt>
                <c:pt idx="809">
                  <c:v>-7.9257364295806916</c:v>
                </c:pt>
                <c:pt idx="810">
                  <c:v>-7.9383108615069</c:v>
                </c:pt>
                <c:pt idx="811">
                  <c:v>-7.9508853171888543</c:v>
                </c:pt>
                <c:pt idx="812">
                  <c:v>-7.9634597966261813</c:v>
                </c:pt>
                <c:pt idx="813">
                  <c:v>-7.976034299818509</c:v>
                </c:pt>
                <c:pt idx="814">
                  <c:v>-7.9886088267654651</c:v>
                </c:pt>
                <c:pt idx="815">
                  <c:v>-8.0011833774666776</c:v>
                </c:pt>
                <c:pt idx="816">
                  <c:v>-8.0137579519217734</c:v>
                </c:pt>
                <c:pt idx="817">
                  <c:v>-8.0263325501303804</c:v>
                </c:pt>
                <c:pt idx="818">
                  <c:v>-8.0389071720921255</c:v>
                </c:pt>
                <c:pt idx="819">
                  <c:v>-8.0514818178066356</c:v>
                </c:pt>
                <c:pt idx="820">
                  <c:v>-8.0640564872735396</c:v>
                </c:pt>
                <c:pt idx="821">
                  <c:v>-8.0766311804924644</c:v>
                </c:pt>
                <c:pt idx="822">
                  <c:v>-8.089205897463037</c:v>
                </c:pt>
                <c:pt idx="823">
                  <c:v>-8.101780638184886</c:v>
                </c:pt>
                <c:pt idx="824">
                  <c:v>-8.1143554026576385</c:v>
                </c:pt>
                <c:pt idx="825">
                  <c:v>-8.1269301908809233</c:v>
                </c:pt>
                <c:pt idx="826">
                  <c:v>-8.1395050028543672</c:v>
                </c:pt>
                <c:pt idx="827">
                  <c:v>-8.1520798385775972</c:v>
                </c:pt>
                <c:pt idx="828">
                  <c:v>-8.1646546980502404</c:v>
                </c:pt>
                <c:pt idx="829">
                  <c:v>-8.1772295812719253</c:v>
                </c:pt>
                <c:pt idx="830">
                  <c:v>-8.1898044882422791</c:v>
                </c:pt>
                <c:pt idx="831">
                  <c:v>-8.2023794189609305</c:v>
                </c:pt>
                <c:pt idx="832">
                  <c:v>-8.2149543734275046</c:v>
                </c:pt>
                <c:pt idx="833">
                  <c:v>-8.2275293516416319</c:v>
                </c:pt>
                <c:pt idx="834">
                  <c:v>-8.2401043536029377</c:v>
                </c:pt>
                <c:pt idx="835">
                  <c:v>-8.2526793793110507</c:v>
                </c:pt>
                <c:pt idx="836">
                  <c:v>-8.2652544287655978</c:v>
                </c:pt>
                <c:pt idx="837">
                  <c:v>-8.2778295019662078</c:v>
                </c:pt>
                <c:pt idx="838">
                  <c:v>-8.2904045989125077</c:v>
                </c:pt>
                <c:pt idx="839">
                  <c:v>-8.3029797196041244</c:v>
                </c:pt>
                <c:pt idx="840">
                  <c:v>-8.3155548640406867</c:v>
                </c:pt>
                <c:pt idx="841">
                  <c:v>-8.3281300322218215</c:v>
                </c:pt>
                <c:pt idx="842">
                  <c:v>-8.3407052241471558</c:v>
                </c:pt>
                <c:pt idx="843">
                  <c:v>-8.3532804398163183</c:v>
                </c:pt>
                <c:pt idx="844">
                  <c:v>-8.365855679228936</c:v>
                </c:pt>
                <c:pt idx="845">
                  <c:v>-8.3784309423846359</c:v>
                </c:pt>
                <c:pt idx="846">
                  <c:v>-8.3910062292830467</c:v>
                </c:pt>
                <c:pt idx="847">
                  <c:v>-8.4035815399237954</c:v>
                </c:pt>
                <c:pt idx="848">
                  <c:v>-8.4161568743065107</c:v>
                </c:pt>
                <c:pt idx="849">
                  <c:v>-8.4287322324308196</c:v>
                </c:pt>
                <c:pt idx="850">
                  <c:v>-8.441307614296349</c:v>
                </c:pt>
                <c:pt idx="851">
                  <c:v>-8.4538830199027277</c:v>
                </c:pt>
                <c:pt idx="852">
                  <c:v>-8.4664584492495827</c:v>
                </c:pt>
                <c:pt idx="853">
                  <c:v>-8.4790339023365409</c:v>
                </c:pt>
                <c:pt idx="854">
                  <c:v>-8.491609379163231</c:v>
                </c:pt>
                <c:pt idx="855">
                  <c:v>-8.5041848797292818</c:v>
                </c:pt>
                <c:pt idx="856">
                  <c:v>-8.5167604040343186</c:v>
                </c:pt>
                <c:pt idx="857">
                  <c:v>-8.5293359520779699</c:v>
                </c:pt>
                <c:pt idx="858">
                  <c:v>-8.5419115238598629</c:v>
                </c:pt>
                <c:pt idx="859">
                  <c:v>-8.5544871193796261</c:v>
                </c:pt>
                <c:pt idx="860">
                  <c:v>-8.5670627386368867</c:v>
                </c:pt>
                <c:pt idx="861">
                  <c:v>-8.5796383816312733</c:v>
                </c:pt>
                <c:pt idx="862">
                  <c:v>-8.592214048362413</c:v>
                </c:pt>
                <c:pt idx="863">
                  <c:v>-8.6047897388299326</c:v>
                </c:pt>
                <c:pt idx="864">
                  <c:v>-8.6173654530334609</c:v>
                </c:pt>
                <c:pt idx="865">
                  <c:v>-8.6299411909726249</c:v>
                </c:pt>
                <c:pt idx="866">
                  <c:v>-8.6425169526470533</c:v>
                </c:pt>
                <c:pt idx="867">
                  <c:v>-8.6550927380563731</c:v>
                </c:pt>
                <c:pt idx="868">
                  <c:v>-8.6676685472002113</c:v>
                </c:pt>
                <c:pt idx="869">
                  <c:v>-8.6802443800781965</c:v>
                </c:pt>
                <c:pt idx="870">
                  <c:v>-8.6928202366899558</c:v>
                </c:pt>
                <c:pt idx="871">
                  <c:v>-8.7053961170351162</c:v>
                </c:pt>
                <c:pt idx="872">
                  <c:v>-8.7179720211133063</c:v>
                </c:pt>
                <c:pt idx="873">
                  <c:v>-8.7305479489241549</c:v>
                </c:pt>
                <c:pt idx="874">
                  <c:v>-8.7431239004672872</c:v>
                </c:pt>
                <c:pt idx="875">
                  <c:v>-8.7556998757423337</c:v>
                </c:pt>
                <c:pt idx="876">
                  <c:v>-8.7682758747489196</c:v>
                </c:pt>
                <c:pt idx="877">
                  <c:v>-8.7808518974866736</c:v>
                </c:pt>
                <c:pt idx="878">
                  <c:v>-8.7934279439552245</c:v>
                </c:pt>
                <c:pt idx="879">
                  <c:v>-8.8060040141541993</c:v>
                </c:pt>
                <c:pt idx="880">
                  <c:v>-8.8185801080832249</c:v>
                </c:pt>
                <c:pt idx="881">
                  <c:v>-8.83115622574193</c:v>
                </c:pt>
                <c:pt idx="882">
                  <c:v>-8.8437323671299417</c:v>
                </c:pt>
                <c:pt idx="883">
                  <c:v>-8.8563085322468869</c:v>
                </c:pt>
                <c:pt idx="884">
                  <c:v>-8.8688847210923942</c:v>
                </c:pt>
                <c:pt idx="885">
                  <c:v>-8.8814609336660926</c:v>
                </c:pt>
                <c:pt idx="886">
                  <c:v>-8.8940371699676088</c:v>
                </c:pt>
                <c:pt idx="887">
                  <c:v>-8.90661342999657</c:v>
                </c:pt>
                <c:pt idx="888">
                  <c:v>-8.9191897137526048</c:v>
                </c:pt>
                <c:pt idx="889">
                  <c:v>-8.9317660212353402</c:v>
                </c:pt>
                <c:pt idx="890">
                  <c:v>-8.944342352444405</c:v>
                </c:pt>
                <c:pt idx="891">
                  <c:v>-8.9569187073794261</c:v>
                </c:pt>
                <c:pt idx="892">
                  <c:v>-8.9694950860400304</c:v>
                </c:pt>
                <c:pt idx="893">
                  <c:v>-8.9820714884258468</c:v>
                </c:pt>
                <c:pt idx="894">
                  <c:v>-8.9946479145365021</c:v>
                </c:pt>
                <c:pt idx="895">
                  <c:v>-9.0072243643716252</c:v>
                </c:pt>
                <c:pt idx="896">
                  <c:v>-9.0198008379308448</c:v>
                </c:pt>
                <c:pt idx="897">
                  <c:v>-9.0323773352137859</c:v>
                </c:pt>
                <c:pt idx="898">
                  <c:v>-9.0449538562200793</c:v>
                </c:pt>
                <c:pt idx="899">
                  <c:v>-9.05753040094935</c:v>
                </c:pt>
                <c:pt idx="900">
                  <c:v>-9.0701069694012268</c:v>
                </c:pt>
                <c:pt idx="901">
                  <c:v>-9.0826835615753385</c:v>
                </c:pt>
                <c:pt idx="902">
                  <c:v>-9.095260177471312</c:v>
                </c:pt>
                <c:pt idx="903">
                  <c:v>-9.1078368170887742</c:v>
                </c:pt>
                <c:pt idx="904">
                  <c:v>-9.120413480427354</c:v>
                </c:pt>
                <c:pt idx="905">
                  <c:v>-9.13299016748668</c:v>
                </c:pt>
                <c:pt idx="906">
                  <c:v>-9.1455668782663775</c:v>
                </c:pt>
                <c:pt idx="907">
                  <c:v>-9.1581436127660769</c:v>
                </c:pt>
                <c:pt idx="908">
                  <c:v>-9.1707203709854053</c:v>
                </c:pt>
                <c:pt idx="909">
                  <c:v>-9.1832971529239895</c:v>
                </c:pt>
                <c:pt idx="910">
                  <c:v>-9.1958739585814584</c:v>
                </c:pt>
                <c:pt idx="911">
                  <c:v>-9.2084507879574389</c:v>
                </c:pt>
                <c:pt idx="912">
                  <c:v>-9.2210276410515579</c:v>
                </c:pt>
                <c:pt idx="913">
                  <c:v>-9.233604517863446</c:v>
                </c:pt>
                <c:pt idx="914">
                  <c:v>-9.2461814183927284</c:v>
                </c:pt>
                <c:pt idx="915">
                  <c:v>-9.2587583426390339</c:v>
                </c:pt>
                <c:pt idx="916">
                  <c:v>-9.271335290601991</c:v>
                </c:pt>
                <c:pt idx="917">
                  <c:v>-9.2839122622812269</c:v>
                </c:pt>
                <c:pt idx="918">
                  <c:v>-9.2964892576763702</c:v>
                </c:pt>
                <c:pt idx="919">
                  <c:v>-9.309066276787048</c:v>
                </c:pt>
                <c:pt idx="920">
                  <c:v>-9.3216433196128872</c:v>
                </c:pt>
                <c:pt idx="921">
                  <c:v>-9.3342203861535165</c:v>
                </c:pt>
                <c:pt idx="922">
                  <c:v>-9.3467974764085646</c:v>
                </c:pt>
                <c:pt idx="923">
                  <c:v>-9.3593745903776586</c:v>
                </c:pt>
                <c:pt idx="924">
                  <c:v>-9.3719517280604254</c:v>
                </c:pt>
                <c:pt idx="925">
                  <c:v>-9.3845288894564938</c:v>
                </c:pt>
                <c:pt idx="926">
                  <c:v>-9.3971060745654924</c:v>
                </c:pt>
                <c:pt idx="927">
                  <c:v>-9.4096832833870483</c:v>
                </c:pt>
                <c:pt idx="928">
                  <c:v>-9.4222605159207884</c:v>
                </c:pt>
                <c:pt idx="929">
                  <c:v>-9.4348377721663415</c:v>
                </c:pt>
                <c:pt idx="930">
                  <c:v>-9.4474150521233362</c:v>
                </c:pt>
                <c:pt idx="931">
                  <c:v>-9.4599923557913996</c:v>
                </c:pt>
                <c:pt idx="932">
                  <c:v>-9.4725696831701587</c:v>
                </c:pt>
                <c:pt idx="933">
                  <c:v>-9.4851470342592421</c:v>
                </c:pt>
                <c:pt idx="934">
                  <c:v>-9.4977244090582786</c:v>
                </c:pt>
                <c:pt idx="935">
                  <c:v>-9.5103018075668952</c:v>
                </c:pt>
                <c:pt idx="936">
                  <c:v>-9.5228792297847189</c:v>
                </c:pt>
                <c:pt idx="937">
                  <c:v>-9.5354566757113783</c:v>
                </c:pt>
                <c:pt idx="938">
                  <c:v>-9.5480341453465023</c:v>
                </c:pt>
                <c:pt idx="939">
                  <c:v>-9.5606116386897178</c:v>
                </c:pt>
                <c:pt idx="940">
                  <c:v>-9.5731891557406534</c:v>
                </c:pt>
                <c:pt idx="941">
                  <c:v>-9.5857666964989363</c:v>
                </c:pt>
                <c:pt idx="942">
                  <c:v>-9.5983442609641934</c:v>
                </c:pt>
                <c:pt idx="943">
                  <c:v>-9.6109218491360551</c:v>
                </c:pt>
                <c:pt idx="944">
                  <c:v>-9.6234994610141467</c:v>
                </c:pt>
                <c:pt idx="945">
                  <c:v>-9.6360770965980986</c:v>
                </c:pt>
                <c:pt idx="946">
                  <c:v>-9.6486547558875362</c:v>
                </c:pt>
                <c:pt idx="947">
                  <c:v>-9.6612324388820898</c:v>
                </c:pt>
                <c:pt idx="948">
                  <c:v>-9.6738101455813847</c:v>
                </c:pt>
                <c:pt idx="949">
                  <c:v>-9.6863878759850515</c:v>
                </c:pt>
                <c:pt idx="950">
                  <c:v>-9.6989656300927169</c:v>
                </c:pt>
                <c:pt idx="951">
                  <c:v>-9.7115434079040082</c:v>
                </c:pt>
                <c:pt idx="952">
                  <c:v>-9.7241212094185538</c:v>
                </c:pt>
                <c:pt idx="953">
                  <c:v>-9.7366990346359827</c:v>
                </c:pt>
                <c:pt idx="954">
                  <c:v>-9.7492768835559218</c:v>
                </c:pt>
                <c:pt idx="955">
                  <c:v>-9.761854756177998</c:v>
                </c:pt>
                <c:pt idx="956">
                  <c:v>-9.7744326525018401</c:v>
                </c:pt>
                <c:pt idx="957">
                  <c:v>-9.7870105725270768</c:v>
                </c:pt>
                <c:pt idx="958">
                  <c:v>-9.7995885162533352</c:v>
                </c:pt>
                <c:pt idx="959">
                  <c:v>-9.8121664836802438</c:v>
                </c:pt>
                <c:pt idx="960">
                  <c:v>-9.8247444748074297</c:v>
                </c:pt>
                <c:pt idx="961">
                  <c:v>-9.8373224896345217</c:v>
                </c:pt>
                <c:pt idx="962">
                  <c:v>-9.8499005281611485</c:v>
                </c:pt>
                <c:pt idx="963">
                  <c:v>-9.862478590386937</c:v>
                </c:pt>
                <c:pt idx="964">
                  <c:v>-9.8750566763115142</c:v>
                </c:pt>
                <c:pt idx="965">
                  <c:v>-9.8876347859345088</c:v>
                </c:pt>
                <c:pt idx="966">
                  <c:v>-9.9002129192555497</c:v>
                </c:pt>
                <c:pt idx="967">
                  <c:v>-9.9127910762742637</c:v>
                </c:pt>
                <c:pt idx="968">
                  <c:v>-9.9253692569902796</c:v>
                </c:pt>
                <c:pt idx="969">
                  <c:v>-9.9379474614032262</c:v>
                </c:pt>
                <c:pt idx="970">
                  <c:v>-9.9505256895127285</c:v>
                </c:pt>
                <c:pt idx="971">
                  <c:v>-9.9631039413184173</c:v>
                </c:pt>
                <c:pt idx="972">
                  <c:v>-9.9756822168199193</c:v>
                </c:pt>
                <c:pt idx="973">
                  <c:v>-9.9882605160168634</c:v>
                </c:pt>
                <c:pt idx="974">
                  <c:v>-10.000838838908876</c:v>
                </c:pt>
                <c:pt idx="975">
                  <c:v>-10.013417185495587</c:v>
                </c:pt>
                <c:pt idx="976">
                  <c:v>-10.025995555776623</c:v>
                </c:pt>
                <c:pt idx="977">
                  <c:v>-10.038573949751612</c:v>
                </c:pt>
                <c:pt idx="978">
                  <c:v>-10.051152367420183</c:v>
                </c:pt>
                <c:pt idx="979">
                  <c:v>-10.063730808781964</c:v>
                </c:pt>
                <c:pt idx="980">
                  <c:v>-10.07630927383658</c:v>
                </c:pt>
                <c:pt idx="981">
                  <c:v>-10.088887762583663</c:v>
                </c:pt>
                <c:pt idx="982">
                  <c:v>-10.10146627502284</c:v>
                </c:pt>
                <c:pt idx="983">
                  <c:v>-10.114044811153738</c:v>
                </c:pt>
                <c:pt idx="984">
                  <c:v>-10.126623370975985</c:v>
                </c:pt>
                <c:pt idx="985">
                  <c:v>-10.139201954489209</c:v>
                </c:pt>
                <c:pt idx="986">
                  <c:v>-10.151780561693039</c:v>
                </c:pt>
                <c:pt idx="987">
                  <c:v>-10.164359192587103</c:v>
                </c:pt>
                <c:pt idx="988">
                  <c:v>-10.176937847171027</c:v>
                </c:pt>
                <c:pt idx="989">
                  <c:v>-10.189516525444441</c:v>
                </c:pt>
                <c:pt idx="990">
                  <c:v>-10.202095227406973</c:v>
                </c:pt>
                <c:pt idx="991">
                  <c:v>-10.21467395305825</c:v>
                </c:pt>
                <c:pt idx="992">
                  <c:v>-10.227252702397902</c:v>
                </c:pt>
                <c:pt idx="993">
                  <c:v>-10.239831475425554</c:v>
                </c:pt>
                <c:pt idx="994">
                  <c:v>-10.252410272140837</c:v>
                </c:pt>
                <c:pt idx="995">
                  <c:v>-10.264989092543377</c:v>
                </c:pt>
                <c:pt idx="996">
                  <c:v>-10.277567936632803</c:v>
                </c:pt>
                <c:pt idx="997">
                  <c:v>-10.290146804408742</c:v>
                </c:pt>
                <c:pt idx="998">
                  <c:v>-10.302725695870825</c:v>
                </c:pt>
                <c:pt idx="999">
                  <c:v>-10.315304611018677</c:v>
                </c:pt>
                <c:pt idx="1000">
                  <c:v>-10.327883549851927</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0</c:v>
                </c:pt>
                <c:pt idx="1">
                  <c:v>5.9417120583002422E-7</c:v>
                </c:pt>
                <c:pt idx="2">
                  <c:v>8.8758788412430698E-5</c:v>
                </c:pt>
                <c:pt idx="3">
                  <c:v>4.3730525824801653E-4</c:v>
                </c:pt>
                <c:pt idx="4">
                  <c:v>1.2191647999031426E-3</c:v>
                </c:pt>
                <c:pt idx="5">
                  <c:v>2.60743891780179E-3</c:v>
                </c:pt>
                <c:pt idx="6">
                  <c:v>4.7316594234144936E-3</c:v>
                </c:pt>
                <c:pt idx="7">
                  <c:v>7.6339421242493637E-3</c:v>
                </c:pt>
                <c:pt idx="8">
                  <c:v>1.1312649997228055E-2</c:v>
                </c:pt>
                <c:pt idx="9">
                  <c:v>1.5766137650963671E-2</c:v>
                </c:pt>
                <c:pt idx="10">
                  <c:v>2.0992751356097399E-2</c:v>
                </c:pt>
                <c:pt idx="11">
                  <c:v>2.6990829075952932E-2</c:v>
                </c:pt>
                <c:pt idx="12">
                  <c:v>3.3758700497506205E-2</c:v>
                </c:pt>
                <c:pt idx="13">
                  <c:v>4.1294687062667909E-2</c:v>
                </c:pt>
                <c:pt idx="14">
                  <c:v>4.959710199987629E-2</c:v>
                </c:pt>
                <c:pt idx="15">
                  <c:v>5.8664250355997663E-2</c:v>
                </c:pt>
                <c:pt idx="16">
                  <c:v>6.849442902853202E-2</c:v>
                </c:pt>
                <c:pt idx="17">
                  <c:v>7.9085926798121167E-2</c:v>
                </c:pt>
                <c:pt idx="18">
                  <c:v>9.0437024361356727E-2</c:v>
                </c:pt>
                <c:pt idx="19">
                  <c:v>0.10254599436388534</c:v>
                </c:pt>
                <c:pt idx="20">
                  <c:v>0.11541110143380838</c:v>
                </c:pt>
                <c:pt idx="21">
                  <c:v>0.12903060221537346</c:v>
                </c:pt>
                <c:pt idx="22">
                  <c:v>0.14340274540295503</c:v>
                </c:pt>
                <c:pt idx="23">
                  <c:v>0.15852577177532118</c:v>
                </c:pt>
                <c:pt idx="24">
                  <c:v>0.17439791423018408</c:v>
                </c:pt>
                <c:pt idx="25">
                  <c:v>0.19101739781903102</c:v>
                </c:pt>
                <c:pt idx="26">
                  <c:v>0.20838243978223328</c:v>
                </c:pt>
                <c:pt idx="27">
                  <c:v>0.22649124958443018</c:v>
                </c:pt>
                <c:pt idx="28">
                  <c:v>0.24534202895018503</c:v>
                </c:pt>
                <c:pt idx="29">
                  <c:v>0.26493297189991044</c:v>
                </c:pt>
                <c:pt idx="30">
                  <c:v>0.28526226478605987</c:v>
                </c:pt>
                <c:pt idx="31">
                  <c:v>0.30632808632958264</c:v>
                </c:pt>
                <c:pt idx="32">
                  <c:v>0.3281286076566392</c:v>
                </c:pt>
                <c:pt idx="33">
                  <c:v>0.35066199233557399</c:v>
                </c:pt>
                <c:pt idx="34">
                  <c:v>0.37396900368513969</c:v>
                </c:pt>
                <c:pt idx="35">
                  <c:v>0.39809184175867945</c:v>
                </c:pt>
                <c:pt idx="36">
                  <c:v>0.42303151244144921</c:v>
                </c:pt>
                <c:pt idx="37">
                  <c:v>0.44878894761475002</c:v>
                </c:pt>
                <c:pt idx="38">
                  <c:v>0.47536498817031114</c:v>
                </c:pt>
                <c:pt idx="39">
                  <c:v>0.50276038833445169</c:v>
                </c:pt>
                <c:pt idx="40">
                  <c:v>0.53097581964779139</c:v>
                </c:pt>
                <c:pt idx="41">
                  <c:v>0.56001187463693047</c:v>
                </c:pt>
                <c:pt idx="42">
                  <c:v>0.58986907020980117</c:v>
                </c:pt>
                <c:pt idx="43">
                  <c:v>0.62054785080239805</c:v>
                </c:pt>
                <c:pt idx="44">
                  <c:v>0.65204859130118575</c:v>
                </c:pt>
                <c:pt idx="45">
                  <c:v>0.68437159976257156</c:v>
                </c:pt>
                <c:pt idx="46">
                  <c:v>0.71751711994832557</c:v>
                </c:pt>
                <c:pt idx="47">
                  <c:v>0.75148533369367565</c:v>
                </c:pt>
                <c:pt idx="48">
                  <c:v>0.78627636312293558</c:v>
                </c:pt>
                <c:pt idx="49">
                  <c:v>0.82189027272590343</c:v>
                </c:pt>
                <c:pt idx="50">
                  <c:v>0.85832707130685426</c:v>
                </c:pt>
                <c:pt idx="51">
                  <c:v>0.89558695609627015</c:v>
                </c:pt>
                <c:pt idx="52">
                  <c:v>0.93367055882792982</c:v>
                </c:pt>
                <c:pt idx="53">
                  <c:v>0.97257870779249822</c:v>
                </c:pt>
                <c:pt idx="54">
                  <c:v>1.0123121876422416</c:v>
                </c:pt>
                <c:pt idx="55">
                  <c:v>1.0528717406765087</c:v>
                </c:pt>
                <c:pt idx="56">
                  <c:v>1.0942580680586567</c:v>
                </c:pt>
                <c:pt idx="57">
                  <c:v>1.1364718309693629</c:v>
                </c:pt>
                <c:pt idx="58">
                  <c:v>1.1795136517008162</c:v>
                </c:pt>
                <c:pt idx="59">
                  <c:v>1.223384114695901</c:v>
                </c:pt>
                <c:pt idx="60">
                  <c:v>1.2680837675361263</c:v>
                </c:pt>
                <c:pt idx="61">
                  <c:v>1.3136131218817431</c:v>
                </c:pt>
                <c:pt idx="62">
                  <c:v>1.3599726543672048</c:v>
                </c:pt>
                <c:pt idx="63">
                  <c:v>1.4071628074548712</c:v>
                </c:pt>
                <c:pt idx="64">
                  <c:v>1.4551839902496244</c:v>
                </c:pt>
                <c:pt idx="65">
                  <c:v>1.5040365792768537</c:v>
                </c:pt>
                <c:pt idx="66">
                  <c:v>1.553720919226079</c:v>
                </c:pt>
                <c:pt idx="67">
                  <c:v>1.6042373236623062</c:v>
                </c:pt>
                <c:pt idx="68">
                  <c:v>1.6555860757070535</c:v>
                </c:pt>
                <c:pt idx="69">
                  <c:v>1.7077674286908433</c:v>
                </c:pt>
                <c:pt idx="70">
                  <c:v>1.7607816067788238</c:v>
                </c:pt>
                <c:pt idx="71">
                  <c:v>1.8146288055710631</c:v>
                </c:pt>
                <c:pt idx="72">
                  <c:v>1.8693091926789549</c:v>
                </c:pt>
                <c:pt idx="73">
                  <c:v>1.9248229082790678</c:v>
                </c:pt>
                <c:pt idx="74">
                  <c:v>1.9811700656456828</c:v>
                </c:pt>
                <c:pt idx="75">
                  <c:v>2.0383507516631796</c:v>
                </c:pt>
                <c:pt idx="76">
                  <c:v>2.0963650273193521</c:v>
                </c:pt>
                <c:pt idx="77">
                  <c:v>2.1552129281806627</c:v>
                </c:pt>
                <c:pt idx="78">
                  <c:v>2.2148944648503828</c:v>
                </c:pt>
                <c:pt idx="79">
                  <c:v>2.2754096234105012</c:v>
                </c:pt>
                <c:pt idx="80">
                  <c:v>2.3367583658482283</c:v>
                </c:pt>
                <c:pt idx="81">
                  <c:v>2.398940630467874</c:v>
                </c:pt>
                <c:pt idx="82">
                  <c:v>2.4619563322888243</c:v>
                </c:pt>
                <c:pt idx="83">
                  <c:v>2.5258053634303042</c:v>
                </c:pt>
                <c:pt idx="84">
                  <c:v>2.5904875934835645</c:v>
                </c:pt>
                <c:pt idx="85">
                  <c:v>2.6560028698721001</c:v>
                </c:pt>
                <c:pt idx="86">
                  <c:v>2.7223510182004675</c:v>
                </c:pt>
                <c:pt idx="87">
                  <c:v>2.7895318425922357</c:v>
                </c:pt>
                <c:pt idx="88">
                  <c:v>2.8575451260175755</c:v>
                </c:pt>
                <c:pt idx="89">
                  <c:v>2.9263906306109635</c:v>
                </c:pt>
                <c:pt idx="90">
                  <c:v>2.9960680979794492</c:v>
                </c:pt>
                <c:pt idx="91">
                  <c:v>3.0665772495019108</c:v>
                </c:pt>
                <c:pt idx="92">
                  <c:v>3.1379177866196972</c:v>
                </c:pt>
                <c:pt idx="93">
                  <c:v>3.2100893911190376</c:v>
                </c:pt>
                <c:pt idx="94">
                  <c:v>3.283091725405578</c:v>
                </c:pt>
                <c:pt idx="95">
                  <c:v>3.3569244327713803</c:v>
                </c:pt>
                <c:pt idx="96">
                  <c:v>3.4315871376547098</c:v>
                </c:pt>
                <c:pt idx="97">
                  <c:v>3.5070794458929115</c:v>
                </c:pt>
                <c:pt idx="98">
                  <c:v>3.5834009449686692</c:v>
                </c:pt>
                <c:pt idx="99">
                  <c:v>3.6605512042499155</c:v>
                </c:pt>
                <c:pt idx="100">
                  <c:v>3.7385297752236575</c:v>
                </c:pt>
                <c:pt idx="101">
                  <c:v>3.8173360701943806</c:v>
                </c:pt>
                <c:pt idx="102">
                  <c:v>3.8969692404067691</c:v>
                </c:pt>
                <c:pt idx="103">
                  <c:v>3.9774282970660488</c:v>
                </c:pt>
                <c:pt idx="104">
                  <c:v>4.0587122329382384</c:v>
                </c:pt>
                <c:pt idx="105">
                  <c:v>4.1408200225867029</c:v>
                </c:pt>
                <c:pt idx="106">
                  <c:v>4.2237506226033155</c:v>
                </c:pt>
                <c:pt idx="107">
                  <c:v>4.3075029718344284</c:v>
                </c:pt>
                <c:pt idx="108">
                  <c:v>4.392075991601863</c:v>
                </c:pt>
                <c:pt idx="109">
                  <c:v>4.4774685859191017</c:v>
                </c:pt>
                <c:pt idx="110">
                  <c:v>4.5636796417028682</c:v>
                </c:pt>
                <c:pt idx="111">
                  <c:v>4.650708028980266</c:v>
                </c:pt>
                <c:pt idx="112">
                  <c:v>4.7385526010916443</c:v>
                </c:pt>
                <c:pt idx="113">
                  <c:v>4.8272121948893396</c:v>
                </c:pt>
                <c:pt idx="114">
                  <c:v>4.916685630932454</c:v>
                </c:pt>
                <c:pt idx="115">
                  <c:v>5.0069717136778067</c:v>
                </c:pt>
                <c:pt idx="116">
                  <c:v>5.0980692316671945</c:v>
                </c:pt>
                <c:pt idx="117">
                  <c:v>5.1899769577110986</c:v>
                </c:pt>
                <c:pt idx="118">
                  <c:v>5.2826936490689533</c:v>
                </c:pt>
                <c:pt idx="119">
                  <c:v>5.3762180476261037</c:v>
                </c:pt>
                <c:pt idx="120">
                  <c:v>5.4705488800675637</c:v>
                </c:pt>
                <c:pt idx="121">
                  <c:v>5.565684858048682</c:v>
                </c:pt>
                <c:pt idx="122">
                  <c:v>5.6616246783628199</c:v>
                </c:pt>
                <c:pt idx="123">
                  <c:v>5.7583670231061479</c:v>
                </c:pt>
                <c:pt idx="124">
                  <c:v>5.8559105598396455</c:v>
                </c:pt>
                <c:pt idx="125">
                  <c:v>5.9542539417484059</c:v>
                </c:pt>
                <c:pt idx="126">
                  <c:v>6.053395807798327</c:v>
                </c:pt>
                <c:pt idx="127">
                  <c:v>6.1533347828902771</c:v>
                </c:pt>
                <c:pt idx="128">
                  <c:v>6.2540694780118136</c:v>
                </c:pt>
                <c:pt idx="129">
                  <c:v>6.3555984903865301</c:v>
                </c:pt>
                <c:pt idx="130">
                  <c:v>6.457920403621114</c:v>
                </c:pt>
                <c:pt idx="131">
                  <c:v>6.5610337878501728</c:v>
                </c:pt>
                <c:pt idx="132">
                  <c:v>6.6649371998789118</c:v>
                </c:pt>
                <c:pt idx="133">
                  <c:v>6.7696291833237208</c:v>
                </c:pt>
                <c:pt idx="134">
                  <c:v>6.8751082687507292</c:v>
                </c:pt>
                <c:pt idx="135">
                  <c:v>6.9813729738124</c:v>
                </c:pt>
                <c:pt idx="136">
                  <c:v>7.0884218033822144</c:v>
                </c:pt>
                <c:pt idx="137">
                  <c:v>7.1962532496875022</c:v>
                </c:pt>
                <c:pt idx="138">
                  <c:v>7.3048657924404754</c:v>
                </c:pt>
                <c:pt idx="139">
                  <c:v>7.4142578989675147</c:v>
                </c:pt>
                <c:pt idx="140">
                  <c:v>7.5244280243367578</c:v>
                </c:pt>
                <c:pt idx="141">
                  <c:v>7.6353746114840373</c:v>
                </c:pt>
                <c:pt idx="142">
                  <c:v>7.7470960913372169</c:v>
                </c:pt>
                <c:pt idx="143">
                  <c:v>7.8595908829389671</c:v>
                </c:pt>
                <c:pt idx="144">
                  <c:v>7.9728573935680229</c:v>
                </c:pt>
                <c:pt idx="145">
                  <c:v>8.0868940188589651</c:v>
                </c:pt>
                <c:pt idx="146">
                  <c:v>8.2016991429205692</c:v>
                </c:pt>
                <c:pt idx="147">
                  <c:v>8.3172711384527478</c:v>
                </c:pt>
                <c:pt idx="148">
                  <c:v>8.4336083668621367</c:v>
                </c:pt>
                <c:pt idx="149">
                  <c:v>8.5507091783763549</c:v>
                </c:pt>
                <c:pt idx="150">
                  <c:v>8.6685719121569615</c:v>
                </c:pt>
                <c:pt idx="151">
                  <c:v>8.7871949399257865</c:v>
                </c:pt>
                <c:pt idx="152">
                  <c:v>8.9065767097253712</c:v>
                </c:pt>
                <c:pt idx="153">
                  <c:v>9.0267157026731457</c:v>
                </c:pt>
                <c:pt idx="154">
                  <c:v>9.1476103895757195</c:v>
                </c:pt>
                <c:pt idx="155">
                  <c:v>9.2692592310291744</c:v>
                </c:pt>
                <c:pt idx="156">
                  <c:v>9.3916606775183222</c:v>
                </c:pt>
                <c:pt idx="157">
                  <c:v>9.5148131695149427</c:v>
                </c:pt>
                <c:pt idx="158">
                  <c:v>9.6387151375750477</c:v>
                </c:pt>
                <c:pt idx="159">
                  <c:v>9.7633650024351724</c:v>
                </c:pt>
                <c:pt idx="160">
                  <c:v>9.8887611751077245</c:v>
                </c:pt>
                <c:pt idx="161">
                  <c:v>10.014902056975419</c:v>
                </c:pt>
                <c:pt idx="162">
                  <c:v>10.141786039884805</c:v>
                </c:pt>
                <c:pt idx="163">
                  <c:v>10.269411506238914</c:v>
                </c:pt>
                <c:pt idx="164">
                  <c:v>10.397776829089052</c:v>
                </c:pt>
                <c:pt idx="165">
                  <c:v>10.526880372225744</c:v>
                </c:pt>
                <c:pt idx="166">
                  <c:v>10.656720490268855</c:v>
                </c:pt>
                <c:pt idx="167">
                  <c:v>10.787295528756905</c:v>
                </c:pt>
                <c:pt idx="168">
                  <c:v>10.918603824235595</c:v>
                </c:pt>
                <c:pt idx="169">
                  <c:v>11.05064370434555</c:v>
                </c:pt>
                <c:pt idx="170">
                  <c:v>11.183413487909315</c:v>
                </c:pt>
                <c:pt idx="171">
                  <c:v>11.316911485017602</c:v>
                </c:pt>
                <c:pt idx="172">
                  <c:v>11.451135997114809</c:v>
                </c:pt>
                <c:pt idx="173">
                  <c:v>11.586085317083819</c:v>
                </c:pt>
                <c:pt idx="174">
                  <c:v>11.721757729330106</c:v>
                </c:pt>
                <c:pt idx="175">
                  <c:v>11.85815150986515</c:v>
                </c:pt>
                <c:pt idx="176">
                  <c:v>11.995264926389178</c:v>
                </c:pt>
                <c:pt idx="177">
                  <c:v>12.133096238373234</c:v>
                </c:pt>
                <c:pt idx="178">
                  <c:v>12.271643697140613</c:v>
                </c:pt>
                <c:pt idx="179">
                  <c:v>12.410905545947642</c:v>
                </c:pt>
                <c:pt idx="180">
                  <c:v>12.550880020063845</c:v>
                </c:pt>
                <c:pt idx="181">
                  <c:v>12.691565346851476</c:v>
                </c:pt>
                <c:pt idx="182">
                  <c:v>12.832959745844462</c:v>
                </c:pt>
                <c:pt idx="183">
                  <c:v>12.975061428826738</c:v>
                </c:pt>
                <c:pt idx="184">
                  <c:v>13.117868599909995</c:v>
                </c:pt>
                <c:pt idx="185">
                  <c:v>13.261379455610861</c:v>
                </c:pt>
                <c:pt idx="186">
                  <c:v>13.405592184927503</c:v>
                </c:pt>
                <c:pt idx="187">
                  <c:v>13.550504969415675</c:v>
                </c:pt>
                <c:pt idx="188">
                  <c:v>13.696115983264214</c:v>
                </c:pt>
                <c:pt idx="189">
                  <c:v>13.842423393369991</c:v>
                </c:pt>
                <c:pt idx="190">
                  <c:v>13.989425359412339</c:v>
                </c:pt>
                <c:pt idx="191">
                  <c:v>14.137120033926935</c:v>
                </c:pt>
                <c:pt idx="192">
                  <c:v>14.285505562379186</c:v>
                </c:pt>
                <c:pt idx="193">
                  <c:v>14.43458008323708</c:v>
                </c:pt>
                <c:pt idx="194">
                  <c:v>14.584341728043555</c:v>
                </c:pt>
                <c:pt idx="195">
                  <c:v>14.734788621488352</c:v>
                </c:pt>
                <c:pt idx="196">
                  <c:v>14.885918881479393</c:v>
                </c:pt>
                <c:pt idx="197">
                  <c:v>15.037730619213656</c:v>
                </c:pt>
                <c:pt idx="198">
                  <c:v>15.190221939247589</c:v>
                </c:pt>
                <c:pt idx="199">
                  <c:v>15.343390939567044</c:v>
                </c:pt>
                <c:pt idx="200">
                  <c:v>15.497235711656741</c:v>
                </c:pt>
                <c:pt idx="201">
                  <c:v>15.651754340569278</c:v>
                </c:pt>
                <c:pt idx="202">
                  <c:v>15.806944904993687</c:v>
                </c:pt>
                <c:pt idx="203">
                  <c:v>15.96280547732353</c:v>
                </c:pt>
                <c:pt idx="204">
                  <c:v>16.119334123724556</c:v>
                </c:pt>
                <c:pt idx="205">
                  <c:v>16.276528904201925</c:v>
                </c:pt>
                <c:pt idx="206">
                  <c:v>16.434387872666981</c:v>
                </c:pt>
                <c:pt idx="207">
                  <c:v>16.592909077003611</c:v>
                </c:pt>
                <c:pt idx="208">
                  <c:v>16.752090559134171</c:v>
                </c:pt>
                <c:pt idx="209">
                  <c:v>16.911930355084987</c:v>
                </c:pt>
                <c:pt idx="210">
                  <c:v>17.072426495051442</c:v>
                </c:pt>
                <c:pt idx="211">
                  <c:v>17.233577003462653</c:v>
                </c:pt>
                <c:pt idx="212">
                  <c:v>17.395379899045739</c:v>
                </c:pt>
                <c:pt idx="213">
                  <c:v>17.557833194889678</c:v>
                </c:pt>
                <c:pt idx="214">
                  <c:v>17.720934898508762</c:v>
                </c:pt>
                <c:pt idx="215">
                  <c:v>17.884683011905665</c:v>
                </c:pt>
                <c:pt idx="216">
                  <c:v>18.049075531634106</c:v>
                </c:pt>
                <c:pt idx="217">
                  <c:v>18.214110448861124</c:v>
                </c:pt>
                <c:pt idx="218">
                  <c:v>18.379785749428972</c:v>
                </c:pt>
                <c:pt idx="219">
                  <c:v>18.546099413916611</c:v>
                </c:pt>
                <c:pt idx="220">
                  <c:v>18.713049417700848</c:v>
                </c:pt>
                <c:pt idx="221">
                  <c:v>18.880633731017067</c:v>
                </c:pt>
                <c:pt idx="222">
                  <c:v>19.048850319019607</c:v>
                </c:pt>
                <c:pt idx="223">
                  <c:v>19.217697141841757</c:v>
                </c:pt>
                <c:pt idx="224">
                  <c:v>19.387172154655381</c:v>
                </c:pt>
                <c:pt idx="225">
                  <c:v>19.557273307730185</c:v>
                </c:pt>
                <c:pt idx="226">
                  <c:v>19.727998546492611</c:v>
                </c:pt>
                <c:pt idx="227">
                  <c:v>19.899345811584372</c:v>
                </c:pt>
                <c:pt idx="228">
                  <c:v>20.071313038920628</c:v>
                </c:pt>
                <c:pt idx="229">
                  <c:v>20.243898159747804</c:v>
                </c:pt>
                <c:pt idx="230">
                  <c:v>20.417099100701058</c:v>
                </c:pt>
                <c:pt idx="231">
                  <c:v>20.590913783861385</c:v>
                </c:pt>
                <c:pt idx="232">
                  <c:v>20.76534012681239</c:v>
                </c:pt>
                <c:pt idx="233">
                  <c:v>20.940376042696695</c:v>
                </c:pt>
                <c:pt idx="234">
                  <c:v>21.116019440272002</c:v>
                </c:pt>
                <c:pt idx="235">
                  <c:v>21.292268223966829</c:v>
                </c:pt>
                <c:pt idx="236">
                  <c:v>21.469120293935884</c:v>
                </c:pt>
                <c:pt idx="237">
                  <c:v>21.646573546115107</c:v>
                </c:pt>
                <c:pt idx="238">
                  <c:v>21.824625872276378</c:v>
                </c:pt>
                <c:pt idx="239">
                  <c:v>22.003275160081877</c:v>
                </c:pt>
                <c:pt idx="240">
                  <c:v>22.182519293138117</c:v>
                </c:pt>
                <c:pt idx="241">
                  <c:v>22.362356151049653</c:v>
                </c:pt>
                <c:pt idx="242">
                  <c:v>22.542783609472433</c:v>
                </c:pt>
                <c:pt idx="243">
                  <c:v>22.723799540166851</c:v>
                </c:pt>
                <c:pt idx="244">
                  <c:v>22.905401811050449</c:v>
                </c:pt>
                <c:pt idx="245">
                  <c:v>23.087588286250298</c:v>
                </c:pt>
                <c:pt idx="246">
                  <c:v>23.270356826155055</c:v>
                </c:pt>
                <c:pt idx="247">
                  <c:v>23.453705287466704</c:v>
                </c:pt>
                <c:pt idx="248">
                  <c:v>23.637631523251962</c:v>
                </c:pt>
                <c:pt idx="249">
                  <c:v>23.822133382993364</c:v>
                </c:pt>
                <c:pt idx="250">
                  <c:v>24.00720871264004</c:v>
                </c:pt>
                <c:pt idx="251">
                  <c:v>24.192855153482256</c:v>
                </c:pt>
                <c:pt idx="252">
                  <c:v>24.37906994072857</c:v>
                </c:pt>
                <c:pt idx="253">
                  <c:v>24.565850104507433</c:v>
                </c:pt>
                <c:pt idx="254">
                  <c:v>24.75319267117478</c:v>
                </c:pt>
                <c:pt idx="255">
                  <c:v>24.941094663381531</c:v>
                </c:pt>
                <c:pt idx="256">
                  <c:v>25.129553100140569</c:v>
                </c:pt>
                <c:pt idx="257">
                  <c:v>25.318564996893201</c:v>
                </c:pt>
                <c:pt idx="258">
                  <c:v>25.508127365575138</c:v>
                </c:pt>
                <c:pt idx="259">
                  <c:v>25.698237214681942</c:v>
                </c:pt>
                <c:pt idx="260">
                  <c:v>25.888891549333977</c:v>
                </c:pt>
                <c:pt idx="261">
                  <c:v>26.080087371340873</c:v>
                </c:pt>
                <c:pt idx="262">
                  <c:v>26.271821679265468</c:v>
                </c:pt>
                <c:pt idx="263">
                  <c:v>26.464091468487261</c:v>
                </c:pt>
                <c:pt idx="264">
                  <c:v>26.656893731265374</c:v>
                </c:pt>
                <c:pt idx="265">
                  <c:v>26.850225456800999</c:v>
                </c:pt>
                <c:pt idx="266">
                  <c:v>27.044083631299383</c:v>
                </c:pt>
                <c:pt idx="267">
                  <c:v>27.238465238031285</c:v>
                </c:pt>
                <c:pt idx="268">
                  <c:v>27.433367257393964</c:v>
                </c:pt>
                <c:pt idx="269">
                  <c:v>27.628786666971685</c:v>
                </c:pt>
                <c:pt idx="270">
                  <c:v>27.824720441595705</c:v>
                </c:pt>
                <c:pt idx="271">
                  <c:v>28.021165553403808</c:v>
                </c:pt>
                <c:pt idx="272">
                  <c:v>28.218118971899337</c:v>
                </c:pt>
                <c:pt idx="273">
                  <c:v>28.415577664009742</c:v>
                </c:pt>
                <c:pt idx="274">
                  <c:v>28.613538594144661</c:v>
                </c:pt>
                <c:pt idx="275">
                  <c:v>28.811998724253499</c:v>
                </c:pt>
                <c:pt idx="276">
                  <c:v>29.010955013882548</c:v>
                </c:pt>
                <c:pt idx="277">
                  <c:v>29.210404420231615</c:v>
                </c:pt>
                <c:pt idx="278">
                  <c:v>29.410343898210179</c:v>
                </c:pt>
                <c:pt idx="279">
                  <c:v>29.610770400493077</c:v>
                </c:pt>
                <c:pt idx="280">
                  <c:v>29.811680877575714</c:v>
                </c:pt>
                <c:pt idx="281">
                  <c:v>30.013072277828794</c:v>
                </c:pt>
                <c:pt idx="282">
                  <c:v>30.214941547552595</c:v>
                </c:pt>
                <c:pt idx="283">
                  <c:v>30.417285631030758</c:v>
                </c:pt>
                <c:pt idx="284">
                  <c:v>30.62010147058362</c:v>
                </c:pt>
                <c:pt idx="285">
                  <c:v>30.823386006621071</c:v>
                </c:pt>
                <c:pt idx="286">
                  <c:v>31.027136177694956</c:v>
                </c:pt>
                <c:pt idx="287">
                  <c:v>31.231348920550996</c:v>
                </c:pt>
                <c:pt idx="288">
                  <c:v>31.436021170180272</c:v>
                </c:pt>
                <c:pt idx="289">
                  <c:v>31.641149859870215</c:v>
                </c:pt>
                <c:pt idx="290">
                  <c:v>31.846731921255163</c:v>
                </c:pt>
                <c:pt idx="291">
                  <c:v>32.052764284366447</c:v>
                </c:pt>
                <c:pt idx="292">
                  <c:v>32.25924387768201</c:v>
                </c:pt>
                <c:pt idx="293">
                  <c:v>32.46616762817559</c:v>
                </c:pt>
                <c:pt idx="294">
                  <c:v>32.673532461365433</c:v>
                </c:pt>
                <c:pt idx="295">
                  <c:v>32.881335301362547</c:v>
                </c:pt>
                <c:pt idx="296">
                  <c:v>33.089573070918526</c:v>
                </c:pt>
                <c:pt idx="297">
                  <c:v>33.298242691472893</c:v>
                </c:pt>
                <c:pt idx="298">
                  <c:v>33.507338817283078</c:v>
                </c:pt>
                <c:pt idx="299">
                  <c:v>33.716851567482337</c:v>
                </c:pt>
                <c:pt idx="300">
                  <c:v>33.926768791578532</c:v>
                </c:pt>
                <c:pt idx="301">
                  <c:v>34.137078337154684</c:v>
                </c:pt>
                <c:pt idx="302">
                  <c:v>34.347768050173023</c:v>
                </c:pt>
                <c:pt idx="303">
                  <c:v>34.558825775273505</c:v>
                </c:pt>
                <c:pt idx="304">
                  <c:v>34.77023935606686</c:v>
                </c:pt>
                <c:pt idx="305">
                  <c:v>34.981996635422171</c:v>
                </c:pt>
                <c:pt idx="306">
                  <c:v>35.194085455748954</c:v>
                </c:pt>
                <c:pt idx="307">
                  <c:v>35.406493659273849</c:v>
                </c:pt>
                <c:pt idx="308">
                  <c:v>35.619209088311813</c:v>
                </c:pt>
                <c:pt idx="309">
                  <c:v>35.832219585531924</c:v>
                </c:pt>
                <c:pt idx="310">
                  <c:v>36.045512994217752</c:v>
                </c:pt>
                <c:pt idx="311">
                  <c:v>36.259077158522338</c:v>
                </c:pt>
                <c:pt idx="312">
                  <c:v>36.472899923717776</c:v>
                </c:pt>
                <c:pt idx="313">
                  <c:v>36.686969136439437</c:v>
                </c:pt>
                <c:pt idx="314">
                  <c:v>36.901272644924788</c:v>
                </c:pt>
                <c:pt idx="315">
                  <c:v>37.11579829924689</c:v>
                </c:pt>
                <c:pt idx="316">
                  <c:v>37.330533951542549</c:v>
                </c:pt>
                <c:pt idx="317">
                  <c:v>37.545467456235123</c:v>
                </c:pt>
                <c:pt idx="318">
                  <c:v>37.760586670252017</c:v>
                </c:pt>
                <c:pt idx="319">
                  <c:v>37.975879453236885</c:v>
                </c:pt>
                <c:pt idx="320">
                  <c:v>38.19133366775651</c:v>
                </c:pt>
                <c:pt idx="321">
                  <c:v>38.406938091500869</c:v>
                </c:pt>
                <c:pt idx="322">
                  <c:v>38.622683329811771</c:v>
                </c:pt>
                <c:pt idx="323">
                  <c:v>38.838560903305833</c:v>
                </c:pt>
                <c:pt idx="324">
                  <c:v>39.054562335111818</c:v>
                </c:pt>
                <c:pt idx="325">
                  <c:v>39.27067915095941</c:v>
                </c:pt>
                <c:pt idx="326">
                  <c:v>39.486902879265415</c:v>
                </c:pt>
                <c:pt idx="327">
                  <c:v>39.703225051217444</c:v>
                </c:pt>
                <c:pt idx="328">
                  <c:v>39.919637200855014</c:v>
                </c:pt>
                <c:pt idx="329">
                  <c:v>40.136130865148111</c:v>
                </c:pt>
                <c:pt idx="330">
                  <c:v>40.352697584073212</c:v>
                </c:pt>
                <c:pt idx="331">
                  <c:v>40.569328900686791</c:v>
                </c:pt>
                <c:pt idx="332">
                  <c:v>40.786016361196282</c:v>
                </c:pt>
                <c:pt idx="333">
                  <c:v>41.00275151502855</c:v>
                </c:pt>
                <c:pt idx="334">
                  <c:v>41.219525914895826</c:v>
                </c:pt>
                <c:pt idx="335">
                  <c:v>41.436331116859165</c:v>
                </c:pt>
                <c:pt idx="336">
                  <c:v>41.653158680389367</c:v>
                </c:pt>
                <c:pt idx="337">
                  <c:v>41.87000016842547</c:v>
                </c:pt>
                <c:pt idx="338">
                  <c:v>42.086847147430696</c:v>
                </c:pt>
                <c:pt idx="339">
                  <c:v>42.303691187445956</c:v>
                </c:pt>
                <c:pt idx="340">
                  <c:v>42.520523862140884</c:v>
                </c:pt>
                <c:pt idx="341">
                  <c:v>42.737336748862383</c:v>
                </c:pt>
                <c:pt idx="342">
                  <c:v>42.954121428680743</c:v>
                </c:pt>
                <c:pt idx="343">
                  <c:v>43.170869486433268</c:v>
                </c:pt>
                <c:pt idx="344">
                  <c:v>43.387572510765501</c:v>
                </c:pt>
                <c:pt idx="345">
                  <c:v>43.604222094169955</c:v>
                </c:pt>
                <c:pt idx="346">
                  <c:v>43.820809833022466</c:v>
                </c:pt>
                <c:pt idx="347">
                  <c:v>44.037327327616062</c:v>
                </c:pt>
                <c:pt idx="348">
                  <c:v>44.25376628194644</c:v>
                </c:pt>
                <c:pt idx="349">
                  <c:v>44.470118603497028</c:v>
                </c:pt>
                <c:pt idx="350">
                  <c:v>44.686376303400287</c:v>
                </c:pt>
                <c:pt idx="351">
                  <c:v>44.902531396592188</c:v>
                </c:pt>
                <c:pt idx="352">
                  <c:v>45.118575901829189</c:v>
                </c:pt>
                <c:pt idx="353">
                  <c:v>45.334501841703066</c:v>
                </c:pt>
                <c:pt idx="354">
                  <c:v>45.550301242653568</c:v>
                </c:pt>
                <c:pt idx="355">
                  <c:v>45.765966134978903</c:v>
                </c:pt>
                <c:pt idx="356">
                  <c:v>45.98148855284407</c:v>
                </c:pt>
                <c:pt idx="357">
                  <c:v>46.196860534287019</c:v>
                </c:pt>
                <c:pt idx="358">
                  <c:v>46.412074121222652</c:v>
                </c:pt>
                <c:pt idx="359">
                  <c:v>46.6271213594447</c:v>
                </c:pt>
                <c:pt idx="360">
                  <c:v>46.841996386593848</c:v>
                </c:pt>
                <c:pt idx="361">
                  <c:v>47.056697519954319</c:v>
                </c:pt>
                <c:pt idx="362">
                  <c:v>47.271225165897988</c:v>
                </c:pt>
                <c:pt idx="363">
                  <c:v>47.48557972950254</c:v>
                </c:pt>
                <c:pt idx="364">
                  <c:v>47.699761614557175</c:v>
                </c:pt>
                <c:pt idx="365">
                  <c:v>47.913771223568261</c:v>
                </c:pt>
                <c:pt idx="366">
                  <c:v>48.127608957764949</c:v>
                </c:pt>
                <c:pt idx="367">
                  <c:v>48.34127521710478</c:v>
                </c:pt>
                <c:pt idx="368">
                  <c:v>48.554770400279246</c:v>
                </c:pt>
                <c:pt idx="369">
                  <c:v>48.76809490471932</c:v>
                </c:pt>
                <c:pt idx="370">
                  <c:v>48.981249126600972</c:v>
                </c:pt>
                <c:pt idx="371">
                  <c:v>49.194233460850633</c:v>
                </c:pt>
                <c:pt idx="372">
                  <c:v>49.407048301150631</c:v>
                </c:pt>
                <c:pt idx="373">
                  <c:v>49.619694039944626</c:v>
                </c:pt>
                <c:pt idx="374">
                  <c:v>49.832171068442982</c:v>
                </c:pt>
                <c:pt idx="375">
                  <c:v>50.044479776628116</c:v>
                </c:pt>
                <c:pt idx="376">
                  <c:v>50.256620553259836</c:v>
                </c:pt>
                <c:pt idx="377">
                  <c:v>50.46859378588065</c:v>
                </c:pt>
                <c:pt idx="378">
                  <c:v>50.680399860821005</c:v>
                </c:pt>
                <c:pt idx="379">
                  <c:v>50.892039163204551</c:v>
                </c:pt>
                <c:pt idx="380">
                  <c:v>51.103512076953336</c:v>
                </c:pt>
                <c:pt idx="381">
                  <c:v>51.314818984793021</c:v>
                </c:pt>
                <c:pt idx="382">
                  <c:v>51.525960268258004</c:v>
                </c:pt>
                <c:pt idx="383">
                  <c:v>51.73693630769656</c:v>
                </c:pt>
                <c:pt idx="384">
                  <c:v>51.94774748227595</c:v>
                </c:pt>
                <c:pt idx="385">
                  <c:v>52.158394169987481</c:v>
                </c:pt>
                <c:pt idx="386">
                  <c:v>52.368876747651555</c:v>
                </c:pt>
                <c:pt idx="387">
                  <c:v>52.579195590922708</c:v>
                </c:pt>
                <c:pt idx="388">
                  <c:v>52.789351074294579</c:v>
                </c:pt>
                <c:pt idx="389">
                  <c:v>52.99934357110488</c:v>
                </c:pt>
                <c:pt idx="390">
                  <c:v>53.209173453540345</c:v>
                </c:pt>
                <c:pt idx="391">
                  <c:v>53.418841092641635</c:v>
                </c:pt>
                <c:pt idx="392">
                  <c:v>53.628346858308234</c:v>
                </c:pt>
                <c:pt idx="393">
                  <c:v>53.837691119303301</c:v>
                </c:pt>
                <c:pt idx="394">
                  <c:v>54.046874243258507</c:v>
                </c:pt>
                <c:pt idx="395">
                  <c:v>54.255896596678845</c:v>
                </c:pt>
                <c:pt idx="396">
                  <c:v>54.464758544947415</c:v>
                </c:pt>
                <c:pt idx="397">
                  <c:v>54.673460452330175</c:v>
                </c:pt>
                <c:pt idx="398">
                  <c:v>54.882002681980694</c:v>
                </c:pt>
                <c:pt idx="399">
                  <c:v>55.090385595944845</c:v>
                </c:pt>
                <c:pt idx="400">
                  <c:v>55.298609555165484</c:v>
                </c:pt>
                <c:pt idx="401">
                  <c:v>57.372134512097986</c:v>
                </c:pt>
                <c:pt idx="402">
                  <c:v>59.429995981978763</c:v>
                </c:pt>
                <c:pt idx="403">
                  <c:v>61.472544712615758</c:v>
                </c:pt>
                <c:pt idx="404">
                  <c:v>63.500121014959277</c:v>
                </c:pt>
                <c:pt idx="405">
                  <c:v>65.513055191147672</c:v>
                </c:pt>
                <c:pt idx="406">
                  <c:v>67.511667940844248</c:v>
                </c:pt>
                <c:pt idx="407">
                  <c:v>69.496270747183033</c:v>
                </c:pt>
                <c:pt idx="408">
                  <c:v>71.46716624354832</c:v>
                </c:pt>
                <c:pt idx="409">
                  <c:v>73.424648562327661</c:v>
                </c:pt>
                <c:pt idx="410">
                  <c:v>75.369003666699271</c:v>
                </c:pt>
                <c:pt idx="411">
                  <c:v>77.300509666442451</c:v>
                </c:pt>
                <c:pt idx="412">
                  <c:v>79.219437118692838</c:v>
                </c:pt>
                <c:pt idx="413">
                  <c:v>81.126049314502509</c:v>
                </c:pt>
                <c:pt idx="414">
                  <c:v>83.020602552008114</c:v>
                </c:pt>
                <c:pt idx="415">
                  <c:v>84.903346396957318</c:v>
                </c:pt>
                <c:pt idx="416">
                  <c:v>86.774523931295221</c:v>
                </c:pt>
                <c:pt idx="417">
                  <c:v>88.634371990467073</c:v>
                </c:pt>
                <c:pt idx="418">
                  <c:v>90.48312139005192</c:v>
                </c:pt>
                <c:pt idx="419">
                  <c:v>92.320997142302701</c:v>
                </c:pt>
                <c:pt idx="420">
                  <c:v>94.148218663132525</c:v>
                </c:pt>
                <c:pt idx="421">
                  <c:v>95.96499997005327</c:v>
                </c:pt>
                <c:pt idx="422">
                  <c:v>97.77154987154131</c:v>
                </c:pt>
                <c:pt idx="423">
                  <c:v>99.568072148276599</c:v>
                </c:pt>
                <c:pt idx="424">
                  <c:v>101.35476572667406</c:v>
                </c:pt>
                <c:pt idx="425">
                  <c:v>103.13182484510122</c:v>
                </c:pt>
                <c:pt idx="426">
                  <c:v>104.8994392131527</c:v>
                </c:pt>
                <c:pt idx="427">
                  <c:v>106.65779416433023</c:v>
                </c:pt>
                <c:pt idx="428">
                  <c:v>108.40707080245654</c:v>
                </c:pt>
                <c:pt idx="429">
                  <c:v>110.14744614213254</c:v>
                </c:pt>
                <c:pt idx="430">
                  <c:v>111.87909324352918</c:v>
                </c:pt>
                <c:pt idx="431">
                  <c:v>113.60218134178915</c:v>
                </c:pt>
                <c:pt idx="432">
                  <c:v>115.31687597129751</c:v>
                </c:pt>
                <c:pt idx="433">
                  <c:v>117.02333908506645</c:v>
                </c:pt>
                <c:pt idx="434">
                  <c:v>118.72172916946508</c:v>
                </c:pt>
                <c:pt idx="435">
                  <c:v>120.4122013545128</c:v>
                </c:pt>
                <c:pt idx="436">
                  <c:v>122.09490751994279</c:v>
                </c:pt>
                <c:pt idx="437">
                  <c:v>123.7699963972306</c:v>
                </c:pt>
                <c:pt idx="438">
                  <c:v>125.43761366777274</c:v>
                </c:pt>
                <c:pt idx="439">
                  <c:v>127.09790205738985</c:v>
                </c:pt>
                <c:pt idx="440">
                  <c:v>128.75100142731992</c:v>
                </c:pt>
                <c:pt idx="441">
                  <c:v>130.39704886185828</c:v>
                </c:pt>
                <c:pt idx="442">
                  <c:v>132.03617875279255</c:v>
                </c:pt>
                <c:pt idx="443">
                  <c:v>133.66852288077354</c:v>
                </c:pt>
                <c:pt idx="444">
                  <c:v>135.29421049375503</c:v>
                </c:pt>
                <c:pt idx="445">
                  <c:v>136.91336838262922</c:v>
                </c:pt>
                <c:pt idx="446">
                  <c:v>138.52612095417734</c:v>
                </c:pt>
                <c:pt idx="447">
                  <c:v>140.13259030144971</c:v>
                </c:pt>
                <c:pt idx="448">
                  <c:v>141.73289627168256</c:v>
                </c:pt>
                <c:pt idx="449">
                  <c:v>143.32715653185474</c:v>
                </c:pt>
                <c:pt idx="450">
                  <c:v>144.91548663198097</c:v>
                </c:pt>
                <c:pt idx="451">
                  <c:v>146.49800006623445</c:v>
                </c:pt>
                <c:pt idx="452">
                  <c:v>148.07480833198625</c:v>
                </c:pt>
                <c:pt idx="453">
                  <c:v>149.64602098684469</c:v>
                </c:pt>
                <c:pt idx="454">
                  <c:v>151.21174570377397</c:v>
                </c:pt>
                <c:pt idx="455">
                  <c:v>152.77208832436693</c:v>
                </c:pt>
                <c:pt idx="456">
                  <c:v>154.32715291034327</c:v>
                </c:pt>
                <c:pt idx="457">
                  <c:v>155.87704179334077</c:v>
                </c:pt>
                <c:pt idx="458">
                  <c:v>157.42185562306364</c:v>
                </c:pt>
                <c:pt idx="459">
                  <c:v>158.96169341384908</c:v>
                </c:pt>
                <c:pt idx="460">
                  <c:v>160.49665258970947</c:v>
                </c:pt>
                <c:pt idx="461">
                  <c:v>162.0268290279048</c:v>
                </c:pt>
                <c:pt idx="462">
                  <c:v>163.55231710109734</c:v>
                </c:pt>
                <c:pt idx="463">
                  <c:v>165.07320971813709</c:v>
                </c:pt>
                <c:pt idx="464">
                  <c:v>166.58959836352443</c:v>
                </c:pt>
                <c:pt idx="465">
                  <c:v>168.10157313559324</c:v>
                </c:pt>
                <c:pt idx="466">
                  <c:v>169.60922278345569</c:v>
                </c:pt>
                <c:pt idx="467">
                  <c:v>171.11263474274696</c:v>
                </c:pt>
                <c:pt idx="468">
                  <c:v>172.6118951702058</c:v>
                </c:pt>
                <c:pt idx="469">
                  <c:v>174.10708897712465</c:v>
                </c:pt>
                <c:pt idx="470">
                  <c:v>175.59829986170033</c:v>
                </c:pt>
                <c:pt idx="471">
                  <c:v>177.08561034031413</c:v>
                </c:pt>
                <c:pt idx="472">
                  <c:v>178.5691017777676</c:v>
                </c:pt>
                <c:pt idx="473">
                  <c:v>180.04885441649805</c:v>
                </c:pt>
                <c:pt idx="474">
                  <c:v>181.52494740479531</c:v>
                </c:pt>
                <c:pt idx="475">
                  <c:v>182.99745882403894</c:v>
                </c:pt>
                <c:pt idx="476">
                  <c:v>184.46646571497209</c:v>
                </c:pt>
                <c:pt idx="477">
                  <c:v>185.93204410302633</c:v>
                </c:pt>
                <c:pt idx="478">
                  <c:v>187.39426902270839</c:v>
                </c:pt>
                <c:pt idx="479">
                  <c:v>188.85321454105724</c:v>
                </c:pt>
                <c:pt idx="480">
                  <c:v>190.30895378017684</c:v>
                </c:pt>
                <c:pt idx="481">
                  <c:v>191.76155893884646</c:v>
                </c:pt>
                <c:pt idx="482">
                  <c:v>193.21110131320768</c:v>
                </c:pt>
                <c:pt idx="483">
                  <c:v>194.6576513165227</c:v>
                </c:pt>
                <c:pt idx="484">
                  <c:v>196.10127849799514</c:v>
                </c:pt>
                <c:pt idx="485">
                  <c:v>197.54205156063983</c:v>
                </c:pt>
                <c:pt idx="486">
                  <c:v>198.98003837818365</c:v>
                </c:pt>
                <c:pt idx="487">
                  <c:v>200.41530601097381</c:v>
                </c:pt>
                <c:pt idx="488">
                  <c:v>201.84792072086438</c:v>
                </c:pt>
                <c:pt idx="489">
                  <c:v>203.27794798504533</c:v>
                </c:pt>
                <c:pt idx="490">
                  <c:v>204.705452508771</c:v>
                </c:pt>
                <c:pt idx="491">
                  <c:v>206.13049823693689</c:v>
                </c:pt>
                <c:pt idx="492">
                  <c:v>207.5531483644443</c:v>
                </c:pt>
                <c:pt idx="493">
                  <c:v>208.97346534528211</c:v>
                </c:pt>
                <c:pt idx="494">
                  <c:v>210.39151090024325</c:v>
                </c:pt>
                <c:pt idx="495">
                  <c:v>211.80734602317986</c:v>
                </c:pt>
                <c:pt idx="496">
                  <c:v>213.22103098568618</c:v>
                </c:pt>
                <c:pt idx="497">
                  <c:v>214.63262534008066</c:v>
                </c:pt>
                <c:pt idx="498">
                  <c:v>216.04218792053885</c:v>
                </c:pt>
                <c:pt idx="499">
                  <c:v>217.44977684220609</c:v>
                </c:pt>
                <c:pt idx="500">
                  <c:v>218.85544949809307</c:v>
                </c:pt>
                <c:pt idx="501">
                  <c:v>220.25926255352678</c:v>
                </c:pt>
                <c:pt idx="502">
                  <c:v>221.6612719378962</c:v>
                </c:pt>
                <c:pt idx="503">
                  <c:v>223.06153283339174</c:v>
                </c:pt>
                <c:pt idx="504">
                  <c:v>224.46009966039333</c:v>
                </c:pt>
                <c:pt idx="505">
                  <c:v>225.85702605911075</c:v>
                </c:pt>
                <c:pt idx="506">
                  <c:v>227.25236486702107</c:v>
                </c:pt>
                <c:pt idx="507">
                  <c:v>228.64616809158292</c:v>
                </c:pt>
                <c:pt idx="508">
                  <c:v>230.03848687763306</c:v>
                </c:pt>
                <c:pt idx="509">
                  <c:v>231.42937146878916</c:v>
                </c:pt>
                <c:pt idx="510">
                  <c:v>232.81887116209245</c:v>
                </c:pt>
                <c:pt idx="511">
                  <c:v>234.2070342550289</c:v>
                </c:pt>
                <c:pt idx="512">
                  <c:v>235.59390798396717</c:v>
                </c:pt>
                <c:pt idx="513">
                  <c:v>236.97953845295379</c:v>
                </c:pt>
                <c:pt idx="514">
                  <c:v>238.36397055171633</c:v>
                </c:pt>
                <c:pt idx="515">
                  <c:v>239.74724786165638</c:v>
                </c:pt>
                <c:pt idx="516">
                  <c:v>241.12941254858305</c:v>
                </c:pt>
                <c:pt idx="517">
                  <c:v>242.51050524096931</c:v>
                </c:pt>
                <c:pt idx="518">
                  <c:v>243.89056489263908</c:v>
                </c:pt>
                <c:pt idx="519">
                  <c:v>245.26962862905754</c:v>
                </c:pt>
                <c:pt idx="520">
                  <c:v>246.64773157684891</c:v>
                </c:pt>
                <c:pt idx="521">
                  <c:v>248.02490667686209</c:v>
                </c:pt>
                <c:pt idx="522">
                  <c:v>249.4011844820977</c:v>
                </c:pt>
                <c:pt idx="523">
                  <c:v>250.77659294313139</c:v>
                </c:pt>
                <c:pt idx="524">
                  <c:v>252.15115718530973</c:v>
                </c:pt>
                <c:pt idx="525">
                  <c:v>253.52489928387553</c:v>
                </c:pt>
                <c:pt idx="526">
                  <c:v>254.89783804511859</c:v>
                </c:pt>
                <c:pt idx="527">
                  <c:v>256.26998880335776</c:v>
                </c:pt>
                <c:pt idx="528">
                  <c:v>257.64136324466284</c:v>
                </c:pt>
                <c:pt idx="529">
                  <c:v>259.01196926832495</c:v>
                </c:pt>
                <c:pt idx="530">
                  <c:v>260.38181089588608</c:v>
                </c:pt>
                <c:pt idx="531">
                  <c:v>261.75088823497191</c:v>
                </c:pt>
                <c:pt idx="532">
                  <c:v>263.11919750147626</c:v>
                </c:pt>
                <c:pt idx="533">
                  <c:v>264.48673109936328</c:v>
                </c:pt>
                <c:pt idx="534">
                  <c:v>265.85347775318655</c:v>
                </c:pt>
                <c:pt idx="535">
                  <c:v>267.21942268504762</c:v>
                </c:pt>
                <c:pt idx="536">
                  <c:v>268.58454782558539</c:v>
                </c:pt>
                <c:pt idx="537">
                  <c:v>269.94883204783793</c:v>
                </c:pt>
                <c:pt idx="538">
                  <c:v>271.312251413296</c:v>
                </c:pt>
                <c:pt idx="539">
                  <c:v>272.67477942082854</c:v>
                </c:pt>
                <c:pt idx="540">
                  <c:v>274.03638725100052</c:v>
                </c:pt>
                <c:pt idx="541">
                  <c:v>275.39704400026727</c:v>
                </c:pt>
                <c:pt idx="542">
                  <c:v>276.75671690136153</c:v>
                </c:pt>
                <c:pt idx="543">
                  <c:v>278.11537152774048</c:v>
                </c:pt>
                <c:pt idx="544">
                  <c:v>279.47297198117997</c:v>
                </c:pt>
                <c:pt idx="545">
                  <c:v>280.82948106249677</c:v>
                </c:pt>
                <c:pt idx="546">
                  <c:v>282.18486042598863</c:v>
                </c:pt>
                <c:pt idx="547">
                  <c:v>283.53907071856565</c:v>
                </c:pt>
                <c:pt idx="548">
                  <c:v>284.89207170475572</c:v>
                </c:pt>
                <c:pt idx="549">
                  <c:v>286.24382237885476</c:v>
                </c:pt>
                <c:pt idx="550">
                  <c:v>287.59428106549484</c:v>
                </c:pt>
                <c:pt idx="551">
                  <c:v>288.94340550985572</c:v>
                </c:pt>
                <c:pt idx="552">
                  <c:v>290.29115295866268</c:v>
                </c:pt>
                <c:pt idx="553">
                  <c:v>291.63748023301861</c:v>
                </c:pt>
                <c:pt idx="554">
                  <c:v>292.98234379401566</c:v>
                </c:pt>
                <c:pt idx="555">
                  <c:v>294.32569980197133</c:v>
                </c:pt>
                <c:pt idx="556">
                  <c:v>295.66750417003789</c:v>
                </c:pt>
                <c:pt idx="557">
                  <c:v>297.00771261284632</c:v>
                </c:pt>
                <c:pt idx="558">
                  <c:v>298.34628069076462</c:v>
                </c:pt>
                <c:pt idx="559">
                  <c:v>299.68316385027953</c:v>
                </c:pt>
                <c:pt idx="560">
                  <c:v>301.01831746094643</c:v>
                </c:pt>
                <c:pt idx="561">
                  <c:v>302.35169684929667</c:v>
                </c:pt>
                <c:pt idx="562">
                  <c:v>303.68325733004116</c:v>
                </c:pt>
                <c:pt idx="563">
                  <c:v>305.01295423486823</c:v>
                </c:pt>
                <c:pt idx="564">
                  <c:v>306.3407429390939</c:v>
                </c:pt>
                <c:pt idx="565">
                  <c:v>307.66657888639236</c:v>
                </c:pt>
                <c:pt idx="566">
                  <c:v>308.99041761180473</c:v>
                </c:pt>
                <c:pt idx="567">
                  <c:v>310.31221476320042</c:v>
                </c:pt>
                <c:pt idx="568">
                  <c:v>311.63192612134355</c:v>
                </c:pt>
                <c:pt idx="569">
                  <c:v>312.94950761869876</c:v>
                </c:pt>
                <c:pt idx="570">
                  <c:v>314.26491535709448</c:v>
                </c:pt>
                <c:pt idx="571">
                  <c:v>315.57810562434759</c:v>
                </c:pt>
                <c:pt idx="572">
                  <c:v>316.88903490994119</c:v>
                </c:pt>
                <c:pt idx="573">
                  <c:v>318.19765991983684</c:v>
                </c:pt>
                <c:pt idx="574">
                  <c:v>319.50393759049274</c:v>
                </c:pt>
                <c:pt idx="575">
                  <c:v>320.8078251021517</c:v>
                </c:pt>
                <c:pt idx="576">
                  <c:v>322.10927989145546</c:v>
                </c:pt>
                <c:pt idx="577">
                  <c:v>323.40825966343562</c:v>
                </c:pt>
                <c:pt idx="578">
                  <c:v>324.70472240292565</c:v>
                </c:pt>
                <c:pt idx="579">
                  <c:v>325.99862638543453</c:v>
                </c:pt>
                <c:pt idx="580">
                  <c:v>327.2899301875172</c:v>
                </c:pt>
                <c:pt idx="581">
                  <c:v>328.57859269667404</c:v>
                </c:pt>
                <c:pt idx="582">
                  <c:v>329.86457312080785</c:v>
                </c:pt>
                <c:pt idx="583">
                  <c:v>331.14783099726446</c:v>
                </c:pt>
                <c:pt idx="584">
                  <c:v>332.42832620147971</c:v>
                </c:pt>
                <c:pt idx="585">
                  <c:v>333.70601895525363</c:v>
                </c:pt>
                <c:pt idx="586">
                  <c:v>334.98086983467124</c:v>
                </c:pt>
                <c:pt idx="587">
                  <c:v>336.25283977768618</c:v>
                </c:pt>
                <c:pt idx="588">
                  <c:v>337.52189009138317</c:v>
                </c:pt>
                <c:pt idx="589">
                  <c:v>338.7879824589333</c:v>
                </c:pt>
                <c:pt idx="590">
                  <c:v>340.05107894625434</c:v>
                </c:pt>
                <c:pt idx="591">
                  <c:v>341.31114200838829</c:v>
                </c:pt>
                <c:pt idx="592">
                  <c:v>342.56813449560639</c:v>
                </c:pt>
                <c:pt idx="593">
                  <c:v>343.82201965925134</c:v>
                </c:pt>
                <c:pt idx="594">
                  <c:v>345.07276115732583</c:v>
                </c:pt>
                <c:pt idx="595">
                  <c:v>346.32032305983495</c:v>
                </c:pt>
                <c:pt idx="596">
                  <c:v>347.56466985389079</c:v>
                </c:pt>
                <c:pt idx="597">
                  <c:v>348.80576644858559</c:v>
                </c:pt>
                <c:pt idx="598">
                  <c:v>350.04357817963984</c:v>
                </c:pt>
                <c:pt idx="599">
                  <c:v>351.2780708138319</c:v>
                </c:pt>
                <c:pt idx="600">
                  <c:v>352.50921055321379</c:v>
                </c:pt>
                <c:pt idx="601">
                  <c:v>353.73696403911924</c:v>
                </c:pt>
                <c:pt idx="602">
                  <c:v>354.96129835596793</c:v>
                </c:pt>
                <c:pt idx="603">
                  <c:v>356.18218103487135</c:v>
                </c:pt>
                <c:pt idx="604">
                  <c:v>357.39958005704392</c:v>
                </c:pt>
                <c:pt idx="605">
                  <c:v>358.6134638570237</c:v>
                </c:pt>
                <c:pt idx="606">
                  <c:v>359.82380132570643</c:v>
                </c:pt>
                <c:pt idx="607">
                  <c:v>361.0305618131967</c:v>
                </c:pt>
                <c:pt idx="608">
                  <c:v>362.23371513147924</c:v>
                </c:pt>
                <c:pt idx="609">
                  <c:v>363.43323155691456</c:v>
                </c:pt>
                <c:pt idx="610">
                  <c:v>364.62908183256098</c:v>
                </c:pt>
                <c:pt idx="611">
                  <c:v>365.82123717032704</c:v>
                </c:pt>
                <c:pt idx="612">
                  <c:v>367.00966925295688</c:v>
                </c:pt>
                <c:pt idx="613">
                  <c:v>368.19435023585129</c:v>
                </c:pt>
                <c:pt idx="614">
                  <c:v>369.37525274872752</c:v>
                </c:pt>
                <c:pt idx="615">
                  <c:v>370.55234989712051</c:v>
                </c:pt>
                <c:pt idx="616">
                  <c:v>371.72561526372778</c:v>
                </c:pt>
                <c:pt idx="617">
                  <c:v>372.8950229096011</c:v>
                </c:pt>
                <c:pt idx="618">
                  <c:v>374.06054737518713</c:v>
                </c:pt>
                <c:pt idx="619">
                  <c:v>375.22216368121963</c:v>
                </c:pt>
                <c:pt idx="620">
                  <c:v>376.37984732946546</c:v>
                </c:pt>
                <c:pt idx="621">
                  <c:v>377.53357430332733</c:v>
                </c:pt>
                <c:pt idx="622">
                  <c:v>378.68332106830474</c:v>
                </c:pt>
                <c:pt idx="623">
                  <c:v>379.8290645723165</c:v>
                </c:pt>
                <c:pt idx="624">
                  <c:v>380.97078224588643</c:v>
                </c:pt>
                <c:pt idx="625">
                  <c:v>382.10845200219478</c:v>
                </c:pt>
                <c:pt idx="626">
                  <c:v>383.24205223699772</c:v>
                </c:pt>
                <c:pt idx="627">
                  <c:v>384.37156182841687</c:v>
                </c:pt>
                <c:pt idx="628">
                  <c:v>385.49696013660167</c:v>
                </c:pt>
                <c:pt idx="629">
                  <c:v>386.61822700326627</c:v>
                </c:pt>
                <c:pt idx="630">
                  <c:v>387.73534275110359</c:v>
                </c:pt>
                <c:pt idx="631">
                  <c:v>388.84828818307835</c:v>
                </c:pt>
                <c:pt idx="632">
                  <c:v>389.95704458160191</c:v>
                </c:pt>
                <c:pt idx="633">
                  <c:v>391.06159370759048</c:v>
                </c:pt>
                <c:pt idx="634">
                  <c:v>392.16191779940937</c:v>
                </c:pt>
                <c:pt idx="635">
                  <c:v>393.25799957170534</c:v>
                </c:pt>
                <c:pt idx="636">
                  <c:v>394.34982221412906</c:v>
                </c:pt>
                <c:pt idx="637">
                  <c:v>395.43736938995028</c:v>
                </c:pt>
                <c:pt idx="638">
                  <c:v>396.52062523456755</c:v>
                </c:pt>
                <c:pt idx="639">
                  <c:v>397.59957435391482</c:v>
                </c:pt>
                <c:pt idx="640">
                  <c:v>398.67420182276715</c:v>
                </c:pt>
                <c:pt idx="641">
                  <c:v>399.74449318294774</c:v>
                </c:pt>
                <c:pt idx="642">
                  <c:v>400.81043444143825</c:v>
                </c:pt>
                <c:pt idx="643">
                  <c:v>401.87201206839478</c:v>
                </c:pt>
                <c:pt idx="644">
                  <c:v>402.92921299507162</c:v>
                </c:pt>
                <c:pt idx="645">
                  <c:v>403.98202461165511</c:v>
                </c:pt>
                <c:pt idx="646">
                  <c:v>405.03043476500937</c:v>
                </c:pt>
                <c:pt idx="647">
                  <c:v>406.07443175633648</c:v>
                </c:pt>
                <c:pt idx="648">
                  <c:v>407.11400433875309</c:v>
                </c:pt>
                <c:pt idx="649">
                  <c:v>408.14914171478546</c:v>
                </c:pt>
                <c:pt idx="650">
                  <c:v>409.17983353378548</c:v>
                </c:pt>
                <c:pt idx="651">
                  <c:v>410.20606988926932</c:v>
                </c:pt>
                <c:pt idx="652">
                  <c:v>411.22784131618113</c:v>
                </c:pt>
                <c:pt idx="653">
                  <c:v>412.24513878808392</c:v>
                </c:pt>
                <c:pt idx="654">
                  <c:v>413.25795371427949</c:v>
                </c:pt>
                <c:pt idx="655">
                  <c:v>414.26627793685986</c:v>
                </c:pt>
                <c:pt idx="656">
                  <c:v>415.27010372769195</c:v>
                </c:pt>
                <c:pt idx="657">
                  <c:v>416.26942378533778</c:v>
                </c:pt>
                <c:pt idx="658">
                  <c:v>417.26423123191222</c:v>
                </c:pt>
                <c:pt idx="659">
                  <c:v>418.25451960988039</c:v>
                </c:pt>
                <c:pt idx="660">
                  <c:v>419.24028287879651</c:v>
                </c:pt>
                <c:pt idx="661">
                  <c:v>420.22151541198662</c:v>
                </c:pt>
                <c:pt idx="662">
                  <c:v>421.19821199317687</c:v>
                </c:pt>
                <c:pt idx="663">
                  <c:v>422.17036781306945</c:v>
                </c:pt>
                <c:pt idx="664">
                  <c:v>423.13797846586829</c:v>
                </c:pt>
                <c:pt idx="665">
                  <c:v>424.10103994575627</c:v>
                </c:pt>
                <c:pt idx="666">
                  <c:v>425.05954864332608</c:v>
                </c:pt>
                <c:pt idx="667">
                  <c:v>426.01350134196645</c:v>
                </c:pt>
                <c:pt idx="668">
                  <c:v>426.96289521420607</c:v>
                </c:pt>
                <c:pt idx="669">
                  <c:v>427.90772781801655</c:v>
                </c:pt>
                <c:pt idx="670">
                  <c:v>428.84799709307669</c:v>
                </c:pt>
                <c:pt idx="671">
                  <c:v>429.7837013569997</c:v>
                </c:pt>
                <c:pt idx="672">
                  <c:v>430.71483930152561</c:v>
                </c:pt>
                <c:pt idx="673">
                  <c:v>431.64140998868004</c:v>
                </c:pt>
                <c:pt idx="674">
                  <c:v>432.56341284690166</c:v>
                </c:pt>
                <c:pt idx="675">
                  <c:v>433.48084766713993</c:v>
                </c:pt>
                <c:pt idx="676">
                  <c:v>434.3937145989247</c:v>
                </c:pt>
                <c:pt idx="677">
                  <c:v>435.30201414640993</c:v>
                </c:pt>
                <c:pt idx="678">
                  <c:v>436.20574716439245</c:v>
                </c:pt>
                <c:pt idx="679">
                  <c:v>437.10491485430828</c:v>
                </c:pt>
                <c:pt idx="680">
                  <c:v>437.99951876020759</c:v>
                </c:pt>
                <c:pt idx="681">
                  <c:v>438.8895607647101</c:v>
                </c:pt>
                <c:pt idx="682">
                  <c:v>439.77504308494252</c:v>
                </c:pt>
                <c:pt idx="683">
                  <c:v>440.6559682684599</c:v>
                </c:pt>
                <c:pt idx="684">
                  <c:v>441.53233918915203</c:v>
                </c:pt>
                <c:pt idx="685">
                  <c:v>442.40415904313659</c:v>
                </c:pt>
                <c:pt idx="686">
                  <c:v>443.27143134464069</c:v>
                </c:pt>
                <c:pt idx="687">
                  <c:v>444.13415992187214</c:v>
                </c:pt>
                <c:pt idx="688">
                  <c:v>444.99234891288211</c:v>
                </c:pt>
                <c:pt idx="689">
                  <c:v>445.84600276142021</c:v>
                </c:pt>
                <c:pt idx="690">
                  <c:v>446.69512621278392</c:v>
                </c:pt>
                <c:pt idx="691">
                  <c:v>447.53972430966337</c:v>
                </c:pt>
                <c:pt idx="692">
                  <c:v>448.37980238798315</c:v>
                </c:pt>
                <c:pt idx="693">
                  <c:v>449.21536607274209</c:v>
                </c:pt>
                <c:pt idx="694">
                  <c:v>450.0464212738525</c:v>
                </c:pt>
                <c:pt idx="695">
                  <c:v>450.87297418198057</c:v>
                </c:pt>
                <c:pt idx="696">
                  <c:v>451.69503126438838</c:v>
                </c:pt>
                <c:pt idx="697">
                  <c:v>452.51259926077938</c:v>
                </c:pt>
                <c:pt idx="698">
                  <c:v>453.32568517914831</c:v>
                </c:pt>
                <c:pt idx="699">
                  <c:v>454.13429629163676</c:v>
                </c:pt>
                <c:pt idx="700">
                  <c:v>454.93844013039535</c:v>
                </c:pt>
                <c:pt idx="701">
                  <c:v>455.73812448345421</c:v>
                </c:pt>
                <c:pt idx="702">
                  <c:v>456.53335739060202</c:v>
                </c:pt>
                <c:pt idx="703">
                  <c:v>457.32414713927545</c:v>
                </c:pt>
                <c:pt idx="704">
                  <c:v>458.11050226045955</c:v>
                </c:pt>
                <c:pt idx="705">
                  <c:v>458.8924315246004</c:v>
                </c:pt>
                <c:pt idx="706">
                  <c:v>459.6699439375306</c:v>
                </c:pt>
                <c:pt idx="707">
                  <c:v>460.44304873640937</c:v>
                </c:pt>
                <c:pt idx="708">
                  <c:v>461.21175538567707</c:v>
                </c:pt>
                <c:pt idx="709">
                  <c:v>461.97607357302604</c:v>
                </c:pt>
                <c:pt idx="710">
                  <c:v>462.73601320538836</c:v>
                </c:pt>
                <c:pt idx="711">
                  <c:v>463.49158440494085</c:v>
                </c:pt>
                <c:pt idx="712">
                  <c:v>464.24279750512898</c:v>
                </c:pt>
                <c:pt idx="713">
                  <c:v>464.98966304671001</c:v>
                </c:pt>
                <c:pt idx="714">
                  <c:v>465.73219177381611</c:v>
                </c:pt>
                <c:pt idx="715">
                  <c:v>466.47039463003864</c:v>
                </c:pt>
                <c:pt idx="716">
                  <c:v>467.20428275453378</c:v>
                </c:pt>
                <c:pt idx="717">
                  <c:v>467.93386747815055</c:v>
                </c:pt>
                <c:pt idx="718">
                  <c:v>468.65916031958193</c:v>
                </c:pt>
                <c:pt idx="719">
                  <c:v>468.65916031958193</c:v>
                </c:pt>
                <c:pt idx="720">
                  <c:v>468.65916031958193</c:v>
                </c:pt>
                <c:pt idx="721">
                  <c:v>468.65916031958193</c:v>
                </c:pt>
                <c:pt idx="722">
                  <c:v>468.65916031958193</c:v>
                </c:pt>
                <c:pt idx="723">
                  <c:v>468.65916031958193</c:v>
                </c:pt>
                <c:pt idx="724">
                  <c:v>468.65916031958193</c:v>
                </c:pt>
                <c:pt idx="725">
                  <c:v>468.65916031958193</c:v>
                </c:pt>
                <c:pt idx="726">
                  <c:v>468.65916031958193</c:v>
                </c:pt>
                <c:pt idx="727">
                  <c:v>468.65916031958193</c:v>
                </c:pt>
                <c:pt idx="728">
                  <c:v>468.65916031958193</c:v>
                </c:pt>
                <c:pt idx="729">
                  <c:v>468.65916031958193</c:v>
                </c:pt>
                <c:pt idx="730">
                  <c:v>468.65916031958193</c:v>
                </c:pt>
                <c:pt idx="731">
                  <c:v>468.65916031958193</c:v>
                </c:pt>
                <c:pt idx="732">
                  <c:v>468.65916031958193</c:v>
                </c:pt>
                <c:pt idx="733">
                  <c:v>468.65916031958193</c:v>
                </c:pt>
                <c:pt idx="734">
                  <c:v>468.65916031958193</c:v>
                </c:pt>
                <c:pt idx="735">
                  <c:v>468.65916031958193</c:v>
                </c:pt>
                <c:pt idx="736">
                  <c:v>468.65916031958193</c:v>
                </c:pt>
                <c:pt idx="737">
                  <c:v>468.65916031958193</c:v>
                </c:pt>
                <c:pt idx="738">
                  <c:v>468.65916031958193</c:v>
                </c:pt>
                <c:pt idx="739">
                  <c:v>468.65916031958193</c:v>
                </c:pt>
                <c:pt idx="740">
                  <c:v>468.65916031958193</c:v>
                </c:pt>
                <c:pt idx="741">
                  <c:v>468.65916031958193</c:v>
                </c:pt>
                <c:pt idx="742">
                  <c:v>468.65916031958193</c:v>
                </c:pt>
                <c:pt idx="743">
                  <c:v>468.65916031958193</c:v>
                </c:pt>
                <c:pt idx="744">
                  <c:v>468.65916031958193</c:v>
                </c:pt>
                <c:pt idx="745">
                  <c:v>468.65916031958193</c:v>
                </c:pt>
                <c:pt idx="746">
                  <c:v>468.65916031958193</c:v>
                </c:pt>
                <c:pt idx="747">
                  <c:v>468.65916031958193</c:v>
                </c:pt>
                <c:pt idx="748">
                  <c:v>468.65916031958193</c:v>
                </c:pt>
                <c:pt idx="749">
                  <c:v>468.65916031958193</c:v>
                </c:pt>
                <c:pt idx="750">
                  <c:v>468.65916031958193</c:v>
                </c:pt>
                <c:pt idx="751">
                  <c:v>468.65916031958193</c:v>
                </c:pt>
                <c:pt idx="752">
                  <c:v>468.65916031958193</c:v>
                </c:pt>
                <c:pt idx="753">
                  <c:v>468.65916031958193</c:v>
                </c:pt>
                <c:pt idx="754">
                  <c:v>468.65916031958193</c:v>
                </c:pt>
                <c:pt idx="755">
                  <c:v>468.65916031958193</c:v>
                </c:pt>
                <c:pt idx="756">
                  <c:v>468.65916031958193</c:v>
                </c:pt>
                <c:pt idx="757">
                  <c:v>468.65916031958193</c:v>
                </c:pt>
                <c:pt idx="758">
                  <c:v>468.65916031958193</c:v>
                </c:pt>
                <c:pt idx="759">
                  <c:v>468.65916031958193</c:v>
                </c:pt>
                <c:pt idx="760">
                  <c:v>468.65916031958193</c:v>
                </c:pt>
                <c:pt idx="761">
                  <c:v>468.65916031958193</c:v>
                </c:pt>
                <c:pt idx="762">
                  <c:v>468.65916031958193</c:v>
                </c:pt>
                <c:pt idx="763">
                  <c:v>468.65916031958193</c:v>
                </c:pt>
                <c:pt idx="764">
                  <c:v>468.65916031958193</c:v>
                </c:pt>
                <c:pt idx="765">
                  <c:v>468.65916031958193</c:v>
                </c:pt>
                <c:pt idx="766">
                  <c:v>468.65916031958193</c:v>
                </c:pt>
                <c:pt idx="767">
                  <c:v>468.65916031958193</c:v>
                </c:pt>
                <c:pt idx="768">
                  <c:v>468.65916031958193</c:v>
                </c:pt>
                <c:pt idx="769">
                  <c:v>468.65916031958193</c:v>
                </c:pt>
                <c:pt idx="770">
                  <c:v>468.65916031958193</c:v>
                </c:pt>
                <c:pt idx="771">
                  <c:v>468.65916031958193</c:v>
                </c:pt>
                <c:pt idx="772">
                  <c:v>468.65916031958193</c:v>
                </c:pt>
                <c:pt idx="773">
                  <c:v>468.65916031958193</c:v>
                </c:pt>
                <c:pt idx="774">
                  <c:v>468.65916031958193</c:v>
                </c:pt>
                <c:pt idx="775">
                  <c:v>468.65916031958193</c:v>
                </c:pt>
                <c:pt idx="776">
                  <c:v>468.65916031958193</c:v>
                </c:pt>
                <c:pt idx="777">
                  <c:v>468.65916031958193</c:v>
                </c:pt>
                <c:pt idx="778">
                  <c:v>468.65916031958193</c:v>
                </c:pt>
                <c:pt idx="779">
                  <c:v>468.65916031958193</c:v>
                </c:pt>
                <c:pt idx="780">
                  <c:v>468.65916031958193</c:v>
                </c:pt>
                <c:pt idx="781">
                  <c:v>468.65916031958193</c:v>
                </c:pt>
                <c:pt idx="782">
                  <c:v>468.65916031958193</c:v>
                </c:pt>
                <c:pt idx="783">
                  <c:v>468.65916031958193</c:v>
                </c:pt>
                <c:pt idx="784">
                  <c:v>468.65916031958193</c:v>
                </c:pt>
                <c:pt idx="785">
                  <c:v>468.65916031958193</c:v>
                </c:pt>
                <c:pt idx="786">
                  <c:v>468.65916031958193</c:v>
                </c:pt>
                <c:pt idx="787">
                  <c:v>468.65916031958193</c:v>
                </c:pt>
                <c:pt idx="788">
                  <c:v>468.65916031958193</c:v>
                </c:pt>
                <c:pt idx="789">
                  <c:v>468.65916031958193</c:v>
                </c:pt>
                <c:pt idx="790">
                  <c:v>468.65916031958193</c:v>
                </c:pt>
                <c:pt idx="791">
                  <c:v>468.65916031958193</c:v>
                </c:pt>
                <c:pt idx="792">
                  <c:v>468.65916031958193</c:v>
                </c:pt>
                <c:pt idx="793">
                  <c:v>468.65916031958193</c:v>
                </c:pt>
                <c:pt idx="794">
                  <c:v>468.65916031958193</c:v>
                </c:pt>
                <c:pt idx="795">
                  <c:v>468.65916031958193</c:v>
                </c:pt>
                <c:pt idx="796">
                  <c:v>468.65916031958193</c:v>
                </c:pt>
                <c:pt idx="797">
                  <c:v>468.65916031958193</c:v>
                </c:pt>
                <c:pt idx="798">
                  <c:v>468.65916031958193</c:v>
                </c:pt>
                <c:pt idx="799">
                  <c:v>468.65916031958193</c:v>
                </c:pt>
                <c:pt idx="800">
                  <c:v>468.65916031958193</c:v>
                </c:pt>
                <c:pt idx="801">
                  <c:v>468.65916031958193</c:v>
                </c:pt>
                <c:pt idx="802">
                  <c:v>468.65916031958193</c:v>
                </c:pt>
                <c:pt idx="803">
                  <c:v>468.65916031958193</c:v>
                </c:pt>
                <c:pt idx="804">
                  <c:v>468.65916031958193</c:v>
                </c:pt>
                <c:pt idx="805">
                  <c:v>468.65916031958193</c:v>
                </c:pt>
                <c:pt idx="806">
                  <c:v>468.65916031958193</c:v>
                </c:pt>
                <c:pt idx="807">
                  <c:v>468.65916031958193</c:v>
                </c:pt>
                <c:pt idx="808">
                  <c:v>468.65916031958193</c:v>
                </c:pt>
                <c:pt idx="809">
                  <c:v>468.65916031958193</c:v>
                </c:pt>
                <c:pt idx="810">
                  <c:v>468.65916031958193</c:v>
                </c:pt>
                <c:pt idx="811">
                  <c:v>468.65916031958193</c:v>
                </c:pt>
                <c:pt idx="812">
                  <c:v>468.65916031958193</c:v>
                </c:pt>
                <c:pt idx="813">
                  <c:v>468.65916031958193</c:v>
                </c:pt>
                <c:pt idx="814">
                  <c:v>468.65916031958193</c:v>
                </c:pt>
                <c:pt idx="815">
                  <c:v>468.65916031958193</c:v>
                </c:pt>
                <c:pt idx="816">
                  <c:v>468.65916031958193</c:v>
                </c:pt>
                <c:pt idx="817">
                  <c:v>468.65916031958193</c:v>
                </c:pt>
                <c:pt idx="818">
                  <c:v>468.65916031958193</c:v>
                </c:pt>
                <c:pt idx="819">
                  <c:v>468.65916031958193</c:v>
                </c:pt>
                <c:pt idx="820">
                  <c:v>468.65916031958193</c:v>
                </c:pt>
                <c:pt idx="821">
                  <c:v>468.65916031958193</c:v>
                </c:pt>
                <c:pt idx="822">
                  <c:v>468.65916031958193</c:v>
                </c:pt>
                <c:pt idx="823">
                  <c:v>468.65916031958193</c:v>
                </c:pt>
                <c:pt idx="824">
                  <c:v>468.65916031958193</c:v>
                </c:pt>
                <c:pt idx="825">
                  <c:v>468.65916031958193</c:v>
                </c:pt>
                <c:pt idx="826">
                  <c:v>468.65916031958193</c:v>
                </c:pt>
                <c:pt idx="827">
                  <c:v>468.65916031958193</c:v>
                </c:pt>
                <c:pt idx="828">
                  <c:v>468.65916031958193</c:v>
                </c:pt>
                <c:pt idx="829">
                  <c:v>468.65916031958193</c:v>
                </c:pt>
                <c:pt idx="830">
                  <c:v>468.65916031958193</c:v>
                </c:pt>
                <c:pt idx="831">
                  <c:v>468.65916031958193</c:v>
                </c:pt>
                <c:pt idx="832">
                  <c:v>468.65916031958193</c:v>
                </c:pt>
                <c:pt idx="833">
                  <c:v>468.65916031958193</c:v>
                </c:pt>
                <c:pt idx="834">
                  <c:v>468.65916031958193</c:v>
                </c:pt>
                <c:pt idx="835">
                  <c:v>468.65916031958193</c:v>
                </c:pt>
                <c:pt idx="836">
                  <c:v>468.65916031958193</c:v>
                </c:pt>
                <c:pt idx="837">
                  <c:v>468.65916031958193</c:v>
                </c:pt>
                <c:pt idx="838">
                  <c:v>468.65916031958193</c:v>
                </c:pt>
                <c:pt idx="839">
                  <c:v>468.65916031958193</c:v>
                </c:pt>
                <c:pt idx="840">
                  <c:v>468.65916031958193</c:v>
                </c:pt>
                <c:pt idx="841">
                  <c:v>468.65916031958193</c:v>
                </c:pt>
                <c:pt idx="842">
                  <c:v>468.65916031958193</c:v>
                </c:pt>
                <c:pt idx="843">
                  <c:v>468.65916031958193</c:v>
                </c:pt>
                <c:pt idx="844">
                  <c:v>468.65916031958193</c:v>
                </c:pt>
                <c:pt idx="845">
                  <c:v>468.65916031958193</c:v>
                </c:pt>
                <c:pt idx="846">
                  <c:v>468.65916031958193</c:v>
                </c:pt>
                <c:pt idx="847">
                  <c:v>468.65916031958193</c:v>
                </c:pt>
                <c:pt idx="848">
                  <c:v>468.65916031958193</c:v>
                </c:pt>
                <c:pt idx="849">
                  <c:v>468.65916031958193</c:v>
                </c:pt>
                <c:pt idx="850">
                  <c:v>468.65916031958193</c:v>
                </c:pt>
                <c:pt idx="851">
                  <c:v>468.65916031958193</c:v>
                </c:pt>
                <c:pt idx="852">
                  <c:v>468.65916031958193</c:v>
                </c:pt>
                <c:pt idx="853">
                  <c:v>468.65916031958193</c:v>
                </c:pt>
                <c:pt idx="854">
                  <c:v>468.65916031958193</c:v>
                </c:pt>
                <c:pt idx="855">
                  <c:v>468.65916031958193</c:v>
                </c:pt>
                <c:pt idx="856">
                  <c:v>468.65916031958193</c:v>
                </c:pt>
                <c:pt idx="857">
                  <c:v>468.65916031958193</c:v>
                </c:pt>
                <c:pt idx="858">
                  <c:v>468.65916031958193</c:v>
                </c:pt>
                <c:pt idx="859">
                  <c:v>468.65916031958193</c:v>
                </c:pt>
                <c:pt idx="860">
                  <c:v>468.65916031958193</c:v>
                </c:pt>
                <c:pt idx="861">
                  <c:v>468.65916031958193</c:v>
                </c:pt>
                <c:pt idx="862">
                  <c:v>468.65916031958193</c:v>
                </c:pt>
                <c:pt idx="863">
                  <c:v>468.65916031958193</c:v>
                </c:pt>
                <c:pt idx="864">
                  <c:v>468.65916031958193</c:v>
                </c:pt>
                <c:pt idx="865">
                  <c:v>468.65916031958193</c:v>
                </c:pt>
                <c:pt idx="866">
                  <c:v>468.65916031958193</c:v>
                </c:pt>
                <c:pt idx="867">
                  <c:v>468.65916031958193</c:v>
                </c:pt>
                <c:pt idx="868">
                  <c:v>468.65916031958193</c:v>
                </c:pt>
                <c:pt idx="869">
                  <c:v>468.65916031958193</c:v>
                </c:pt>
                <c:pt idx="870">
                  <c:v>468.65916031958193</c:v>
                </c:pt>
                <c:pt idx="871">
                  <c:v>468.65916031958193</c:v>
                </c:pt>
                <c:pt idx="872">
                  <c:v>468.65916031958193</c:v>
                </c:pt>
                <c:pt idx="873">
                  <c:v>468.65916031958193</c:v>
                </c:pt>
                <c:pt idx="874">
                  <c:v>468.65916031958193</c:v>
                </c:pt>
                <c:pt idx="875">
                  <c:v>468.65916031958193</c:v>
                </c:pt>
                <c:pt idx="876">
                  <c:v>468.65916031958193</c:v>
                </c:pt>
                <c:pt idx="877">
                  <c:v>468.65916031958193</c:v>
                </c:pt>
                <c:pt idx="878">
                  <c:v>468.65916031958193</c:v>
                </c:pt>
                <c:pt idx="879">
                  <c:v>468.65916031958193</c:v>
                </c:pt>
                <c:pt idx="880">
                  <c:v>468.65916031958193</c:v>
                </c:pt>
                <c:pt idx="881">
                  <c:v>468.65916031958193</c:v>
                </c:pt>
                <c:pt idx="882">
                  <c:v>468.65916031958193</c:v>
                </c:pt>
                <c:pt idx="883">
                  <c:v>468.65916031958193</c:v>
                </c:pt>
                <c:pt idx="884">
                  <c:v>468.65916031958193</c:v>
                </c:pt>
                <c:pt idx="885">
                  <c:v>468.65916031958193</c:v>
                </c:pt>
                <c:pt idx="886">
                  <c:v>468.65916031958193</c:v>
                </c:pt>
                <c:pt idx="887">
                  <c:v>468.65916031958193</c:v>
                </c:pt>
                <c:pt idx="888">
                  <c:v>468.65916031958193</c:v>
                </c:pt>
                <c:pt idx="889">
                  <c:v>468.65916031958193</c:v>
                </c:pt>
                <c:pt idx="890">
                  <c:v>468.65916031958193</c:v>
                </c:pt>
                <c:pt idx="891">
                  <c:v>468.65916031958193</c:v>
                </c:pt>
                <c:pt idx="892">
                  <c:v>468.65916031958193</c:v>
                </c:pt>
                <c:pt idx="893">
                  <c:v>468.65916031958193</c:v>
                </c:pt>
                <c:pt idx="894">
                  <c:v>468.65916031958193</c:v>
                </c:pt>
                <c:pt idx="895">
                  <c:v>468.65916031958193</c:v>
                </c:pt>
                <c:pt idx="896">
                  <c:v>468.65916031958193</c:v>
                </c:pt>
                <c:pt idx="897">
                  <c:v>468.65916031958193</c:v>
                </c:pt>
                <c:pt idx="898">
                  <c:v>468.65916031958193</c:v>
                </c:pt>
                <c:pt idx="899">
                  <c:v>468.65916031958193</c:v>
                </c:pt>
                <c:pt idx="900">
                  <c:v>468.65916031958193</c:v>
                </c:pt>
                <c:pt idx="901">
                  <c:v>468.65916031958193</c:v>
                </c:pt>
                <c:pt idx="902">
                  <c:v>468.65916031958193</c:v>
                </c:pt>
                <c:pt idx="903">
                  <c:v>468.65916031958193</c:v>
                </c:pt>
                <c:pt idx="904">
                  <c:v>468.65916031958193</c:v>
                </c:pt>
                <c:pt idx="905">
                  <c:v>468.65916031958193</c:v>
                </c:pt>
                <c:pt idx="906">
                  <c:v>468.65916031958193</c:v>
                </c:pt>
                <c:pt idx="907">
                  <c:v>468.65916031958193</c:v>
                </c:pt>
                <c:pt idx="908">
                  <c:v>468.65916031958193</c:v>
                </c:pt>
                <c:pt idx="909">
                  <c:v>468.65916031958193</c:v>
                </c:pt>
                <c:pt idx="910">
                  <c:v>468.65916031958193</c:v>
                </c:pt>
                <c:pt idx="911">
                  <c:v>468.65916031958193</c:v>
                </c:pt>
                <c:pt idx="912">
                  <c:v>468.65916031958193</c:v>
                </c:pt>
                <c:pt idx="913">
                  <c:v>468.65916031958193</c:v>
                </c:pt>
                <c:pt idx="914">
                  <c:v>468.65916031958193</c:v>
                </c:pt>
                <c:pt idx="915">
                  <c:v>468.65916031958193</c:v>
                </c:pt>
                <c:pt idx="916">
                  <c:v>468.65916031958193</c:v>
                </c:pt>
                <c:pt idx="917">
                  <c:v>468.65916031958193</c:v>
                </c:pt>
                <c:pt idx="918">
                  <c:v>468.65916031958193</c:v>
                </c:pt>
                <c:pt idx="919">
                  <c:v>468.65916031958193</c:v>
                </c:pt>
                <c:pt idx="920">
                  <c:v>468.65916031958193</c:v>
                </c:pt>
                <c:pt idx="921">
                  <c:v>468.65916031958193</c:v>
                </c:pt>
                <c:pt idx="922">
                  <c:v>468.65916031958193</c:v>
                </c:pt>
                <c:pt idx="923">
                  <c:v>468.65916031958193</c:v>
                </c:pt>
                <c:pt idx="924">
                  <c:v>468.65916031958193</c:v>
                </c:pt>
                <c:pt idx="925">
                  <c:v>468.65916031958193</c:v>
                </c:pt>
                <c:pt idx="926">
                  <c:v>468.65916031958193</c:v>
                </c:pt>
                <c:pt idx="927">
                  <c:v>468.65916031958193</c:v>
                </c:pt>
                <c:pt idx="928">
                  <c:v>468.65916031958193</c:v>
                </c:pt>
                <c:pt idx="929">
                  <c:v>468.65916031958193</c:v>
                </c:pt>
                <c:pt idx="930">
                  <c:v>468.65916031958193</c:v>
                </c:pt>
                <c:pt idx="931">
                  <c:v>468.65916031958193</c:v>
                </c:pt>
                <c:pt idx="932">
                  <c:v>468.65916031958193</c:v>
                </c:pt>
                <c:pt idx="933">
                  <c:v>468.65916031958193</c:v>
                </c:pt>
                <c:pt idx="934">
                  <c:v>468.65916031958193</c:v>
                </c:pt>
                <c:pt idx="935">
                  <c:v>468.65916031958193</c:v>
                </c:pt>
                <c:pt idx="936">
                  <c:v>468.65916031958193</c:v>
                </c:pt>
                <c:pt idx="937">
                  <c:v>468.65916031958193</c:v>
                </c:pt>
                <c:pt idx="938">
                  <c:v>468.65916031958193</c:v>
                </c:pt>
                <c:pt idx="939">
                  <c:v>468.65916031958193</c:v>
                </c:pt>
                <c:pt idx="940">
                  <c:v>468.65916031958193</c:v>
                </c:pt>
                <c:pt idx="941">
                  <c:v>468.65916031958193</c:v>
                </c:pt>
                <c:pt idx="942">
                  <c:v>468.65916031958193</c:v>
                </c:pt>
                <c:pt idx="943">
                  <c:v>468.65916031958193</c:v>
                </c:pt>
                <c:pt idx="944">
                  <c:v>468.65916031958193</c:v>
                </c:pt>
                <c:pt idx="945">
                  <c:v>468.65916031958193</c:v>
                </c:pt>
                <c:pt idx="946">
                  <c:v>468.65916031958193</c:v>
                </c:pt>
                <c:pt idx="947">
                  <c:v>468.65916031958193</c:v>
                </c:pt>
                <c:pt idx="948">
                  <c:v>468.65916031958193</c:v>
                </c:pt>
                <c:pt idx="949">
                  <c:v>468.65916031958193</c:v>
                </c:pt>
                <c:pt idx="950">
                  <c:v>468.65916031958193</c:v>
                </c:pt>
                <c:pt idx="951">
                  <c:v>468.65916031958193</c:v>
                </c:pt>
                <c:pt idx="952">
                  <c:v>468.65916031958193</c:v>
                </c:pt>
                <c:pt idx="953">
                  <c:v>468.65916031958193</c:v>
                </c:pt>
                <c:pt idx="954">
                  <c:v>468.65916031958193</c:v>
                </c:pt>
                <c:pt idx="955">
                  <c:v>468.65916031958193</c:v>
                </c:pt>
                <c:pt idx="956">
                  <c:v>468.65916031958193</c:v>
                </c:pt>
                <c:pt idx="957">
                  <c:v>468.65916031958193</c:v>
                </c:pt>
                <c:pt idx="958">
                  <c:v>468.65916031958193</c:v>
                </c:pt>
                <c:pt idx="959">
                  <c:v>468.65916031958193</c:v>
                </c:pt>
                <c:pt idx="960">
                  <c:v>468.65916031958193</c:v>
                </c:pt>
                <c:pt idx="961">
                  <c:v>468.65916031958193</c:v>
                </c:pt>
                <c:pt idx="962">
                  <c:v>468.65916031958193</c:v>
                </c:pt>
                <c:pt idx="963">
                  <c:v>468.65916031958193</c:v>
                </c:pt>
                <c:pt idx="964">
                  <c:v>468.65916031958193</c:v>
                </c:pt>
                <c:pt idx="965">
                  <c:v>468.65916031958193</c:v>
                </c:pt>
                <c:pt idx="966">
                  <c:v>468.65916031958193</c:v>
                </c:pt>
                <c:pt idx="967">
                  <c:v>468.65916031958193</c:v>
                </c:pt>
                <c:pt idx="968">
                  <c:v>468.65916031958193</c:v>
                </c:pt>
                <c:pt idx="969">
                  <c:v>468.65916031958193</c:v>
                </c:pt>
                <c:pt idx="970">
                  <c:v>468.65916031958193</c:v>
                </c:pt>
                <c:pt idx="971">
                  <c:v>468.65916031958193</c:v>
                </c:pt>
                <c:pt idx="972">
                  <c:v>468.65916031958193</c:v>
                </c:pt>
                <c:pt idx="973">
                  <c:v>468.65916031958193</c:v>
                </c:pt>
                <c:pt idx="974">
                  <c:v>468.65916031958193</c:v>
                </c:pt>
                <c:pt idx="975">
                  <c:v>468.65916031958193</c:v>
                </c:pt>
                <c:pt idx="976">
                  <c:v>468.65916031958193</c:v>
                </c:pt>
                <c:pt idx="977">
                  <c:v>468.65916031958193</c:v>
                </c:pt>
                <c:pt idx="978">
                  <c:v>468.65916031958193</c:v>
                </c:pt>
                <c:pt idx="979">
                  <c:v>468.65916031958193</c:v>
                </c:pt>
                <c:pt idx="980">
                  <c:v>468.65916031958193</c:v>
                </c:pt>
                <c:pt idx="981">
                  <c:v>468.65916031958193</c:v>
                </c:pt>
                <c:pt idx="982">
                  <c:v>468.65916031958193</c:v>
                </c:pt>
                <c:pt idx="983">
                  <c:v>468.65916031958193</c:v>
                </c:pt>
                <c:pt idx="984">
                  <c:v>468.65916031958193</c:v>
                </c:pt>
                <c:pt idx="985">
                  <c:v>468.65916031958193</c:v>
                </c:pt>
                <c:pt idx="986">
                  <c:v>468.65916031958193</c:v>
                </c:pt>
                <c:pt idx="987">
                  <c:v>468.65916031958193</c:v>
                </c:pt>
                <c:pt idx="988">
                  <c:v>468.65916031958193</c:v>
                </c:pt>
                <c:pt idx="989">
                  <c:v>468.65916031958193</c:v>
                </c:pt>
                <c:pt idx="990">
                  <c:v>468.65916031958193</c:v>
                </c:pt>
                <c:pt idx="991">
                  <c:v>468.65916031958193</c:v>
                </c:pt>
                <c:pt idx="992">
                  <c:v>468.65916031958193</c:v>
                </c:pt>
                <c:pt idx="993">
                  <c:v>468.65916031958193</c:v>
                </c:pt>
                <c:pt idx="994">
                  <c:v>468.65916031958193</c:v>
                </c:pt>
                <c:pt idx="995">
                  <c:v>468.65916031958193</c:v>
                </c:pt>
                <c:pt idx="996">
                  <c:v>468.65916031958193</c:v>
                </c:pt>
                <c:pt idx="997">
                  <c:v>468.65916031958193</c:v>
                </c:pt>
                <c:pt idx="998">
                  <c:v>468.65916031958193</c:v>
                </c:pt>
                <c:pt idx="999">
                  <c:v>468.65916031958193</c:v>
                </c:pt>
                <c:pt idx="1000">
                  <c:v>468.65916031958193</c:v>
                </c:pt>
              </c:numCache>
            </c:numRef>
          </c:xVal>
          <c:yVal>
            <c:numRef>
              <c:f>Calculs!$K$4:$K$1004</c:f>
              <c:numCache>
                <c:formatCode>0.00</c:formatCode>
                <c:ptCount val="1001"/>
                <c:pt idx="0">
                  <c:v>0</c:v>
                </c:pt>
                <c:pt idx="1">
                  <c:v>6.8158011024989312E-6</c:v>
                </c:pt>
                <c:pt idx="2">
                  <c:v>1.0146639636617392E-3</c:v>
                </c:pt>
                <c:pt idx="3">
                  <c:v>4.9988855250675431E-3</c:v>
                </c:pt>
                <c:pt idx="4">
                  <c:v>1.3936191054571544E-2</c:v>
                </c:pt>
                <c:pt idx="5">
                  <c:v>2.9805237587798149E-2</c:v>
                </c:pt>
                <c:pt idx="6">
                  <c:v>5.4086653680871032E-2</c:v>
                </c:pt>
                <c:pt idx="7">
                  <c:v>8.7261849014639709E-2</c:v>
                </c:pt>
                <c:pt idx="8">
                  <c:v>0.12931211141550331</c:v>
                </c:pt>
                <c:pt idx="9">
                  <c:v>0.18021863305817598</c:v>
                </c:pt>
                <c:pt idx="10">
                  <c:v>0.23996251081243741</c:v>
                </c:pt>
                <c:pt idx="11">
                  <c:v>0.30852474659351542</c:v>
                </c:pt>
                <c:pt idx="12">
                  <c:v>0.38588624771607272</c:v>
                </c:pt>
                <c:pt idx="13">
                  <c:v>0.47202782725176878</c:v>
                </c:pt>
                <c:pt idx="14">
                  <c:v>0.56693020439036834</c:v>
                </c:pt>
                <c:pt idx="15">
                  <c:v>0.67057400480436691</c:v>
                </c:pt>
                <c:pt idx="16">
                  <c:v>0.78293976101710383</c:v>
                </c:pt>
                <c:pt idx="17">
                  <c:v>0.9040079127743329</c:v>
                </c:pt>
                <c:pt idx="18">
                  <c:v>1.033758807419221</c:v>
                </c:pt>
                <c:pt idx="19">
                  <c:v>1.1721727002707432</c:v>
                </c:pt>
                <c:pt idx="20">
                  <c:v>1.3192297550054444</c:v>
                </c:pt>
                <c:pt idx="21">
                  <c:v>1.4749100440425362</c:v>
                </c:pt>
                <c:pt idx="22">
                  <c:v>1.6391935489322984</c:v>
                </c:pt>
                <c:pt idx="23">
                  <c:v>1.8120601607477511</c:v>
                </c:pt>
                <c:pt idx="24">
                  <c:v>1.9934896804795699</c:v>
                </c:pt>
                <c:pt idx="25">
                  <c:v>2.1834618194342066</c:v>
                </c:pt>
                <c:pt idx="26">
                  <c:v>2.3819561996351881</c:v>
                </c:pt>
                <c:pt idx="27">
                  <c:v>2.5889523542275579</c:v>
                </c:pt>
                <c:pt idx="28">
                  <c:v>2.8044297278854273</c:v>
                </c:pt>
                <c:pt idx="29">
                  <c:v>3.0283676772226049</c:v>
                </c:pt>
                <c:pt idx="30">
                  <c:v>3.26074547120627</c:v>
                </c:pt>
                <c:pt idx="31">
                  <c:v>3.5015422915736552</c:v>
                </c:pt>
                <c:pt idx="32">
                  <c:v>3.7507372332517055</c:v>
                </c:pt>
                <c:pt idx="33">
                  <c:v>4.0083093047796812</c:v>
                </c:pt>
                <c:pt idx="34">
                  <c:v>4.2742337010814717</c:v>
                </c:pt>
                <c:pt idx="35">
                  <c:v>4.5484854049669261</c:v>
                </c:pt>
                <c:pt idx="36">
                  <c:v>4.8310429168443738</c:v>
                </c:pt>
                <c:pt idx="37">
                  <c:v>5.1218846574311359</c:v>
                </c:pt>
                <c:pt idx="38">
                  <c:v>5.4209889697491516</c:v>
                </c:pt>
                <c:pt idx="39">
                  <c:v>5.7283341192522652</c:v>
                </c:pt>
                <c:pt idx="40">
                  <c:v>6.0438982939804093</c:v>
                </c:pt>
                <c:pt idx="41">
                  <c:v>6.3676596047381508</c:v>
                </c:pt>
                <c:pt idx="42">
                  <c:v>6.6995960852954006</c:v>
                </c:pt>
                <c:pt idx="43">
                  <c:v>7.0396856926083373</c:v>
                </c:pt>
                <c:pt idx="44">
                  <c:v>7.3879063070588487</c:v>
                </c:pt>
                <c:pt idx="45">
                  <c:v>7.744235732710953</c:v>
                </c:pt>
                <c:pt idx="46">
                  <c:v>8.1086516975828804</c:v>
                </c:pt>
                <c:pt idx="47">
                  <c:v>8.48113185393359</c:v>
                </c:pt>
                <c:pt idx="48">
                  <c:v>8.861653778562669</c:v>
                </c:pt>
                <c:pt idx="49">
                  <c:v>9.2501949731226407</c:v>
                </c:pt>
                <c:pt idx="50">
                  <c:v>9.6467328644428214</c:v>
                </c:pt>
                <c:pt idx="51">
                  <c:v>10.05124743837848</c:v>
                </c:pt>
                <c:pt idx="52">
                  <c:v>10.463723877355719</c:v>
                </c:pt>
                <c:pt idx="53">
                  <c:v>10.884149932220319</c:v>
                </c:pt>
                <c:pt idx="54">
                  <c:v>11.312513290285395</c:v>
                </c:pt>
                <c:pt idx="55">
                  <c:v>11.748801575453523</c:v>
                </c:pt>
                <c:pt idx="56">
                  <c:v>12.193002348346042</c:v>
                </c:pt>
                <c:pt idx="57">
                  <c:v>12.645103106439137</c:v>
                </c:pt>
                <c:pt idx="58">
                  <c:v>13.105091284206402</c:v>
                </c:pt>
                <c:pt idx="59">
                  <c:v>13.572954253267554</c:v>
                </c:pt>
                <c:pt idx="60">
                  <c:v>14.048679322543032</c:v>
                </c:pt>
                <c:pt idx="61">
                  <c:v>14.532253738414216</c:v>
                </c:pt>
                <c:pt idx="62">
                  <c:v>15.02366468488902</c:v>
                </c:pt>
                <c:pt idx="63">
                  <c:v>15.522899283772656</c:v>
                </c:pt>
                <c:pt idx="64">
                  <c:v>16.029944594843336</c:v>
                </c:pt>
                <c:pt idx="65">
                  <c:v>16.544787616032753</c:v>
                </c:pt>
                <c:pt idx="66">
                  <c:v>17.067415283611115</c:v>
                </c:pt>
                <c:pt idx="67">
                  <c:v>17.597814472376633</c:v>
                </c:pt>
                <c:pt idx="68">
                  <c:v>18.135971995849228</c:v>
                </c:pt>
                <c:pt idx="69">
                  <c:v>18.681874606468387</c:v>
                </c:pt>
                <c:pt idx="70">
                  <c:v>19.235508995794969</c:v>
                </c:pt>
                <c:pt idx="71">
                  <c:v>19.796861794716875</c:v>
                </c:pt>
                <c:pt idx="72">
                  <c:v>20.365919573658445</c:v>
                </c:pt>
                <c:pt idx="73">
                  <c:v>20.942668842793459</c:v>
                </c:pt>
                <c:pt idx="74">
                  <c:v>21.527096052261648</c:v>
                </c:pt>
                <c:pt idx="75">
                  <c:v>22.119187592388609</c:v>
                </c:pt>
                <c:pt idx="76">
                  <c:v>22.718929793909041</c:v>
                </c:pt>
                <c:pt idx="77">
                  <c:v>23.326308928193164</c:v>
                </c:pt>
                <c:pt idx="78">
                  <c:v>23.9413112074763</c:v>
                </c:pt>
                <c:pt idx="79">
                  <c:v>24.563922785091489</c:v>
                </c:pt>
                <c:pt idx="80">
                  <c:v>25.194129755705056</c:v>
                </c:pt>
                <c:pt idx="81">
                  <c:v>25.831918155555105</c:v>
                </c:pt>
                <c:pt idx="82">
                  <c:v>26.477273962692802</c:v>
                </c:pt>
                <c:pt idx="83">
                  <c:v>27.130183097226418</c:v>
                </c:pt>
                <c:pt idx="84">
                  <c:v>27.790631421568072</c:v>
                </c:pt>
                <c:pt idx="85">
                  <c:v>28.458604740683079</c:v>
                </c:pt>
                <c:pt idx="86">
                  <c:v>29.134088802341861</c:v>
                </c:pt>
                <c:pt idx="87">
                  <c:v>29.817069297374378</c:v>
                </c:pt>
                <c:pt idx="88">
                  <c:v>30.507531859926988</c:v>
                </c:pt>
                <c:pt idx="89">
                  <c:v>31.205462067721704</c:v>
                </c:pt>
                <c:pt idx="90">
                  <c:v>31.910845442317793</c:v>
                </c:pt>
                <c:pt idx="91">
                  <c:v>32.62366744937566</c:v>
                </c:pt>
                <c:pt idx="92">
                  <c:v>33.343913498922987</c:v>
                </c:pt>
                <c:pt idx="93">
                  <c:v>34.071568945623035</c:v>
                </c:pt>
                <c:pt idx="94">
                  <c:v>34.806619089045121</c:v>
                </c:pt>
                <c:pt idx="95">
                  <c:v>35.549049173937171</c:v>
                </c:pt>
                <c:pt idx="96">
                  <c:v>36.298844390500363</c:v>
                </c:pt>
                <c:pt idx="97">
                  <c:v>37.055989874665741</c:v>
                </c:pt>
                <c:pt idx="98">
                  <c:v>37.820470708372845</c:v>
                </c:pt>
                <c:pt idx="99">
                  <c:v>38.592271919850226</c:v>
                </c:pt>
                <c:pt idx="100">
                  <c:v>39.371378483897907</c:v>
                </c:pt>
                <c:pt idx="101">
                  <c:v>40.157774108690624</c:v>
                </c:pt>
                <c:pt idx="102">
                  <c:v>40.951440021396799</c:v>
                </c:pt>
                <c:pt idx="103">
                  <c:v>41.752356180623842</c:v>
                </c:pt>
                <c:pt idx="104">
                  <c:v>42.560502490107623</c:v>
                </c:pt>
                <c:pt idx="105">
                  <c:v>43.375858799116223</c:v>
                </c:pt>
                <c:pt idx="106">
                  <c:v>44.198404902855216</c:v>
                </c:pt>
                <c:pt idx="107">
                  <c:v>45.028120542874383</c:v>
                </c:pt>
                <c:pt idx="108">
                  <c:v>45.864985407475821</c:v>
                </c:pt>
                <c:pt idx="109">
                  <c:v>46.708979132123432</c:v>
                </c:pt>
                <c:pt idx="110">
                  <c:v>47.560081299853721</c:v>
                </c:pt>
                <c:pt idx="111">
                  <c:v>48.418271441687864</c:v>
                </c:pt>
                <c:pt idx="112">
                  <c:v>49.283529037044985</c:v>
                </c:pt>
                <c:pt idx="113">
                  <c:v>50.15583351415669</c:v>
                </c:pt>
                <c:pt idx="114">
                  <c:v>51.035164250482659</c:v>
                </c:pt>
                <c:pt idx="115">
                  <c:v>51.921500573127425</c:v>
                </c:pt>
                <c:pt idx="116">
                  <c:v>52.81482175925818</c:v>
                </c:pt>
                <c:pt idx="117">
                  <c:v>53.715107036523605</c:v>
                </c:pt>
                <c:pt idx="118">
                  <c:v>54.622335583473728</c:v>
                </c:pt>
                <c:pt idx="119">
                  <c:v>55.536486529980699</c:v>
                </c:pt>
                <c:pt idx="120">
                  <c:v>56.457538957660475</c:v>
                </c:pt>
                <c:pt idx="121">
                  <c:v>57.385471900295421</c:v>
                </c:pt>
                <c:pt idx="122">
                  <c:v>58.320264344257701</c:v>
                </c:pt>
                <c:pt idx="123">
                  <c:v>59.261895228933511</c:v>
                </c:pt>
                <c:pt idx="124">
                  <c:v>60.210343447148048</c:v>
                </c:pt>
                <c:pt idx="125">
                  <c:v>61.165587845591219</c:v>
                </c:pt>
                <c:pt idx="126">
                  <c:v>62.127607225244056</c:v>
                </c:pt>
                <c:pt idx="127">
                  <c:v>63.096380341805776</c:v>
                </c:pt>
                <c:pt idx="128">
                  <c:v>64.071885906121452</c:v>
                </c:pt>
                <c:pt idx="129">
                  <c:v>65.054102584610291</c:v>
                </c:pt>
                <c:pt idx="130">
                  <c:v>66.043008999694493</c:v>
                </c:pt>
                <c:pt idx="131">
                  <c:v>67.038583730228552</c:v>
                </c:pt>
                <c:pt idx="132">
                  <c:v>68.04080531192912</c:v>
                </c:pt>
                <c:pt idx="133">
                  <c:v>69.04965223780529</c:v>
                </c:pt>
                <c:pt idx="134">
                  <c:v>70.065102958589293</c:v>
                </c:pt>
                <c:pt idx="135">
                  <c:v>71.087135883167605</c:v>
                </c:pt>
                <c:pt idx="136">
                  <c:v>72.115729379012379</c:v>
                </c:pt>
                <c:pt idx="137">
                  <c:v>73.15086177261324</c:v>
                </c:pt>
                <c:pt idx="138">
                  <c:v>74.192511349909296</c:v>
                </c:pt>
                <c:pt idx="139">
                  <c:v>75.24065635672153</c:v>
                </c:pt>
                <c:pt idx="140">
                  <c:v>76.295274999185267</c:v>
                </c:pt>
                <c:pt idx="141">
                  <c:v>77.356345444182949</c:v>
                </c:pt>
                <c:pt idx="142">
                  <c:v>78.423845819777057</c:v>
                </c:pt>
                <c:pt idx="143">
                  <c:v>79.497754215643084</c:v>
                </c:pt>
                <c:pt idx="144">
                  <c:v>80.578048683502743</c:v>
                </c:pt>
                <c:pt idx="145">
                  <c:v>81.664707237557124</c:v>
                </c:pt>
                <c:pt idx="146">
                  <c:v>82.757707854919971</c:v>
                </c:pt>
                <c:pt idx="147">
                  <c:v>83.857028476050957</c:v>
                </c:pt>
                <c:pt idx="148">
                  <c:v>84.962647005188884</c:v>
                </c:pt>
                <c:pt idx="149">
                  <c:v>86.074541310784923</c:v>
                </c:pt>
                <c:pt idx="150">
                  <c:v>87.192689225935709</c:v>
                </c:pt>
                <c:pt idx="151">
                  <c:v>88.317068961453813</c:v>
                </c:pt>
                <c:pt idx="152">
                  <c:v>89.447659519146569</c:v>
                </c:pt>
                <c:pt idx="153">
                  <c:v>90.584440279702392</c:v>
                </c:pt>
                <c:pt idx="154">
                  <c:v>91.72739059035041</c:v>
                </c:pt>
                <c:pt idx="155">
                  <c:v>92.876489765256835</c:v>
                </c:pt>
                <c:pt idx="156">
                  <c:v>94.031717085921301</c:v>
                </c:pt>
                <c:pt idx="157">
                  <c:v>95.193051801573034</c:v>
                </c:pt>
                <c:pt idx="158">
                  <c:v>96.360473129566984</c:v>
                </c:pt>
                <c:pt idx="159">
                  <c:v>97.533960255779689</c:v>
                </c:pt>
                <c:pt idx="160">
                  <c:v>98.713492335005057</c:v>
                </c:pt>
                <c:pt idx="161">
                  <c:v>99.899048491349888</c:v>
                </c:pt>
                <c:pt idx="162">
                  <c:v>101.09060781862915</c:v>
                </c:pt>
                <c:pt idx="163">
                  <c:v>102.28814938076106</c:v>
                </c:pt>
                <c:pt idx="164">
                  <c:v>103.49165221216182</c:v>
                </c:pt>
                <c:pt idx="165">
                  <c:v>104.70109531814016</c:v>
                </c:pt>
                <c:pt idx="166">
                  <c:v>105.91645767529138</c:v>
                </c:pt>
                <c:pt idx="167">
                  <c:v>107.13771823189123</c:v>
                </c:pt>
                <c:pt idx="168">
                  <c:v>108.36485590828927</c:v>
                </c:pt>
                <c:pt idx="169">
                  <c:v>109.59784959730196</c:v>
                </c:pt>
                <c:pt idx="170">
                  <c:v>110.83667816460523</c:v>
                </c:pt>
                <c:pt idx="171">
                  <c:v>112.08132044912669</c:v>
                </c:pt>
                <c:pt idx="172">
                  <c:v>113.33175526343732</c:v>
                </c:pt>
                <c:pt idx="173">
                  <c:v>114.58796139414265</c:v>
                </c:pt>
                <c:pt idx="174">
                  <c:v>115.84991760227362</c:v>
                </c:pt>
                <c:pt idx="175">
                  <c:v>117.11760262367662</c:v>
                </c:pt>
                <c:pt idx="176">
                  <c:v>118.3909951694032</c:v>
                </c:pt>
                <c:pt idx="177">
                  <c:v>119.67007392609918</c:v>
                </c:pt>
                <c:pt idx="178">
                  <c:v>120.95481755639308</c:v>
                </c:pt>
                <c:pt idx="179">
                  <c:v>122.24520469928399</c:v>
                </c:pt>
                <c:pt idx="180">
                  <c:v>123.5412139705288</c:v>
                </c:pt>
                <c:pt idx="181">
                  <c:v>124.84282396302883</c:v>
                </c:pt>
                <c:pt idx="182">
                  <c:v>126.15001324721565</c:v>
                </c:pt>
                <c:pt idx="183">
                  <c:v>127.46276037143636</c:v>
                </c:pt>
                <c:pt idx="184">
                  <c:v>128.78104386233801</c:v>
                </c:pt>
                <c:pt idx="185">
                  <c:v>130.10484222525142</c:v>
                </c:pt>
                <c:pt idx="186">
                  <c:v>131.43413394457409</c:v>
                </c:pt>
                <c:pt idx="187">
                  <c:v>132.76889748415255</c:v>
                </c:pt>
                <c:pt idx="188">
                  <c:v>134.10911128766364</c:v>
                </c:pt>
                <c:pt idx="189">
                  <c:v>135.45475377899521</c:v>
                </c:pt>
                <c:pt idx="190">
                  <c:v>136.80580336262588</c:v>
                </c:pt>
                <c:pt idx="191">
                  <c:v>138.16223842400396</c:v>
                </c:pt>
                <c:pt idx="192">
                  <c:v>139.52403732992548</c:v>
                </c:pt>
                <c:pt idx="193">
                  <c:v>140.89117842891139</c:v>
                </c:pt>
                <c:pt idx="194">
                  <c:v>142.26364005158376</c:v>
                </c:pt>
                <c:pt idx="195">
                  <c:v>143.64140051104121</c:v>
                </c:pt>
                <c:pt idx="196">
                  <c:v>145.02443810323317</c:v>
                </c:pt>
                <c:pt idx="197">
                  <c:v>146.41273110733334</c:v>
                </c:pt>
                <c:pt idx="198">
                  <c:v>147.80625778611221</c:v>
                </c:pt>
                <c:pt idx="199">
                  <c:v>149.20499638630838</c:v>
                </c:pt>
                <c:pt idx="200">
                  <c:v>150.6089251389991</c:v>
                </c:pt>
                <c:pt idx="201">
                  <c:v>152.01802225996957</c:v>
                </c:pt>
                <c:pt idx="202">
                  <c:v>153.43226595008136</c:v>
                </c:pt>
                <c:pt idx="203">
                  <c:v>154.85163439563968</c:v>
                </c:pt>
                <c:pt idx="204">
                  <c:v>156.27610576875958</c:v>
                </c:pt>
                <c:pt idx="205">
                  <c:v>157.70565822773102</c:v>
                </c:pt>
                <c:pt idx="206">
                  <c:v>159.14026991738291</c:v>
                </c:pt>
                <c:pt idx="207">
                  <c:v>160.57991896944594</c:v>
                </c:pt>
                <c:pt idx="208">
                  <c:v>162.02458350291434</c:v>
                </c:pt>
                <c:pt idx="209">
                  <c:v>163.47424162440635</c:v>
                </c:pt>
                <c:pt idx="210">
                  <c:v>164.92887142852368</c:v>
                </c:pt>
                <c:pt idx="211">
                  <c:v>166.38845099820966</c:v>
                </c:pt>
                <c:pt idx="212">
                  <c:v>167.85295840510622</c:v>
                </c:pt>
                <c:pt idx="213">
                  <c:v>169.3223717099097</c:v>
                </c:pt>
                <c:pt idx="214">
                  <c:v>170.79666896272528</c:v>
                </c:pt>
                <c:pt idx="215">
                  <c:v>172.2758282034203</c:v>
                </c:pt>
                <c:pt idx="216">
                  <c:v>173.7598274619763</c:v>
                </c:pt>
                <c:pt idx="217">
                  <c:v>175.24864475883973</c:v>
                </c:pt>
                <c:pt idx="218">
                  <c:v>176.74225810527133</c:v>
                </c:pt>
                <c:pt idx="219">
                  <c:v>178.24064550369437</c:v>
                </c:pt>
                <c:pt idx="220">
                  <c:v>179.74378494804134</c:v>
                </c:pt>
                <c:pt idx="221">
                  <c:v>181.25165442409954</c:v>
                </c:pt>
                <c:pt idx="222">
                  <c:v>182.76423190985514</c:v>
                </c:pt>
                <c:pt idx="223">
                  <c:v>184.28149537583602</c:v>
                </c:pt>
                <c:pt idx="224">
                  <c:v>185.80342278545308</c:v>
                </c:pt>
                <c:pt idx="225">
                  <c:v>187.32999209534034</c:v>
                </c:pt>
                <c:pt idx="226">
                  <c:v>188.86118125569359</c:v>
                </c:pt>
                <c:pt idx="227">
                  <c:v>190.39696821060747</c:v>
                </c:pt>
                <c:pt idx="228">
                  <c:v>191.9373308984114</c:v>
                </c:pt>
                <c:pt idx="229">
                  <c:v>193.4822472520039</c:v>
                </c:pt>
                <c:pt idx="230">
                  <c:v>195.03169519918549</c:v>
                </c:pt>
                <c:pt idx="231">
                  <c:v>196.58565266299019</c:v>
                </c:pt>
                <c:pt idx="232">
                  <c:v>198.1440975620155</c:v>
                </c:pt>
                <c:pt idx="233">
                  <c:v>199.70700781075089</c:v>
                </c:pt>
                <c:pt idx="234">
                  <c:v>201.27436131990493</c:v>
                </c:pt>
                <c:pt idx="235">
                  <c:v>202.84613599673071</c:v>
                </c:pt>
                <c:pt idx="236">
                  <c:v>204.42230974534996</c:v>
                </c:pt>
                <c:pt idx="237">
                  <c:v>206.00286046707552</c:v>
                </c:pt>
                <c:pt idx="238">
                  <c:v>207.58776606073229</c:v>
                </c:pt>
                <c:pt idx="239">
                  <c:v>209.17700442297672</c:v>
                </c:pt>
                <c:pt idx="240">
                  <c:v>210.77055344861469</c:v>
                </c:pt>
                <c:pt idx="241">
                  <c:v>212.36839103091785</c:v>
                </c:pt>
                <c:pt idx="242">
                  <c:v>213.97049506193829</c:v>
                </c:pt>
                <c:pt idx="243">
                  <c:v>215.5768434328219</c:v>
                </c:pt>
                <c:pt idx="244">
                  <c:v>217.18741403411985</c:v>
                </c:pt>
                <c:pt idx="245">
                  <c:v>218.80218475609863</c:v>
                </c:pt>
                <c:pt idx="246">
                  <c:v>220.4211334890484</c:v>
                </c:pt>
                <c:pt idx="247">
                  <c:v>222.04423812358991</c:v>
                </c:pt>
                <c:pt idx="248">
                  <c:v>223.67147655097952</c:v>
                </c:pt>
                <c:pt idx="249">
                  <c:v>225.3028266634129</c:v>
                </c:pt>
                <c:pt idx="250">
                  <c:v>226.93826635432683</c:v>
                </c:pt>
                <c:pt idx="251">
                  <c:v>228.5777717415167</c:v>
                </c:pt>
                <c:pt idx="252">
                  <c:v>230.22131539081062</c:v>
                </c:pt>
                <c:pt idx="253">
                  <c:v>231.86886809579477</c:v>
                </c:pt>
                <c:pt idx="254">
                  <c:v>233.52040065703846</c:v>
                </c:pt>
                <c:pt idx="255">
                  <c:v>235.17588388250601</c:v>
                </c:pt>
                <c:pt idx="256">
                  <c:v>236.83528858796566</c:v>
                </c:pt>
                <c:pt idx="257">
                  <c:v>238.49858559739559</c:v>
                </c:pt>
                <c:pt idx="258">
                  <c:v>240.16574574338713</c:v>
                </c:pt>
                <c:pt idx="259">
                  <c:v>241.83673986754496</c:v>
                </c:pt>
                <c:pt idx="260">
                  <c:v>243.51153882088445</c:v>
                </c:pt>
                <c:pt idx="261">
                  <c:v>245.1901134642261</c:v>
                </c:pt>
                <c:pt idx="262">
                  <c:v>246.872434668587</c:v>
                </c:pt>
                <c:pt idx="263">
                  <c:v>248.55847331556933</c:v>
                </c:pt>
                <c:pt idx="264">
                  <c:v>250.248200297746</c:v>
                </c:pt>
                <c:pt idx="265">
                  <c:v>251.94158651904334</c:v>
                </c:pt>
                <c:pt idx="266">
                  <c:v>253.63860289512073</c:v>
                </c:pt>
                <c:pt idx="267">
                  <c:v>255.33922035374735</c:v>
                </c:pt>
                <c:pt idx="268">
                  <c:v>257.04340983517602</c:v>
                </c:pt>
                <c:pt idx="269">
                  <c:v>258.75114229251386</c:v>
                </c:pt>
                <c:pt idx="270">
                  <c:v>260.4623886920902</c:v>
                </c:pt>
                <c:pt idx="271">
                  <c:v>262.17712001382142</c:v>
                </c:pt>
                <c:pt idx="272">
                  <c:v>263.89530725157283</c:v>
                </c:pt>
                <c:pt idx="273">
                  <c:v>265.6169214135175</c:v>
                </c:pt>
                <c:pt idx="274">
                  <c:v>267.34193352249207</c:v>
                </c:pt>
                <c:pt idx="275">
                  <c:v>269.07031461634972</c:v>
                </c:pt>
                <c:pt idx="276">
                  <c:v>270.80203574831006</c:v>
                </c:pt>
                <c:pt idx="277">
                  <c:v>272.53706798730587</c:v>
                </c:pt>
                <c:pt idx="278">
                  <c:v>274.27538241832718</c:v>
                </c:pt>
                <c:pt idx="279">
                  <c:v>276.01695014276197</c:v>
                </c:pt>
                <c:pt idx="280">
                  <c:v>277.76174227873406</c:v>
                </c:pt>
                <c:pt idx="281">
                  <c:v>279.50972996143804</c:v>
                </c:pt>
                <c:pt idx="282">
                  <c:v>281.26088434347099</c:v>
                </c:pt>
                <c:pt idx="283">
                  <c:v>283.01517659516134</c:v>
                </c:pt>
                <c:pt idx="284">
                  <c:v>284.77257790489472</c:v>
                </c:pt>
                <c:pt idx="285">
                  <c:v>286.53305947943676</c:v>
                </c:pt>
                <c:pt idx="286">
                  <c:v>288.29659254425275</c:v>
                </c:pt>
                <c:pt idx="287">
                  <c:v>290.06314834382448</c:v>
                </c:pt>
                <c:pt idx="288">
                  <c:v>291.8326981419641</c:v>
                </c:pt>
                <c:pt idx="289">
                  <c:v>293.60521322212463</c:v>
                </c:pt>
                <c:pt idx="290">
                  <c:v>295.38066488770789</c:v>
                </c:pt>
                <c:pt idx="291">
                  <c:v>297.15902446236902</c:v>
                </c:pt>
                <c:pt idx="292">
                  <c:v>298.94026329031823</c:v>
                </c:pt>
                <c:pt idx="293">
                  <c:v>300.72435273661966</c:v>
                </c:pt>
                <c:pt idx="294">
                  <c:v>302.5112641874868</c:v>
                </c:pt>
                <c:pt idx="295">
                  <c:v>304.30096905057525</c:v>
                </c:pt>
                <c:pt idx="296">
                  <c:v>306.09343875527242</c:v>
                </c:pt>
                <c:pt idx="297">
                  <c:v>307.88864475298419</c:v>
                </c:pt>
                <c:pt idx="298">
                  <c:v>309.68653902881954</c:v>
                </c:pt>
                <c:pt idx="299">
                  <c:v>311.48703462730384</c:v>
                </c:pt>
                <c:pt idx="300">
                  <c:v>313.29002517959941</c:v>
                </c:pt>
                <c:pt idx="301">
                  <c:v>315.0954044176608</c:v>
                </c:pt>
                <c:pt idx="302">
                  <c:v>316.90306617642699</c:v>
                </c:pt>
                <c:pt idx="303">
                  <c:v>318.71290439597681</c:v>
                </c:pt>
                <c:pt idx="304">
                  <c:v>320.52481312364716</c:v>
                </c:pt>
                <c:pt idx="305">
                  <c:v>322.33868651611465</c:v>
                </c:pt>
                <c:pt idx="306">
                  <c:v>324.15441884143996</c:v>
                </c:pt>
                <c:pt idx="307">
                  <c:v>325.97190448107568</c:v>
                </c:pt>
                <c:pt idx="308">
                  <c:v>327.7910379318372</c:v>
                </c:pt>
                <c:pt idx="309">
                  <c:v>329.61171380783691</c:v>
                </c:pt>
                <c:pt idx="310">
                  <c:v>331.43382684238179</c:v>
                </c:pt>
                <c:pt idx="311">
                  <c:v>333.25727188983433</c:v>
                </c:pt>
                <c:pt idx="312">
                  <c:v>335.08194392743701</c:v>
                </c:pt>
                <c:pt idx="313">
                  <c:v>336.90773805710018</c:v>
                </c:pt>
                <c:pt idx="314">
                  <c:v>338.73454950715393</c:v>
                </c:pt>
                <c:pt idx="315">
                  <c:v>340.56227363406327</c:v>
                </c:pt>
                <c:pt idx="316">
                  <c:v>342.39080592410761</c:v>
                </c:pt>
                <c:pt idx="317">
                  <c:v>344.22004199502368</c:v>
                </c:pt>
                <c:pt idx="318">
                  <c:v>346.04987759761303</c:v>
                </c:pt>
                <c:pt idx="319">
                  <c:v>347.88020861731331</c:v>
                </c:pt>
                <c:pt idx="320">
                  <c:v>349.71093107573398</c:v>
                </c:pt>
                <c:pt idx="321">
                  <c:v>351.54194887936637</c:v>
                </c:pt>
                <c:pt idx="322">
                  <c:v>353.3731815586504</c:v>
                </c:pt>
                <c:pt idx="323">
                  <c:v>355.20455650078401</c:v>
                </c:pt>
                <c:pt idx="324">
                  <c:v>357.03600119173421</c:v>
                </c:pt>
                <c:pt idx="325">
                  <c:v>358.86744321686359</c:v>
                </c:pt>
                <c:pt idx="326">
                  <c:v>360.69881026154013</c:v>
                </c:pt>
                <c:pt idx="327">
                  <c:v>362.53003011172962</c:v>
                </c:pt>
                <c:pt idx="328">
                  <c:v>364.36103065457144</c:v>
                </c:pt>
                <c:pt idx="329">
                  <c:v>366.19173987893748</c:v>
                </c:pt>
                <c:pt idx="330">
                  <c:v>368.02208587597414</c:v>
                </c:pt>
                <c:pt idx="331">
                  <c:v>369.85199683962787</c:v>
                </c:pt>
                <c:pt idx="332">
                  <c:v>371.68140106715418</c:v>
                </c:pt>
                <c:pt idx="333">
                  <c:v>373.51022695960978</c:v>
                </c:pt>
                <c:pt idx="334">
                  <c:v>375.33840302232892</c:v>
                </c:pt>
                <c:pt idx="335">
                  <c:v>377.16585786538303</c:v>
                </c:pt>
                <c:pt idx="336">
                  <c:v>378.99252020402429</c:v>
                </c:pt>
                <c:pt idx="337">
                  <c:v>380.81831885911299</c:v>
                </c:pt>
                <c:pt idx="338">
                  <c:v>382.64318275752919</c:v>
                </c:pt>
                <c:pt idx="339">
                  <c:v>384.46704093256801</c:v>
                </c:pt>
                <c:pt idx="340">
                  <c:v>386.28982252431962</c:v>
                </c:pt>
                <c:pt idx="341">
                  <c:v>388.11145678003294</c:v>
                </c:pt>
                <c:pt idx="342">
                  <c:v>389.93187305446429</c:v>
                </c:pt>
                <c:pt idx="343">
                  <c:v>391.75100081021003</c:v>
                </c:pt>
                <c:pt idx="344">
                  <c:v>393.56876961802419</c:v>
                </c:pt>
                <c:pt idx="345">
                  <c:v>395.38510915712038</c:v>
                </c:pt>
                <c:pt idx="346">
                  <c:v>397.1999492154589</c:v>
                </c:pt>
                <c:pt idx="347">
                  <c:v>399.01321969001833</c:v>
                </c:pt>
                <c:pt idx="348">
                  <c:v>400.82485142223686</c:v>
                </c:pt>
                <c:pt idx="349">
                  <c:v>402.63477703209844</c:v>
                </c:pt>
                <c:pt idx="350">
                  <c:v>404.44293008043405</c:v>
                </c:pt>
                <c:pt idx="351">
                  <c:v>406.24924423252725</c:v>
                </c:pt>
                <c:pt idx="352">
                  <c:v>408.05365325827097</c:v>
                </c:pt>
                <c:pt idx="353">
                  <c:v>409.85609103231076</c:v>
                </c:pt>
                <c:pt idx="354">
                  <c:v>411.65649153417553</c:v>
                </c:pt>
                <c:pt idx="355">
                  <c:v>413.45478884839497</c:v>
                </c:pt>
                <c:pt idx="356">
                  <c:v>415.25091716460474</c:v>
                </c:pt>
                <c:pt idx="357">
                  <c:v>417.04481077763842</c:v>
                </c:pt>
                <c:pt idx="358">
                  <c:v>418.83640408760721</c:v>
                </c:pt>
                <c:pt idx="359">
                  <c:v>420.62563159996722</c:v>
                </c:pt>
                <c:pt idx="360">
                  <c:v>422.41244529304026</c:v>
                </c:pt>
                <c:pt idx="361">
                  <c:v>424.19683195549652</c:v>
                </c:pt>
                <c:pt idx="362">
                  <c:v>425.97879575924941</c:v>
                </c:pt>
                <c:pt idx="363">
                  <c:v>427.75834086238825</c:v>
                </c:pt>
                <c:pt idx="364">
                  <c:v>429.53547140923843</c:v>
                </c:pt>
                <c:pt idx="365">
                  <c:v>431.31019153042092</c:v>
                </c:pt>
                <c:pt idx="366">
                  <c:v>433.08250534291182</c:v>
                </c:pt>
                <c:pt idx="367">
                  <c:v>434.8524169501012</c:v>
                </c:pt>
                <c:pt idx="368">
                  <c:v>436.61993044185203</c:v>
                </c:pt>
                <c:pt idx="369">
                  <c:v>438.38504989455845</c:v>
                </c:pt>
                <c:pt idx="370">
                  <c:v>440.1477793712038</c:v>
                </c:pt>
                <c:pt idx="371">
                  <c:v>441.90812292141857</c:v>
                </c:pt>
                <c:pt idx="372">
                  <c:v>443.66608458153763</c:v>
                </c:pt>
                <c:pt idx="373">
                  <c:v>445.42166837465754</c:v>
                </c:pt>
                <c:pt idx="374">
                  <c:v>447.17487831069315</c:v>
                </c:pt>
                <c:pt idx="375">
                  <c:v>448.92571838643437</c:v>
                </c:pt>
                <c:pt idx="376">
                  <c:v>450.67419258560221</c:v>
                </c:pt>
                <c:pt idx="377">
                  <c:v>452.42030487890469</c:v>
                </c:pt>
                <c:pt idx="378">
                  <c:v>454.1640592240924</c:v>
                </c:pt>
                <c:pt idx="379">
                  <c:v>455.90545956601397</c:v>
                </c:pt>
                <c:pt idx="380">
                  <c:v>457.64450983667092</c:v>
                </c:pt>
                <c:pt idx="381">
                  <c:v>459.3812139552723</c:v>
                </c:pt>
                <c:pt idx="382">
                  <c:v>461.1155758282892</c:v>
                </c:pt>
                <c:pt idx="383">
                  <c:v>462.84759934950887</c:v>
                </c:pt>
                <c:pt idx="384">
                  <c:v>464.57728840008843</c:v>
                </c:pt>
                <c:pt idx="385">
                  <c:v>466.30464684860851</c:v>
                </c:pt>
                <c:pt idx="386">
                  <c:v>468.02967855112644</c:v>
                </c:pt>
                <c:pt idx="387">
                  <c:v>469.75238735122917</c:v>
                </c:pt>
                <c:pt idx="388">
                  <c:v>471.47277708008602</c:v>
                </c:pt>
                <c:pt idx="389">
                  <c:v>473.19085155650095</c:v>
                </c:pt>
                <c:pt idx="390">
                  <c:v>474.90661458696474</c:v>
                </c:pt>
                <c:pt idx="391">
                  <c:v>476.62006996570688</c:v>
                </c:pt>
                <c:pt idx="392">
                  <c:v>478.331221474747</c:v>
                </c:pt>
                <c:pt idx="393">
                  <c:v>480.04007288394615</c:v>
                </c:pt>
                <c:pt idx="394">
                  <c:v>481.74662795105797</c:v>
                </c:pt>
                <c:pt idx="395">
                  <c:v>483.45089042177915</c:v>
                </c:pt>
                <c:pt idx="396">
                  <c:v>485.15286402980018</c:v>
                </c:pt>
                <c:pt idx="397">
                  <c:v>486.85255249685531</c:v>
                </c:pt>
                <c:pt idx="398">
                  <c:v>488.54995953277256</c:v>
                </c:pt>
                <c:pt idx="399">
                  <c:v>490.24508883552346</c:v>
                </c:pt>
                <c:pt idx="400">
                  <c:v>491.93794409127236</c:v>
                </c:pt>
                <c:pt idx="401">
                  <c:v>508.74170869813679</c:v>
                </c:pt>
                <c:pt idx="402">
                  <c:v>525.32043421578862</c:v>
                </c:pt>
                <c:pt idx="403">
                  <c:v>541.67769313597285</c:v>
                </c:pt>
                <c:pt idx="404">
                  <c:v>557.81694627271884</c:v>
                </c:pt>
                <c:pt idx="405">
                  <c:v>573.74154726872325</c:v>
                </c:pt>
                <c:pt idx="406">
                  <c:v>589.45474687242347</c:v>
                </c:pt>
                <c:pt idx="407">
                  <c:v>604.95969699966679</c:v>
                </c:pt>
                <c:pt idx="408">
                  <c:v>620.25945459289983</c:v>
                </c:pt>
                <c:pt idx="409">
                  <c:v>635.35698528990451</c:v>
                </c:pt>
                <c:pt idx="410">
                  <c:v>650.25516691327471</c:v>
                </c:pt>
                <c:pt idx="411">
                  <c:v>664.95679279106696</c:v>
                </c:pt>
                <c:pt idx="412">
                  <c:v>679.46457491835042</c:v>
                </c:pt>
                <c:pt idx="413">
                  <c:v>693.78114696873206</c:v>
                </c:pt>
                <c:pt idx="414">
                  <c:v>707.90906716433108</c:v>
                </c:pt>
                <c:pt idx="415">
                  <c:v>721.85082101211958</c:v>
                </c:pt>
                <c:pt idx="416">
                  <c:v>735.60882391403356</c:v>
                </c:pt>
                <c:pt idx="417">
                  <c:v>749.18542365777955</c:v>
                </c:pt>
                <c:pt idx="418">
                  <c:v>762.58290279482071</c:v>
                </c:pt>
                <c:pt idx="419">
                  <c:v>775.80348091161773</c:v>
                </c:pt>
                <c:pt idx="420">
                  <c:v>788.84931679981707</c:v>
                </c:pt>
                <c:pt idx="421">
                  <c:v>801.72251053072819</c:v>
                </c:pt>
                <c:pt idx="422">
                  <c:v>814.42510543910043</c:v>
                </c:pt>
                <c:pt idx="423">
                  <c:v>826.95909002090661</c:v>
                </c:pt>
                <c:pt idx="424">
                  <c:v>839.32639974955487</c:v>
                </c:pt>
                <c:pt idx="425">
                  <c:v>851.52891881468611</c:v>
                </c:pt>
                <c:pt idx="426">
                  <c:v>863.56848178746645</c:v>
                </c:pt>
                <c:pt idx="427">
                  <c:v>875.44687521605545</c:v>
                </c:pt>
                <c:pt idx="428">
                  <c:v>887.16583915471449</c:v>
                </c:pt>
                <c:pt idx="429">
                  <c:v>898.72706862982056</c:v>
                </c:pt>
                <c:pt idx="430">
                  <c:v>910.1322150458617</c:v>
                </c:pt>
                <c:pt idx="431">
                  <c:v>921.38288753431664</c:v>
                </c:pt>
                <c:pt idx="432">
                  <c:v>932.48065424815627</c:v>
                </c:pt>
                <c:pt idx="433">
                  <c:v>943.42704360455195</c:v>
                </c:pt>
                <c:pt idx="434">
                  <c:v>954.22354547823136</c:v>
                </c:pt>
                <c:pt idx="435">
                  <c:v>964.87161234778898</c:v>
                </c:pt>
                <c:pt idx="436">
                  <c:v>975.37266039713097</c:v>
                </c:pt>
                <c:pt idx="437">
                  <c:v>985.72807057411683</c:v>
                </c:pt>
                <c:pt idx="438">
                  <c:v>995.9391896083489</c:v>
                </c:pt>
                <c:pt idx="439">
                  <c:v>1006.0073309899566</c:v>
                </c:pt>
                <c:pt idx="440">
                  <c:v>1015.9337759111237</c:v>
                </c:pt>
                <c:pt idx="441">
                  <c:v>1025.719774172017</c:v>
                </c:pt>
                <c:pt idx="442">
                  <c:v>1035.3665450526839</c:v>
                </c:pt>
                <c:pt idx="443">
                  <c:v>1044.875278152412</c:v>
                </c:pt>
                <c:pt idx="444">
                  <c:v>1054.2471341979578</c:v>
                </c:pt>
                <c:pt idx="445">
                  <c:v>1063.4832458219901</c:v>
                </c:pt>
                <c:pt idx="446">
                  <c:v>1072.5847183130143</c:v>
                </c:pt>
                <c:pt idx="447">
                  <c:v>1081.552630337992</c:v>
                </c:pt>
                <c:pt idx="448">
                  <c:v>1090.3880346387982</c:v>
                </c:pt>
                <c:pt idx="449">
                  <c:v>1099.0919587036096</c:v>
                </c:pt>
                <c:pt idx="450">
                  <c:v>1107.6654054142596</c:v>
                </c:pt>
                <c:pt idx="451">
                  <c:v>1116.1093536705466</c:v>
                </c:pt>
                <c:pt idx="452">
                  <c:v>1124.4247589924344</c:v>
                </c:pt>
                <c:pt idx="453">
                  <c:v>1132.6125541010347</c:v>
                </c:pt>
                <c:pt idx="454">
                  <c:v>1140.6736494792249</c:v>
                </c:pt>
                <c:pt idx="455">
                  <c:v>1148.6089339127091</c:v>
                </c:pt>
                <c:pt idx="456">
                  <c:v>1156.4192750122916</c:v>
                </c:pt>
                <c:pt idx="457">
                  <c:v>1164.1055197181008</c:v>
                </c:pt>
                <c:pt idx="458">
                  <c:v>1171.6684947864621</c:v>
                </c:pt>
                <c:pt idx="459">
                  <c:v>1179.1090072600871</c:v>
                </c:pt>
                <c:pt idx="460">
                  <c:v>1186.4278449222165</c:v>
                </c:pt>
                <c:pt idx="461">
                  <c:v>1193.6257767353268</c:v>
                </c:pt>
                <c:pt idx="462">
                  <c:v>1200.7035532649761</c:v>
                </c:pt>
                <c:pt idx="463">
                  <c:v>1207.6619070893473</c:v>
                </c:pt>
                <c:pt idx="464">
                  <c:v>1214.5015531950157</c:v>
                </c:pt>
                <c:pt idx="465">
                  <c:v>1221.223189359446</c:v>
                </c:pt>
                <c:pt idx="466">
                  <c:v>1227.8274965207022</c:v>
                </c:pt>
                <c:pt idx="467">
                  <c:v>1234.3151391348322</c:v>
                </c:pt>
                <c:pt idx="468">
                  <c:v>1240.6867655213678</c:v>
                </c:pt>
                <c:pt idx="469">
                  <c:v>1246.9430081973626</c:v>
                </c:pt>
                <c:pt idx="470">
                  <c:v>1253.0844842003723</c:v>
                </c:pt>
                <c:pt idx="471">
                  <c:v>1259.1117954007639</c:v>
                </c:pt>
                <c:pt idx="472">
                  <c:v>1265.0255288037229</c:v>
                </c:pt>
                <c:pt idx="473">
                  <c:v>1270.8262568413163</c:v>
                </c:pt>
                <c:pt idx="474">
                  <c:v>1276.5145376549481</c:v>
                </c:pt>
                <c:pt idx="475">
                  <c:v>1282.0909153685357</c:v>
                </c:pt>
                <c:pt idx="476">
                  <c:v>1287.5559203527191</c:v>
                </c:pt>
                <c:pt idx="477">
                  <c:v>1292.9100694804038</c:v>
                </c:pt>
                <c:pt idx="478">
                  <c:v>1298.1538663739252</c:v>
                </c:pt>
                <c:pt idx="479">
                  <c:v>1303.2878016441125</c:v>
                </c:pt>
                <c:pt idx="480">
                  <c:v>1308.3123531215192</c:v>
                </c:pt>
                <c:pt idx="481">
                  <c:v>1313.2279860800759</c:v>
                </c:pt>
                <c:pt idx="482">
                  <c:v>1318.0351534534157</c:v>
                </c:pt>
                <c:pt idx="483">
                  <c:v>1322.7342960441085</c:v>
                </c:pt>
                <c:pt idx="484">
                  <c:v>1327.3258427260391</c:v>
                </c:pt>
                <c:pt idx="485">
                  <c:v>1331.8102106401502</c:v>
                </c:pt>
                <c:pt idx="486">
                  <c:v>1336.1878053837709</c:v>
                </c:pt>
                <c:pt idx="487">
                  <c:v>1340.4590211937407</c:v>
                </c:pt>
                <c:pt idx="488">
                  <c:v>1344.6242411235373</c:v>
                </c:pt>
                <c:pt idx="489">
                  <c:v>1348.6838372146121</c:v>
                </c:pt>
                <c:pt idx="490">
                  <c:v>1352.6381706621301</c:v>
                </c:pt>
                <c:pt idx="491">
                  <c:v>1356.4875919753163</c:v>
                </c:pt>
                <c:pt idx="492">
                  <c:v>1360.2324411326028</c:v>
                </c:pt>
                <c:pt idx="493">
                  <c:v>1363.8730477317736</c:v>
                </c:pt>
                <c:pt idx="494">
                  <c:v>1367.4097311353069</c:v>
                </c:pt>
                <c:pt idx="495">
                  <c:v>1370.8428006111189</c:v>
                </c:pt>
                <c:pt idx="496">
                  <c:v>1374.1725554689144</c:v>
                </c:pt>
                <c:pt idx="497">
                  <c:v>1377.3992851923631</c:v>
                </c:pt>
                <c:pt idx="498">
                  <c:v>1380.5232695673267</c:v>
                </c:pt>
                <c:pt idx="499">
                  <c:v>1383.5447788063821</c:v>
                </c:pt>
                <c:pt idx="500">
                  <c:v>1386.4640736698959</c:v>
                </c:pt>
                <c:pt idx="501">
                  <c:v>1389.281405583939</c:v>
                </c:pt>
                <c:pt idx="502">
                  <c:v>1391.9970167553495</c:v>
                </c:pt>
                <c:pt idx="503">
                  <c:v>1394.6111402842989</c:v>
                </c:pt>
                <c:pt idx="504">
                  <c:v>1397.1240002747543</c:v>
                </c:pt>
                <c:pt idx="505">
                  <c:v>1399.5358119432899</c:v>
                </c:pt>
                <c:pt idx="506">
                  <c:v>1401.8467817267717</c:v>
                </c:pt>
                <c:pt idx="507">
                  <c:v>1404.0571073895258</c:v>
                </c:pt>
                <c:pt idx="508">
                  <c:v>1406.1669781307037</c:v>
                </c:pt>
                <c:pt idx="509">
                  <c:v>1408.1765746926978</c:v>
                </c:pt>
                <c:pt idx="510">
                  <c:v>1410.0860694716116</c:v>
                </c:pt>
                <c:pt idx="511">
                  <c:v>1411.8956266309951</c:v>
                </c:pt>
                <c:pt idx="512">
                  <c:v>1413.6054022202916</c:v>
                </c:pt>
                <c:pt idx="513">
                  <c:v>1415.2155442997348</c:v>
                </c:pt>
                <c:pt idx="514">
                  <c:v>1416.7261930737914</c:v>
                </c:pt>
                <c:pt idx="515">
                  <c:v>1418.137481035656</c:v>
                </c:pt>
                <c:pt idx="516">
                  <c:v>1419.4495331258038</c:v>
                </c:pt>
                <c:pt idx="517">
                  <c:v>1420.6624669081712</c:v>
                </c:pt>
                <c:pt idx="518">
                  <c:v>1421.7763927681699</c:v>
                </c:pt>
                <c:pt idx="519">
                  <c:v>1422.791414137426</c:v>
                </c:pt>
                <c:pt idx="520">
                  <c:v>1423.7076277508202</c:v>
                </c:pt>
                <c:pt idx="521">
                  <c:v>1424.525123942039</c:v>
                </c:pt>
                <c:pt idx="522">
                  <c:v>1425.2439869842974</c:v>
                </c:pt>
                <c:pt idx="523">
                  <c:v>1425.8642954830227</c:v>
                </c:pt>
                <c:pt idx="524">
                  <c:v>1426.3861228269077</c:v>
                </c:pt>
                <c:pt idx="525">
                  <c:v>1426.8095377026211</c:v>
                </c:pt>
                <c:pt idx="526">
                  <c:v>1427.1346046764331</c:v>
                </c:pt>
                <c:pt idx="527">
                  <c:v>1427.36138484295</c:v>
                </c:pt>
                <c:pt idx="528">
                  <c:v>1427.4899365371464</c:v>
                </c:pt>
                <c:pt idx="529">
                  <c:v>1427.5203161012212</c:v>
                </c:pt>
                <c:pt idx="530">
                  <c:v>1427.4525786930656</c:v>
                </c:pt>
                <c:pt idx="531">
                  <c:v>1427.2867791190511</c:v>
                </c:pt>
                <c:pt idx="532">
                  <c:v>1427.0229726711766</c:v>
                </c:pt>
                <c:pt idx="533">
                  <c:v>1426.6612159478925</c:v>
                </c:pt>
                <c:pt idx="534">
                  <c:v>1426.2015676393048</c:v>
                </c:pt>
                <c:pt idx="535">
                  <c:v>1425.6440892606629</c:v>
                </c:pt>
                <c:pt idx="536">
                  <c:v>1424.9888458224182</c:v>
                </c:pt>
                <c:pt idx="537">
                  <c:v>1424.2359064299444</c:v>
                </c:pt>
                <c:pt idx="538">
                  <c:v>1423.3853448105212</c:v>
                </c:pt>
                <c:pt idx="539">
                  <c:v>1422.4372397689165</c:v>
                </c:pt>
                <c:pt idx="540">
                  <c:v>1421.3916755756338</c:v>
                </c:pt>
                <c:pt idx="541">
                  <c:v>1420.2487422936156</c:v>
                </c:pt>
                <c:pt idx="542">
                  <c:v>1419.0085360500375</c:v>
                </c:pt>
                <c:pt idx="543">
                  <c:v>1417.6711592600197</c:v>
                </c:pt>
                <c:pt idx="544">
                  <c:v>1416.2367208088176</c:v>
                </c:pt>
                <c:pt idx="545">
                  <c:v>1414.7053361985118</c:v>
                </c:pt>
                <c:pt idx="546">
                  <c:v>1413.077127664556</c:v>
                </c:pt>
                <c:pt idx="547">
                  <c:v>1411.3522242668337</c:v>
                </c:pt>
                <c:pt idx="548">
                  <c:v>1409.5307619591961</c:v>
                </c:pt>
                <c:pt idx="549">
                  <c:v>1407.6128836408323</c:v>
                </c:pt>
                <c:pt idx="550">
                  <c:v>1405.5987391922722</c:v>
                </c:pt>
                <c:pt idx="551">
                  <c:v>1403.4884854983536</c:v>
                </c:pt>
                <c:pt idx="552">
                  <c:v>1401.2822864600785</c:v>
                </c:pt>
                <c:pt idx="553">
                  <c:v>1398.9803129969557</c:v>
                </c:pt>
                <c:pt idx="554">
                  <c:v>1396.5827430411439</c:v>
                </c:pt>
                <c:pt idx="555">
                  <c:v>1394.089761524483</c:v>
                </c:pt>
                <c:pt idx="556">
                  <c:v>1391.5015603593147</c:v>
                </c:pt>
                <c:pt idx="557">
                  <c:v>1388.8183384138381</c:v>
                </c:pt>
                <c:pt idx="558">
                  <c:v>1386.0403014826225</c:v>
                </c:pt>
                <c:pt idx="559">
                  <c:v>1383.1676622527946</c:v>
                </c:pt>
                <c:pt idx="560">
                  <c:v>1380.2006402663362</c:v>
                </c:pt>
                <c:pt idx="561">
                  <c:v>1377.139461878859</c:v>
                </c:pt>
                <c:pt idx="562">
                  <c:v>1373.9843602151655</c:v>
                </c:pt>
                <c:pt idx="563">
                  <c:v>1370.7355751218606</c:v>
                </c:pt>
                <c:pt idx="564">
                  <c:v>1367.3933531172431</c:v>
                </c:pt>
                <c:pt idx="565">
                  <c:v>1363.957947338668</c:v>
                </c:pt>
                <c:pt idx="566">
                  <c:v>1360.4296174875526</c:v>
                </c:pt>
                <c:pt idx="567">
                  <c:v>1356.8086297721736</c:v>
                </c:pt>
                <c:pt idx="568">
                  <c:v>1353.0952568483872</c:v>
                </c:pt>
                <c:pt idx="569">
                  <c:v>1349.2897777583858</c:v>
                </c:pt>
                <c:pt idx="570">
                  <c:v>1345.3924778675998</c:v>
                </c:pt>
                <c:pt idx="571">
                  <c:v>1341.4036487998349</c:v>
                </c:pt>
                <c:pt idx="572">
                  <c:v>1337.3235883707307</c:v>
                </c:pt>
                <c:pt idx="573">
                  <c:v>1333.1526005196226</c:v>
                </c:pt>
                <c:pt idx="574">
                  <c:v>1328.8909952398756</c:v>
                </c:pt>
                <c:pt idx="575">
                  <c:v>1324.5390885077584</c:v>
                </c:pt>
                <c:pt idx="576">
                  <c:v>1320.0972022099247</c:v>
                </c:pt>
                <c:pt idx="577">
                  <c:v>1315.5656640695559</c:v>
                </c:pt>
                <c:pt idx="578">
                  <c:v>1310.944807571226</c:v>
                </c:pt>
                <c:pt idx="579">
                  <c:v>1306.2349718845428</c:v>
                </c:pt>
                <c:pt idx="580">
                  <c:v>1301.4365017866155</c:v>
                </c:pt>
                <c:pt idx="581">
                  <c:v>1296.5497475834002</c:v>
                </c:pt>
                <c:pt idx="582">
                  <c:v>1291.5750650299724</c:v>
                </c:pt>
                <c:pt idx="583">
                  <c:v>1286.5128152497732</c:v>
                </c:pt>
                <c:pt idx="584">
                  <c:v>1281.3633646528751</c:v>
                </c:pt>
                <c:pt idx="585">
                  <c:v>1276.1270848533143</c:v>
                </c:pt>
                <c:pt idx="586">
                  <c:v>1270.8043525855298</c:v>
                </c:pt>
                <c:pt idx="587">
                  <c:v>1265.395549619959</c:v>
                </c:pt>
                <c:pt idx="588">
                  <c:v>1259.9010626778252</c:v>
                </c:pt>
                <c:pt idx="589">
                  <c:v>1254.3212833451669</c:v>
                </c:pt>
                <c:pt idx="590">
                  <c:v>1248.6566079861432</c:v>
                </c:pt>
                <c:pt idx="591">
                  <c:v>1242.9074376556625</c:v>
                </c:pt>
                <c:pt idx="592">
                  <c:v>1237.074178011371</c:v>
                </c:pt>
                <c:pt idx="593">
                  <c:v>1231.1572392250437</c:v>
                </c:pt>
                <c:pt idx="594">
                  <c:v>1225.1570358934159</c:v>
                </c:pt>
                <c:pt idx="595">
                  <c:v>1219.0739869484978</c:v>
                </c:pt>
                <c:pt idx="596">
                  <c:v>1212.9085155674061</c:v>
                </c:pt>
                <c:pt idx="597">
                  <c:v>1206.6610490817568</c:v>
                </c:pt>
                <c:pt idx="598">
                  <c:v>1200.3320188866542</c:v>
                </c:pt>
                <c:pt idx="599">
                  <c:v>1193.9218603493148</c:v>
                </c:pt>
                <c:pt idx="600">
                  <c:v>1187.4310127173644</c:v>
                </c:pt>
                <c:pt idx="601">
                  <c:v>1180.8599190268453</c:v>
                </c:pt>
                <c:pt idx="602">
                  <c:v>1174.2090260099703</c:v>
                </c:pt>
                <c:pt idx="603">
                  <c:v>1167.4787840026606</c:v>
                </c:pt>
                <c:pt idx="604">
                  <c:v>1160.6696468519035</c:v>
                </c:pt>
                <c:pt idx="605">
                  <c:v>1153.7820718229659</c:v>
                </c:pt>
                <c:pt idx="606">
                  <c:v>1146.8165195064987</c:v>
                </c:pt>
                <c:pt idx="607">
                  <c:v>1139.7734537255674</c:v>
                </c:pt>
                <c:pt idx="608">
                  <c:v>1132.6533414426444</c:v>
                </c:pt>
                <c:pt idx="609">
                  <c:v>1125.4566526665956</c:v>
                </c:pt>
                <c:pt idx="610">
                  <c:v>1118.1838603596957</c:v>
                </c:pt>
                <c:pt idx="611">
                  <c:v>1110.835440344707</c:v>
                </c:pt>
                <c:pt idx="612">
                  <c:v>1103.4118712120528</c:v>
                </c:pt>
                <c:pt idx="613">
                  <c:v>1095.9136342271183</c:v>
                </c:pt>
                <c:pt idx="614">
                  <c:v>1088.3412132377121</c:v>
                </c:pt>
                <c:pt idx="615">
                  <c:v>1080.6950945817175</c:v>
                </c:pt>
                <c:pt idx="616">
                  <c:v>1072.9757669949688</c:v>
                </c:pt>
                <c:pt idx="617">
                  <c:v>1065.1837215193773</c:v>
                </c:pt>
                <c:pt idx="618">
                  <c:v>1057.3194514113432</c:v>
                </c:pt>
                <c:pt idx="619">
                  <c:v>1049.3834520504779</c:v>
                </c:pt>
                <c:pt idx="620">
                  <c:v>1041.3762208486692</c:v>
                </c:pt>
                <c:pt idx="621">
                  <c:v>1033.2982571595153</c:v>
                </c:pt>
                <c:pt idx="622">
                  <c:v>1025.1500621881576</c:v>
                </c:pt>
                <c:pt idx="623">
                  <c:v>1016.9321389015386</c:v>
                </c:pt>
                <c:pt idx="624">
                  <c:v>1008.6449919391113</c:v>
                </c:pt>
                <c:pt idx="625">
                  <c:v>1000.2891275240272</c:v>
                </c:pt>
                <c:pt idx="626">
                  <c:v>991.86505337482868</c:v>
                </c:pt>
                <c:pt idx="627">
                  <c:v>983.37327861766948</c:v>
                </c:pt>
                <c:pt idx="628">
                  <c:v>974.81431369908978</c:v>
                </c:pt>
                <c:pt idx="629">
                  <c:v>966.18867029936769</c:v>
                </c:pt>
                <c:pt idx="630">
                  <c:v>957.49686124647224</c:v>
                </c:pt>
                <c:pt idx="631">
                  <c:v>948.73940043063908</c:v>
                </c:pt>
                <c:pt idx="632">
                  <c:v>939.91680271959228</c:v>
                </c:pt>
                <c:pt idx="633">
                  <c:v>931.02958387443289</c:v>
                </c:pt>
                <c:pt idx="634">
                  <c:v>922.07826046621506</c:v>
                </c:pt>
                <c:pt idx="635">
                  <c:v>913.06334979323071</c:v>
                </c:pt>
                <c:pt idx="636">
                  <c:v>903.98536979902167</c:v>
                </c:pt>
                <c:pt idx="637">
                  <c:v>894.84483899113832</c:v>
                </c:pt>
                <c:pt idx="638">
                  <c:v>885.64227636066369</c:v>
                </c:pt>
                <c:pt idx="639">
                  <c:v>876.37820130252044</c:v>
                </c:pt>
                <c:pt idx="640">
                  <c:v>867.05313353657743</c:v>
                </c:pt>
                <c:pt idx="641">
                  <c:v>857.66759302957314</c:v>
                </c:pt>
                <c:pt idx="642">
                  <c:v>848.22209991787133</c:v>
                </c:pt>
                <c:pt idx="643">
                  <c:v>838.71717443106445</c:v>
                </c:pt>
                <c:pt idx="644">
                  <c:v>829.15333681643938</c:v>
                </c:pt>
                <c:pt idx="645">
                  <c:v>819.5311072643193</c:v>
                </c:pt>
                <c:pt idx="646">
                  <c:v>809.85100583429573</c:v>
                </c:pt>
                <c:pt idx="647">
                  <c:v>800.11355238236251</c:v>
                </c:pt>
                <c:pt idx="648">
                  <c:v>790.31926648896501</c:v>
                </c:pt>
                <c:pt idx="649">
                  <c:v>780.46866738797542</c:v>
                </c:pt>
                <c:pt idx="650">
                  <c:v>770.56227389660546</c:v>
                </c:pt>
                <c:pt idx="651">
                  <c:v>760.60060434626655</c:v>
                </c:pt>
                <c:pt idx="652">
                  <c:v>750.58417651438754</c:v>
                </c:pt>
                <c:pt idx="653">
                  <c:v>740.51350755719909</c:v>
                </c:pt>
                <c:pt idx="654">
                  <c:v>730.38911394349316</c:v>
                </c:pt>
                <c:pt idx="655">
                  <c:v>720.21151138936591</c:v>
                </c:pt>
                <c:pt idx="656">
                  <c:v>709.98121479395093</c:v>
                </c:pt>
                <c:pt idx="657">
                  <c:v>699.69873817615075</c:v>
                </c:pt>
                <c:pt idx="658">
                  <c:v>689.36459461237132</c:v>
                </c:pt>
                <c:pt idx="659">
                  <c:v>678.97929617526688</c:v>
                </c:pt>
                <c:pt idx="660">
                  <c:v>668.54335387349954</c:v>
                </c:pt>
                <c:pt idx="661">
                  <c:v>658.05727759251806</c:v>
                </c:pt>
                <c:pt idx="662">
                  <c:v>647.52157603636101</c:v>
                </c:pt>
                <c:pt idx="663">
                  <c:v>636.93675667048637</c:v>
                </c:pt>
                <c:pt idx="664">
                  <c:v>626.30332566563243</c:v>
                </c:pt>
                <c:pt idx="665">
                  <c:v>615.62178784271111</c:v>
                </c:pt>
                <c:pt idx="666">
                  <c:v>604.89264661873653</c:v>
                </c:pt>
                <c:pt idx="667">
                  <c:v>594.11640395379038</c:v>
                </c:pt>
                <c:pt idx="668">
                  <c:v>583.29356029902522</c:v>
                </c:pt>
                <c:pt idx="669">
                  <c:v>572.42461454570571</c:v>
                </c:pt>
                <c:pt idx="670">
                  <c:v>561.51006397528909</c:v>
                </c:pt>
                <c:pt idx="671">
                  <c:v>550.55040421054366</c:v>
                </c:pt>
                <c:pt idx="672">
                  <c:v>539.54612916770498</c:v>
                </c:pt>
                <c:pt idx="673">
                  <c:v>528.49773100966831</c:v>
                </c:pt>
                <c:pt idx="674">
                  <c:v>517.40570010021645</c:v>
                </c:pt>
                <c:pt idx="675">
                  <c:v>506.2705249592795</c:v>
                </c:pt>
                <c:pt idx="676">
                  <c:v>495.09269221922602</c:v>
                </c:pt>
                <c:pt idx="677">
                  <c:v>483.87268658218102</c:v>
                </c:pt>
                <c:pt idx="678">
                  <c:v>472.61099077836866</c:v>
                </c:pt>
                <c:pt idx="679">
                  <c:v>461.30808552547563</c:v>
                </c:pt>
                <c:pt idx="680">
                  <c:v>449.96444948903132</c:v>
                </c:pt>
                <c:pt idx="681">
                  <c:v>438.58055924380039</c:v>
                </c:pt>
                <c:pt idx="682">
                  <c:v>427.15688923618313</c:v>
                </c:pt>
                <c:pt idx="683">
                  <c:v>415.69391174761876</c:v>
                </c:pt>
                <c:pt idx="684">
                  <c:v>404.19209685898591</c:v>
                </c:pt>
                <c:pt idx="685">
                  <c:v>392.65191241599484</c:v>
                </c:pt>
                <c:pt idx="686">
                  <c:v>381.07382399556565</c:v>
                </c:pt>
                <c:pt idx="687">
                  <c:v>369.45829487318565</c:v>
                </c:pt>
                <c:pt idx="688">
                  <c:v>357.80578599123993</c:v>
                </c:pt>
                <c:pt idx="689">
                  <c:v>346.11675592830767</c:v>
                </c:pt>
                <c:pt idx="690">
                  <c:v>334.39166086941759</c:v>
                </c:pt>
                <c:pt idx="691">
                  <c:v>322.63095457725478</c:v>
                </c:pt>
                <c:pt idx="692">
                  <c:v>310.83508836431145</c:v>
                </c:pt>
                <c:pt idx="693">
                  <c:v>299.00451106597376</c:v>
                </c:pt>
                <c:pt idx="694">
                  <c:v>287.13966901453648</c:v>
                </c:pt>
                <c:pt idx="695">
                  <c:v>275.24100601413699</c:v>
                </c:pt>
                <c:pt idx="696">
                  <c:v>263.30896331660068</c:v>
                </c:pt>
                <c:pt idx="697">
                  <c:v>251.34397959818816</c:v>
                </c:pt>
                <c:pt idx="698">
                  <c:v>239.3464909372361</c:v>
                </c:pt>
                <c:pt idx="699">
                  <c:v>227.31693079268194</c:v>
                </c:pt>
                <c:pt idx="700">
                  <c:v>215.2557299834636</c:v>
                </c:pt>
                <c:pt idx="701">
                  <c:v>203.16331666878449</c:v>
                </c:pt>
                <c:pt idx="702">
                  <c:v>191.04011632923417</c:v>
                </c:pt>
                <c:pt idx="703">
                  <c:v>178.88655174875498</c:v>
                </c:pt>
                <c:pt idx="704">
                  <c:v>166.70304299744464</c:v>
                </c:pt>
                <c:pt idx="705">
                  <c:v>154.49000741518475</c:v>
                </c:pt>
                <c:pt idx="706">
                  <c:v>142.24785959608496</c:v>
                </c:pt>
                <c:pt idx="707">
                  <c:v>129.97701137373264</c:v>
                </c:pt>
                <c:pt idx="708">
                  <c:v>117.67787180723749</c:v>
                </c:pt>
                <c:pt idx="709">
                  <c:v>105.3508471680606</c:v>
                </c:pt>
                <c:pt idx="710">
                  <c:v>92.996340927617368</c:v>
                </c:pt>
                <c:pt idx="711">
                  <c:v>80.614753745643668</c:v>
                </c:pt>
                <c:pt idx="712">
                  <c:v>68.206483459314299</c:v>
                </c:pt>
                <c:pt idx="713">
                  <c:v>55.771925073103048</c:v>
                </c:pt>
                <c:pt idx="714">
                  <c:v>43.311470749373328</c:v>
                </c:pt>
                <c:pt idx="715">
                  <c:v>30.825509799688554</c:v>
                </c:pt>
                <c:pt idx="716">
                  <c:v>18.314428676831142</c:v>
                </c:pt>
                <c:pt idx="717">
                  <c:v>5.7786109675191106</c:v>
                </c:pt>
                <c:pt idx="718">
                  <c:v>-6.7815626141907881</c:v>
                </c:pt>
                <c:pt idx="719">
                  <c:v>-6.7941348827845758</c:v>
                </c:pt>
                <c:pt idx="720">
                  <c:v>-6.8067071751680173</c:v>
                </c:pt>
                <c:pt idx="721">
                  <c:v>-6.8192794913407386</c:v>
                </c:pt>
                <c:pt idx="722">
                  <c:v>-6.8318518313023677</c:v>
                </c:pt>
                <c:pt idx="723">
                  <c:v>-6.8444241950525324</c:v>
                </c:pt>
                <c:pt idx="724">
                  <c:v>-6.8569965825908588</c:v>
                </c:pt>
                <c:pt idx="725">
                  <c:v>-6.8695689939169746</c:v>
                </c:pt>
                <c:pt idx="726">
                  <c:v>-6.8821414290305079</c:v>
                </c:pt>
                <c:pt idx="727">
                  <c:v>-6.8947138879310845</c:v>
                </c:pt>
                <c:pt idx="728">
                  <c:v>-6.9072863706183325</c:v>
                </c:pt>
                <c:pt idx="729">
                  <c:v>-6.9198588770918796</c:v>
                </c:pt>
                <c:pt idx="730">
                  <c:v>-6.932431407351352</c:v>
                </c:pt>
                <c:pt idx="731">
                  <c:v>-6.9450039613963783</c:v>
                </c:pt>
                <c:pt idx="732">
                  <c:v>-6.9575765392265847</c:v>
                </c:pt>
                <c:pt idx="733">
                  <c:v>-6.970149140841599</c:v>
                </c:pt>
                <c:pt idx="734">
                  <c:v>-6.9827217662410481</c:v>
                </c:pt>
                <c:pt idx="735">
                  <c:v>-6.99529441542456</c:v>
                </c:pt>
                <c:pt idx="736">
                  <c:v>-7.0078670883917615</c:v>
                </c:pt>
                <c:pt idx="737">
                  <c:v>-7.0204397851422797</c:v>
                </c:pt>
                <c:pt idx="738">
                  <c:v>-7.0330125056757424</c:v>
                </c:pt>
                <c:pt idx="739">
                  <c:v>-7.0455852499917766</c:v>
                </c:pt>
                <c:pt idx="740">
                  <c:v>-7.0581580180900101</c:v>
                </c:pt>
                <c:pt idx="741">
                  <c:v>-7.0707308099700699</c:v>
                </c:pt>
                <c:pt idx="742">
                  <c:v>-7.0833036256315829</c:v>
                </c:pt>
                <c:pt idx="743">
                  <c:v>-7.095876465074177</c:v>
                </c:pt>
                <c:pt idx="744">
                  <c:v>-7.1084493282974792</c:v>
                </c:pt>
                <c:pt idx="745">
                  <c:v>-7.1210222153011165</c:v>
                </c:pt>
                <c:pt idx="746">
                  <c:v>-7.1335951260847166</c:v>
                </c:pt>
                <c:pt idx="747">
                  <c:v>-7.1461680606479074</c:v>
                </c:pt>
                <c:pt idx="748">
                  <c:v>-7.158741018990316</c:v>
                </c:pt>
                <c:pt idx="749">
                  <c:v>-7.1713140011115692</c:v>
                </c:pt>
                <c:pt idx="750">
                  <c:v>-7.183887007011295</c:v>
                </c:pt>
                <c:pt idx="751">
                  <c:v>-7.1964600366891203</c:v>
                </c:pt>
                <c:pt idx="752">
                  <c:v>-7.209033090144672</c:v>
                </c:pt>
                <c:pt idx="753">
                  <c:v>-7.221606167377578</c:v>
                </c:pt>
                <c:pt idx="754">
                  <c:v>-7.2341792683874662</c:v>
                </c:pt>
                <c:pt idx="755">
                  <c:v>-7.2467523931739635</c:v>
                </c:pt>
                <c:pt idx="756">
                  <c:v>-7.2593255417366969</c:v>
                </c:pt>
                <c:pt idx="757">
                  <c:v>-7.2718987140752942</c:v>
                </c:pt>
                <c:pt idx="758">
                  <c:v>-7.2844719101893824</c:v>
                </c:pt>
                <c:pt idx="759">
                  <c:v>-7.2970451300785895</c:v>
                </c:pt>
                <c:pt idx="760">
                  <c:v>-7.3096183737425422</c:v>
                </c:pt>
                <c:pt idx="761">
                  <c:v>-7.3221916411808676</c:v>
                </c:pt>
                <c:pt idx="762">
                  <c:v>-7.3347649323931936</c:v>
                </c:pt>
                <c:pt idx="763">
                  <c:v>-7.347338247379148</c:v>
                </c:pt>
                <c:pt idx="764">
                  <c:v>-7.3599115861383577</c:v>
                </c:pt>
                <c:pt idx="765">
                  <c:v>-7.3724849486704498</c:v>
                </c:pt>
                <c:pt idx="766">
                  <c:v>-7.385058334975052</c:v>
                </c:pt>
                <c:pt idx="767">
                  <c:v>-7.3976317450517923</c:v>
                </c:pt>
                <c:pt idx="768">
                  <c:v>-7.4102051789002976</c:v>
                </c:pt>
                <c:pt idx="769">
                  <c:v>-7.4227786365201949</c:v>
                </c:pt>
                <c:pt idx="770">
                  <c:v>-7.4353521179111119</c:v>
                </c:pt>
                <c:pt idx="771">
                  <c:v>-7.4479256230726758</c:v>
                </c:pt>
                <c:pt idx="772">
                  <c:v>-7.4604991520045143</c:v>
                </c:pt>
                <c:pt idx="773">
                  <c:v>-7.4730727047062553</c:v>
                </c:pt>
                <c:pt idx="774">
                  <c:v>-7.4856462811775257</c:v>
                </c:pt>
                <c:pt idx="775">
                  <c:v>-7.4982198814179526</c:v>
                </c:pt>
                <c:pt idx="776">
                  <c:v>-7.5107935054271637</c:v>
                </c:pt>
                <c:pt idx="777">
                  <c:v>-7.5233671532047861</c:v>
                </c:pt>
                <c:pt idx="778">
                  <c:v>-7.5359408247504476</c:v>
                </c:pt>
                <c:pt idx="779">
                  <c:v>-7.548514520063776</c:v>
                </c:pt>
                <c:pt idx="780">
                  <c:v>-7.5610882391443983</c:v>
                </c:pt>
                <c:pt idx="781">
                  <c:v>-7.5736619819919415</c:v>
                </c:pt>
                <c:pt idx="782">
                  <c:v>-7.5862357486060334</c:v>
                </c:pt>
                <c:pt idx="783">
                  <c:v>-7.598809538986302</c:v>
                </c:pt>
                <c:pt idx="784">
                  <c:v>-7.611383353132374</c:v>
                </c:pt>
                <c:pt idx="785">
                  <c:v>-7.6239571910438775</c:v>
                </c:pt>
                <c:pt idx="786">
                  <c:v>-7.6365310527204393</c:v>
                </c:pt>
                <c:pt idx="787">
                  <c:v>-7.6491049381616874</c:v>
                </c:pt>
                <c:pt idx="788">
                  <c:v>-7.6616788473672486</c:v>
                </c:pt>
                <c:pt idx="789">
                  <c:v>-7.6742527803367508</c:v>
                </c:pt>
                <c:pt idx="790">
                  <c:v>-7.6868267370698211</c:v>
                </c:pt>
                <c:pt idx="791">
                  <c:v>-7.6994007175660872</c:v>
                </c:pt>
                <c:pt idx="792">
                  <c:v>-7.7119747218251771</c:v>
                </c:pt>
                <c:pt idx="793">
                  <c:v>-7.7245487498467176</c:v>
                </c:pt>
                <c:pt idx="794">
                  <c:v>-7.7371228016303366</c:v>
                </c:pt>
                <c:pt idx="795">
                  <c:v>-7.7496968771756611</c:v>
                </c:pt>
                <c:pt idx="796">
                  <c:v>-7.762270976482319</c:v>
                </c:pt>
                <c:pt idx="797">
                  <c:v>-7.7748450995499372</c:v>
                </c:pt>
                <c:pt idx="798">
                  <c:v>-7.7874192463781435</c:v>
                </c:pt>
                <c:pt idx="799">
                  <c:v>-7.799993416966565</c:v>
                </c:pt>
                <c:pt idx="800">
                  <c:v>-7.8125676113148304</c:v>
                </c:pt>
                <c:pt idx="801">
                  <c:v>-7.8251418294225656</c:v>
                </c:pt>
                <c:pt idx="802">
                  <c:v>-7.8377160712893996</c:v>
                </c:pt>
                <c:pt idx="803">
                  <c:v>-7.8502903369149593</c:v>
                </c:pt>
                <c:pt idx="804">
                  <c:v>-7.8628646262988715</c:v>
                </c:pt>
                <c:pt idx="805">
                  <c:v>-7.8754389394407642</c:v>
                </c:pt>
                <c:pt idx="806">
                  <c:v>-7.8880132763402653</c:v>
                </c:pt>
                <c:pt idx="807">
                  <c:v>-7.9005876369970016</c:v>
                </c:pt>
                <c:pt idx="808">
                  <c:v>-7.9131620214106011</c:v>
                </c:pt>
                <c:pt idx="809">
                  <c:v>-7.9257364295806916</c:v>
                </c:pt>
                <c:pt idx="810">
                  <c:v>-7.9383108615069</c:v>
                </c:pt>
                <c:pt idx="811">
                  <c:v>-7.9508853171888543</c:v>
                </c:pt>
                <c:pt idx="812">
                  <c:v>-7.9634597966261813</c:v>
                </c:pt>
                <c:pt idx="813">
                  <c:v>-7.976034299818509</c:v>
                </c:pt>
                <c:pt idx="814">
                  <c:v>-7.9886088267654651</c:v>
                </c:pt>
                <c:pt idx="815">
                  <c:v>-8.0011833774666776</c:v>
                </c:pt>
                <c:pt idx="816">
                  <c:v>-8.0137579519217734</c:v>
                </c:pt>
                <c:pt idx="817">
                  <c:v>-8.0263325501303804</c:v>
                </c:pt>
                <c:pt idx="818">
                  <c:v>-8.0389071720921255</c:v>
                </c:pt>
                <c:pt idx="819">
                  <c:v>-8.0514818178066356</c:v>
                </c:pt>
                <c:pt idx="820">
                  <c:v>-8.0640564872735396</c:v>
                </c:pt>
                <c:pt idx="821">
                  <c:v>-8.0766311804924644</c:v>
                </c:pt>
                <c:pt idx="822">
                  <c:v>-8.089205897463037</c:v>
                </c:pt>
                <c:pt idx="823">
                  <c:v>-8.101780638184886</c:v>
                </c:pt>
                <c:pt idx="824">
                  <c:v>-8.1143554026576385</c:v>
                </c:pt>
                <c:pt idx="825">
                  <c:v>-8.1269301908809233</c:v>
                </c:pt>
                <c:pt idx="826">
                  <c:v>-8.1395050028543672</c:v>
                </c:pt>
                <c:pt idx="827">
                  <c:v>-8.1520798385775972</c:v>
                </c:pt>
                <c:pt idx="828">
                  <c:v>-8.1646546980502404</c:v>
                </c:pt>
                <c:pt idx="829">
                  <c:v>-8.1772295812719253</c:v>
                </c:pt>
                <c:pt idx="830">
                  <c:v>-8.1898044882422791</c:v>
                </c:pt>
                <c:pt idx="831">
                  <c:v>-8.2023794189609305</c:v>
                </c:pt>
                <c:pt idx="832">
                  <c:v>-8.2149543734275046</c:v>
                </c:pt>
                <c:pt idx="833">
                  <c:v>-8.2275293516416319</c:v>
                </c:pt>
                <c:pt idx="834">
                  <c:v>-8.2401043536029377</c:v>
                </c:pt>
                <c:pt idx="835">
                  <c:v>-8.2526793793110507</c:v>
                </c:pt>
                <c:pt idx="836">
                  <c:v>-8.2652544287655978</c:v>
                </c:pt>
                <c:pt idx="837">
                  <c:v>-8.2778295019662078</c:v>
                </c:pt>
                <c:pt idx="838">
                  <c:v>-8.2904045989125077</c:v>
                </c:pt>
                <c:pt idx="839">
                  <c:v>-8.3029797196041244</c:v>
                </c:pt>
                <c:pt idx="840">
                  <c:v>-8.3155548640406867</c:v>
                </c:pt>
                <c:pt idx="841">
                  <c:v>-8.3281300322218215</c:v>
                </c:pt>
                <c:pt idx="842">
                  <c:v>-8.3407052241471558</c:v>
                </c:pt>
                <c:pt idx="843">
                  <c:v>-8.3532804398163183</c:v>
                </c:pt>
                <c:pt idx="844">
                  <c:v>-8.365855679228936</c:v>
                </c:pt>
                <c:pt idx="845">
                  <c:v>-8.3784309423846359</c:v>
                </c:pt>
                <c:pt idx="846">
                  <c:v>-8.3910062292830467</c:v>
                </c:pt>
                <c:pt idx="847">
                  <c:v>-8.4035815399237954</c:v>
                </c:pt>
                <c:pt idx="848">
                  <c:v>-8.4161568743065107</c:v>
                </c:pt>
                <c:pt idx="849">
                  <c:v>-8.4287322324308196</c:v>
                </c:pt>
                <c:pt idx="850">
                  <c:v>-8.441307614296349</c:v>
                </c:pt>
                <c:pt idx="851">
                  <c:v>-8.4538830199027277</c:v>
                </c:pt>
                <c:pt idx="852">
                  <c:v>-8.4664584492495827</c:v>
                </c:pt>
                <c:pt idx="853">
                  <c:v>-8.4790339023365409</c:v>
                </c:pt>
                <c:pt idx="854">
                  <c:v>-8.491609379163231</c:v>
                </c:pt>
                <c:pt idx="855">
                  <c:v>-8.5041848797292818</c:v>
                </c:pt>
                <c:pt idx="856">
                  <c:v>-8.5167604040343186</c:v>
                </c:pt>
                <c:pt idx="857">
                  <c:v>-8.5293359520779699</c:v>
                </c:pt>
                <c:pt idx="858">
                  <c:v>-8.5419115238598629</c:v>
                </c:pt>
                <c:pt idx="859">
                  <c:v>-8.5544871193796261</c:v>
                </c:pt>
                <c:pt idx="860">
                  <c:v>-8.5670627386368867</c:v>
                </c:pt>
                <c:pt idx="861">
                  <c:v>-8.5796383816312733</c:v>
                </c:pt>
                <c:pt idx="862">
                  <c:v>-8.592214048362413</c:v>
                </c:pt>
                <c:pt idx="863">
                  <c:v>-8.6047897388299326</c:v>
                </c:pt>
                <c:pt idx="864">
                  <c:v>-8.6173654530334609</c:v>
                </c:pt>
                <c:pt idx="865">
                  <c:v>-8.6299411909726249</c:v>
                </c:pt>
                <c:pt idx="866">
                  <c:v>-8.6425169526470533</c:v>
                </c:pt>
                <c:pt idx="867">
                  <c:v>-8.6550927380563731</c:v>
                </c:pt>
                <c:pt idx="868">
                  <c:v>-8.6676685472002113</c:v>
                </c:pt>
                <c:pt idx="869">
                  <c:v>-8.6802443800781965</c:v>
                </c:pt>
                <c:pt idx="870">
                  <c:v>-8.6928202366899558</c:v>
                </c:pt>
                <c:pt idx="871">
                  <c:v>-8.7053961170351162</c:v>
                </c:pt>
                <c:pt idx="872">
                  <c:v>-8.7179720211133063</c:v>
                </c:pt>
                <c:pt idx="873">
                  <c:v>-8.7305479489241549</c:v>
                </c:pt>
                <c:pt idx="874">
                  <c:v>-8.7431239004672872</c:v>
                </c:pt>
                <c:pt idx="875">
                  <c:v>-8.7556998757423337</c:v>
                </c:pt>
                <c:pt idx="876">
                  <c:v>-8.7682758747489196</c:v>
                </c:pt>
                <c:pt idx="877">
                  <c:v>-8.7808518974866736</c:v>
                </c:pt>
                <c:pt idx="878">
                  <c:v>-8.7934279439552245</c:v>
                </c:pt>
                <c:pt idx="879">
                  <c:v>-8.8060040141541993</c:v>
                </c:pt>
                <c:pt idx="880">
                  <c:v>-8.8185801080832249</c:v>
                </c:pt>
                <c:pt idx="881">
                  <c:v>-8.83115622574193</c:v>
                </c:pt>
                <c:pt idx="882">
                  <c:v>-8.8437323671299417</c:v>
                </c:pt>
                <c:pt idx="883">
                  <c:v>-8.8563085322468869</c:v>
                </c:pt>
                <c:pt idx="884">
                  <c:v>-8.8688847210923942</c:v>
                </c:pt>
                <c:pt idx="885">
                  <c:v>-8.8814609336660926</c:v>
                </c:pt>
                <c:pt idx="886">
                  <c:v>-8.8940371699676088</c:v>
                </c:pt>
                <c:pt idx="887">
                  <c:v>-8.90661342999657</c:v>
                </c:pt>
                <c:pt idx="888">
                  <c:v>-8.9191897137526048</c:v>
                </c:pt>
                <c:pt idx="889">
                  <c:v>-8.9317660212353402</c:v>
                </c:pt>
                <c:pt idx="890">
                  <c:v>-8.944342352444405</c:v>
                </c:pt>
                <c:pt idx="891">
                  <c:v>-8.9569187073794261</c:v>
                </c:pt>
                <c:pt idx="892">
                  <c:v>-8.9694950860400304</c:v>
                </c:pt>
                <c:pt idx="893">
                  <c:v>-8.9820714884258468</c:v>
                </c:pt>
                <c:pt idx="894">
                  <c:v>-8.9946479145365021</c:v>
                </c:pt>
                <c:pt idx="895">
                  <c:v>-9.0072243643716252</c:v>
                </c:pt>
                <c:pt idx="896">
                  <c:v>-9.0198008379308448</c:v>
                </c:pt>
                <c:pt idx="897">
                  <c:v>-9.0323773352137859</c:v>
                </c:pt>
                <c:pt idx="898">
                  <c:v>-9.0449538562200793</c:v>
                </c:pt>
                <c:pt idx="899">
                  <c:v>-9.05753040094935</c:v>
                </c:pt>
                <c:pt idx="900">
                  <c:v>-9.0701069694012268</c:v>
                </c:pt>
                <c:pt idx="901">
                  <c:v>-9.0826835615753385</c:v>
                </c:pt>
                <c:pt idx="902">
                  <c:v>-9.095260177471312</c:v>
                </c:pt>
                <c:pt idx="903">
                  <c:v>-9.1078368170887742</c:v>
                </c:pt>
                <c:pt idx="904">
                  <c:v>-9.120413480427354</c:v>
                </c:pt>
                <c:pt idx="905">
                  <c:v>-9.13299016748668</c:v>
                </c:pt>
                <c:pt idx="906">
                  <c:v>-9.1455668782663775</c:v>
                </c:pt>
                <c:pt idx="907">
                  <c:v>-9.1581436127660769</c:v>
                </c:pt>
                <c:pt idx="908">
                  <c:v>-9.1707203709854053</c:v>
                </c:pt>
                <c:pt idx="909">
                  <c:v>-9.1832971529239895</c:v>
                </c:pt>
                <c:pt idx="910">
                  <c:v>-9.1958739585814584</c:v>
                </c:pt>
                <c:pt idx="911">
                  <c:v>-9.2084507879574389</c:v>
                </c:pt>
                <c:pt idx="912">
                  <c:v>-9.2210276410515579</c:v>
                </c:pt>
                <c:pt idx="913">
                  <c:v>-9.233604517863446</c:v>
                </c:pt>
                <c:pt idx="914">
                  <c:v>-9.2461814183927284</c:v>
                </c:pt>
                <c:pt idx="915">
                  <c:v>-9.2587583426390339</c:v>
                </c:pt>
                <c:pt idx="916">
                  <c:v>-9.271335290601991</c:v>
                </c:pt>
                <c:pt idx="917">
                  <c:v>-9.2839122622812269</c:v>
                </c:pt>
                <c:pt idx="918">
                  <c:v>-9.2964892576763702</c:v>
                </c:pt>
                <c:pt idx="919">
                  <c:v>-9.309066276787048</c:v>
                </c:pt>
                <c:pt idx="920">
                  <c:v>-9.3216433196128872</c:v>
                </c:pt>
                <c:pt idx="921">
                  <c:v>-9.3342203861535165</c:v>
                </c:pt>
                <c:pt idx="922">
                  <c:v>-9.3467974764085646</c:v>
                </c:pt>
                <c:pt idx="923">
                  <c:v>-9.3593745903776586</c:v>
                </c:pt>
                <c:pt idx="924">
                  <c:v>-9.3719517280604254</c:v>
                </c:pt>
                <c:pt idx="925">
                  <c:v>-9.3845288894564938</c:v>
                </c:pt>
                <c:pt idx="926">
                  <c:v>-9.3971060745654924</c:v>
                </c:pt>
                <c:pt idx="927">
                  <c:v>-9.4096832833870483</c:v>
                </c:pt>
                <c:pt idx="928">
                  <c:v>-9.4222605159207884</c:v>
                </c:pt>
                <c:pt idx="929">
                  <c:v>-9.4348377721663415</c:v>
                </c:pt>
                <c:pt idx="930">
                  <c:v>-9.4474150521233362</c:v>
                </c:pt>
                <c:pt idx="931">
                  <c:v>-9.4599923557913996</c:v>
                </c:pt>
                <c:pt idx="932">
                  <c:v>-9.4725696831701587</c:v>
                </c:pt>
                <c:pt idx="933">
                  <c:v>-9.4851470342592421</c:v>
                </c:pt>
                <c:pt idx="934">
                  <c:v>-9.4977244090582786</c:v>
                </c:pt>
                <c:pt idx="935">
                  <c:v>-9.5103018075668952</c:v>
                </c:pt>
                <c:pt idx="936">
                  <c:v>-9.5228792297847189</c:v>
                </c:pt>
                <c:pt idx="937">
                  <c:v>-9.5354566757113783</c:v>
                </c:pt>
                <c:pt idx="938">
                  <c:v>-9.5480341453465023</c:v>
                </c:pt>
                <c:pt idx="939">
                  <c:v>-9.5606116386897178</c:v>
                </c:pt>
                <c:pt idx="940">
                  <c:v>-9.5731891557406534</c:v>
                </c:pt>
                <c:pt idx="941">
                  <c:v>-9.5857666964989363</c:v>
                </c:pt>
                <c:pt idx="942">
                  <c:v>-9.5983442609641934</c:v>
                </c:pt>
                <c:pt idx="943">
                  <c:v>-9.6109218491360551</c:v>
                </c:pt>
                <c:pt idx="944">
                  <c:v>-9.6234994610141467</c:v>
                </c:pt>
                <c:pt idx="945">
                  <c:v>-9.6360770965980986</c:v>
                </c:pt>
                <c:pt idx="946">
                  <c:v>-9.6486547558875362</c:v>
                </c:pt>
                <c:pt idx="947">
                  <c:v>-9.6612324388820898</c:v>
                </c:pt>
                <c:pt idx="948">
                  <c:v>-9.6738101455813847</c:v>
                </c:pt>
                <c:pt idx="949">
                  <c:v>-9.6863878759850515</c:v>
                </c:pt>
                <c:pt idx="950">
                  <c:v>-9.6989656300927169</c:v>
                </c:pt>
                <c:pt idx="951">
                  <c:v>-9.7115434079040082</c:v>
                </c:pt>
                <c:pt idx="952">
                  <c:v>-9.7241212094185538</c:v>
                </c:pt>
                <c:pt idx="953">
                  <c:v>-9.7366990346359827</c:v>
                </c:pt>
                <c:pt idx="954">
                  <c:v>-9.7492768835559218</c:v>
                </c:pt>
                <c:pt idx="955">
                  <c:v>-9.761854756177998</c:v>
                </c:pt>
                <c:pt idx="956">
                  <c:v>-9.7744326525018401</c:v>
                </c:pt>
                <c:pt idx="957">
                  <c:v>-9.7870105725270768</c:v>
                </c:pt>
                <c:pt idx="958">
                  <c:v>-9.7995885162533352</c:v>
                </c:pt>
                <c:pt idx="959">
                  <c:v>-9.8121664836802438</c:v>
                </c:pt>
                <c:pt idx="960">
                  <c:v>-9.8247444748074297</c:v>
                </c:pt>
                <c:pt idx="961">
                  <c:v>-9.8373224896345217</c:v>
                </c:pt>
                <c:pt idx="962">
                  <c:v>-9.8499005281611485</c:v>
                </c:pt>
                <c:pt idx="963">
                  <c:v>-9.862478590386937</c:v>
                </c:pt>
                <c:pt idx="964">
                  <c:v>-9.8750566763115142</c:v>
                </c:pt>
                <c:pt idx="965">
                  <c:v>-9.8876347859345088</c:v>
                </c:pt>
                <c:pt idx="966">
                  <c:v>-9.9002129192555497</c:v>
                </c:pt>
                <c:pt idx="967">
                  <c:v>-9.9127910762742637</c:v>
                </c:pt>
                <c:pt idx="968">
                  <c:v>-9.9253692569902796</c:v>
                </c:pt>
                <c:pt idx="969">
                  <c:v>-9.9379474614032262</c:v>
                </c:pt>
                <c:pt idx="970">
                  <c:v>-9.9505256895127285</c:v>
                </c:pt>
                <c:pt idx="971">
                  <c:v>-9.9631039413184173</c:v>
                </c:pt>
                <c:pt idx="972">
                  <c:v>-9.9756822168199193</c:v>
                </c:pt>
                <c:pt idx="973">
                  <c:v>-9.9882605160168634</c:v>
                </c:pt>
                <c:pt idx="974">
                  <c:v>-10.000838838908876</c:v>
                </c:pt>
                <c:pt idx="975">
                  <c:v>-10.013417185495587</c:v>
                </c:pt>
                <c:pt idx="976">
                  <c:v>-10.025995555776623</c:v>
                </c:pt>
                <c:pt idx="977">
                  <c:v>-10.038573949751612</c:v>
                </c:pt>
                <c:pt idx="978">
                  <c:v>-10.051152367420183</c:v>
                </c:pt>
                <c:pt idx="979">
                  <c:v>-10.063730808781964</c:v>
                </c:pt>
                <c:pt idx="980">
                  <c:v>-10.07630927383658</c:v>
                </c:pt>
                <c:pt idx="981">
                  <c:v>-10.088887762583663</c:v>
                </c:pt>
                <c:pt idx="982">
                  <c:v>-10.10146627502284</c:v>
                </c:pt>
                <c:pt idx="983">
                  <c:v>-10.114044811153738</c:v>
                </c:pt>
                <c:pt idx="984">
                  <c:v>-10.126623370975985</c:v>
                </c:pt>
                <c:pt idx="985">
                  <c:v>-10.139201954489209</c:v>
                </c:pt>
                <c:pt idx="986">
                  <c:v>-10.151780561693039</c:v>
                </c:pt>
                <c:pt idx="987">
                  <c:v>-10.164359192587103</c:v>
                </c:pt>
                <c:pt idx="988">
                  <c:v>-10.176937847171027</c:v>
                </c:pt>
                <c:pt idx="989">
                  <c:v>-10.189516525444441</c:v>
                </c:pt>
                <c:pt idx="990">
                  <c:v>-10.202095227406973</c:v>
                </c:pt>
                <c:pt idx="991">
                  <c:v>-10.21467395305825</c:v>
                </c:pt>
                <c:pt idx="992">
                  <c:v>-10.227252702397902</c:v>
                </c:pt>
                <c:pt idx="993">
                  <c:v>-10.239831475425554</c:v>
                </c:pt>
                <c:pt idx="994">
                  <c:v>-10.252410272140837</c:v>
                </c:pt>
                <c:pt idx="995">
                  <c:v>-10.264989092543377</c:v>
                </c:pt>
                <c:pt idx="996">
                  <c:v>-10.277567936632803</c:v>
                </c:pt>
                <c:pt idx="997">
                  <c:v>-10.290146804408742</c:v>
                </c:pt>
                <c:pt idx="998">
                  <c:v>-10.302725695870825</c:v>
                </c:pt>
                <c:pt idx="999">
                  <c:v>-10.315304611018677</c:v>
                </c:pt>
                <c:pt idx="1000">
                  <c:v>-10.327883549851927</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38.19133366775651</c:v>
                </c:pt>
                <c:pt idx="1">
                  <c:v>38.19133366775651</c:v>
                </c:pt>
                <c:pt idx="2">
                  <c:v>38.19133366775651</c:v>
                </c:pt>
                <c:pt idx="3">
                  <c:v>46.934106944649855</c:v>
                </c:pt>
                <c:pt idx="4">
                  <c:v>38.19133366775651</c:v>
                </c:pt>
                <c:pt idx="5">
                  <c:v>29.448560390863161</c:v>
                </c:pt>
                <c:pt idx="6">
                  <c:v>38.19133366775651</c:v>
                </c:pt>
              </c:numCache>
            </c:numRef>
          </c:xVal>
          <c:yVal>
            <c:numRef>
              <c:f>Trajecto!$C$141:$C$147</c:f>
              <c:numCache>
                <c:formatCode>0</c:formatCode>
                <c:ptCount val="7"/>
                <c:pt idx="0">
                  <c:v>349.71093107573398</c:v>
                </c:pt>
                <c:pt idx="1">
                  <c:v>87.427732768933495</c:v>
                </c:pt>
                <c:pt idx="2">
                  <c:v>0</c:v>
                </c:pt>
                <c:pt idx="3">
                  <c:v>17.485546553786698</c:v>
                </c:pt>
                <c:pt idx="4">
                  <c:v>0</c:v>
                </c:pt>
                <c:pt idx="5">
                  <c:v>17.485546553786698</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0</c:v>
                </c:pt>
                <c:pt idx="1">
                  <c:v>5.9417120583002422E-7</c:v>
                </c:pt>
                <c:pt idx="2">
                  <c:v>8.8758788412430698E-5</c:v>
                </c:pt>
                <c:pt idx="3">
                  <c:v>4.3730525824801653E-4</c:v>
                </c:pt>
                <c:pt idx="4">
                  <c:v>1.2191647999031426E-3</c:v>
                </c:pt>
                <c:pt idx="5">
                  <c:v>2.60743891780179E-3</c:v>
                </c:pt>
                <c:pt idx="6">
                  <c:v>4.7316594234144936E-3</c:v>
                </c:pt>
                <c:pt idx="7">
                  <c:v>7.6339421242493637E-3</c:v>
                </c:pt>
                <c:pt idx="8">
                  <c:v>1.1312649997228055E-2</c:v>
                </c:pt>
                <c:pt idx="9">
                  <c:v>1.5766137650963671E-2</c:v>
                </c:pt>
                <c:pt idx="10">
                  <c:v>2.0992751356097399E-2</c:v>
                </c:pt>
                <c:pt idx="11">
                  <c:v>2.6990829075952932E-2</c:v>
                </c:pt>
                <c:pt idx="12">
                  <c:v>3.3758700497506205E-2</c:v>
                </c:pt>
                <c:pt idx="13">
                  <c:v>4.1294687062667909E-2</c:v>
                </c:pt>
                <c:pt idx="14">
                  <c:v>4.959710199987629E-2</c:v>
                </c:pt>
                <c:pt idx="15">
                  <c:v>5.8664250355997663E-2</c:v>
                </c:pt>
                <c:pt idx="16">
                  <c:v>6.849442902853202E-2</c:v>
                </c:pt>
                <c:pt idx="17">
                  <c:v>7.9085926798121167E-2</c:v>
                </c:pt>
                <c:pt idx="18">
                  <c:v>9.0437024361356727E-2</c:v>
                </c:pt>
                <c:pt idx="19">
                  <c:v>0.10254599436388534</c:v>
                </c:pt>
                <c:pt idx="20">
                  <c:v>0.11541110143380838</c:v>
                </c:pt>
                <c:pt idx="21">
                  <c:v>0.12903060221537346</c:v>
                </c:pt>
                <c:pt idx="22">
                  <c:v>0.14340274540295503</c:v>
                </c:pt>
                <c:pt idx="23">
                  <c:v>0.15852577177532118</c:v>
                </c:pt>
                <c:pt idx="24">
                  <c:v>0.17439791423018408</c:v>
                </c:pt>
                <c:pt idx="25">
                  <c:v>0.19101739781903102</c:v>
                </c:pt>
                <c:pt idx="26">
                  <c:v>0.20838243978223328</c:v>
                </c:pt>
                <c:pt idx="27">
                  <c:v>0.22649124958443018</c:v>
                </c:pt>
                <c:pt idx="28">
                  <c:v>0.24534202895018503</c:v>
                </c:pt>
                <c:pt idx="29">
                  <c:v>0.26493297189991044</c:v>
                </c:pt>
                <c:pt idx="30">
                  <c:v>0.28526226478605987</c:v>
                </c:pt>
                <c:pt idx="31">
                  <c:v>0.30632808632958264</c:v>
                </c:pt>
                <c:pt idx="32">
                  <c:v>0.3281286076566392</c:v>
                </c:pt>
                <c:pt idx="33">
                  <c:v>0.35066199233557399</c:v>
                </c:pt>
                <c:pt idx="34">
                  <c:v>0.37396900368513969</c:v>
                </c:pt>
                <c:pt idx="35">
                  <c:v>0.39809184175867945</c:v>
                </c:pt>
                <c:pt idx="36">
                  <c:v>0.42303151244144921</c:v>
                </c:pt>
                <c:pt idx="37">
                  <c:v>0.44878894761475002</c:v>
                </c:pt>
                <c:pt idx="38">
                  <c:v>0.47536498817031114</c:v>
                </c:pt>
                <c:pt idx="39">
                  <c:v>0.50276038833445169</c:v>
                </c:pt>
                <c:pt idx="40">
                  <c:v>0.53097581964779139</c:v>
                </c:pt>
                <c:pt idx="41">
                  <c:v>0.56001187463693047</c:v>
                </c:pt>
                <c:pt idx="42">
                  <c:v>0.58986907020980117</c:v>
                </c:pt>
                <c:pt idx="43">
                  <c:v>0.62054785080239805</c:v>
                </c:pt>
                <c:pt idx="44">
                  <c:v>0.65204859130118575</c:v>
                </c:pt>
                <c:pt idx="45">
                  <c:v>0.68437159976257156</c:v>
                </c:pt>
                <c:pt idx="46">
                  <c:v>0.71751711994832557</c:v>
                </c:pt>
                <c:pt idx="47">
                  <c:v>0.75148533369367565</c:v>
                </c:pt>
                <c:pt idx="48">
                  <c:v>0.78627636312293558</c:v>
                </c:pt>
                <c:pt idx="49">
                  <c:v>0.82189027272590343</c:v>
                </c:pt>
                <c:pt idx="50">
                  <c:v>0.85832707130685426</c:v>
                </c:pt>
                <c:pt idx="51">
                  <c:v>0.89558695609627015</c:v>
                </c:pt>
                <c:pt idx="52">
                  <c:v>0.93367055882792982</c:v>
                </c:pt>
                <c:pt idx="53">
                  <c:v>0.97257870779249822</c:v>
                </c:pt>
                <c:pt idx="54">
                  <c:v>1.0123121876422416</c:v>
                </c:pt>
                <c:pt idx="55">
                  <c:v>1.0528717406765087</c:v>
                </c:pt>
                <c:pt idx="56">
                  <c:v>1.0942580680586567</c:v>
                </c:pt>
                <c:pt idx="57">
                  <c:v>1.1364718309693629</c:v>
                </c:pt>
                <c:pt idx="58">
                  <c:v>1.1795136517008162</c:v>
                </c:pt>
                <c:pt idx="59">
                  <c:v>1.223384114695901</c:v>
                </c:pt>
                <c:pt idx="60">
                  <c:v>1.2680837675361263</c:v>
                </c:pt>
                <c:pt idx="61">
                  <c:v>1.3136131218817431</c:v>
                </c:pt>
                <c:pt idx="62">
                  <c:v>1.3599726543672048</c:v>
                </c:pt>
                <c:pt idx="63">
                  <c:v>1.4071628074548712</c:v>
                </c:pt>
                <c:pt idx="64">
                  <c:v>1.4551839902496244</c:v>
                </c:pt>
                <c:pt idx="65">
                  <c:v>1.5040365792768537</c:v>
                </c:pt>
                <c:pt idx="66">
                  <c:v>1.553720919226079</c:v>
                </c:pt>
                <c:pt idx="67">
                  <c:v>1.6042373236623062</c:v>
                </c:pt>
                <c:pt idx="68">
                  <c:v>1.6555860757070535</c:v>
                </c:pt>
                <c:pt idx="69">
                  <c:v>1.7077674286908433</c:v>
                </c:pt>
                <c:pt idx="70">
                  <c:v>1.7607816067788238</c:v>
                </c:pt>
                <c:pt idx="71">
                  <c:v>1.8146288055710631</c:v>
                </c:pt>
                <c:pt idx="72">
                  <c:v>1.8693091926789549</c:v>
                </c:pt>
                <c:pt idx="73">
                  <c:v>1.9248229082790678</c:v>
                </c:pt>
                <c:pt idx="74">
                  <c:v>1.9811700656456828</c:v>
                </c:pt>
                <c:pt idx="75">
                  <c:v>2.0383507516631796</c:v>
                </c:pt>
                <c:pt idx="76">
                  <c:v>2.0963650273193521</c:v>
                </c:pt>
                <c:pt idx="77">
                  <c:v>2.1552129281806627</c:v>
                </c:pt>
                <c:pt idx="78">
                  <c:v>2.2148944648503828</c:v>
                </c:pt>
                <c:pt idx="79">
                  <c:v>2.2754096234105012</c:v>
                </c:pt>
                <c:pt idx="80">
                  <c:v>2.3367583658482283</c:v>
                </c:pt>
                <c:pt idx="81">
                  <c:v>2.398940630467874</c:v>
                </c:pt>
                <c:pt idx="82">
                  <c:v>2.4619563322888243</c:v>
                </c:pt>
                <c:pt idx="83">
                  <c:v>2.5258053634303042</c:v>
                </c:pt>
                <c:pt idx="84">
                  <c:v>2.5904875934835645</c:v>
                </c:pt>
                <c:pt idx="85">
                  <c:v>2.6560028698721001</c:v>
                </c:pt>
                <c:pt idx="86">
                  <c:v>2.7223510182004675</c:v>
                </c:pt>
                <c:pt idx="87">
                  <c:v>2.7895318425922357</c:v>
                </c:pt>
                <c:pt idx="88">
                  <c:v>2.8575451260175755</c:v>
                </c:pt>
                <c:pt idx="89">
                  <c:v>2.9263906306109635</c:v>
                </c:pt>
                <c:pt idx="90">
                  <c:v>2.9960680979794492</c:v>
                </c:pt>
                <c:pt idx="91">
                  <c:v>3.0665772495019108</c:v>
                </c:pt>
                <c:pt idx="92">
                  <c:v>3.1379177866196972</c:v>
                </c:pt>
                <c:pt idx="93">
                  <c:v>3.2100893911190376</c:v>
                </c:pt>
                <c:pt idx="94">
                  <c:v>3.283091725405578</c:v>
                </c:pt>
                <c:pt idx="95">
                  <c:v>3.3569244327713803</c:v>
                </c:pt>
                <c:pt idx="96">
                  <c:v>3.4315871376547098</c:v>
                </c:pt>
                <c:pt idx="97">
                  <c:v>3.5070794458929115</c:v>
                </c:pt>
                <c:pt idx="98">
                  <c:v>3.5834009449686692</c:v>
                </c:pt>
                <c:pt idx="99">
                  <c:v>3.6605512042499155</c:v>
                </c:pt>
                <c:pt idx="100">
                  <c:v>3.7385297752236575</c:v>
                </c:pt>
                <c:pt idx="101">
                  <c:v>3.8173360701943806</c:v>
                </c:pt>
                <c:pt idx="102">
                  <c:v>3.8969692404067691</c:v>
                </c:pt>
                <c:pt idx="103">
                  <c:v>3.9774282970660488</c:v>
                </c:pt>
                <c:pt idx="104">
                  <c:v>4.0587122329382384</c:v>
                </c:pt>
                <c:pt idx="105">
                  <c:v>4.1408200225867029</c:v>
                </c:pt>
                <c:pt idx="106">
                  <c:v>4.2237506226033155</c:v>
                </c:pt>
                <c:pt idx="107">
                  <c:v>4.3075029718344284</c:v>
                </c:pt>
                <c:pt idx="108">
                  <c:v>4.392075991601863</c:v>
                </c:pt>
                <c:pt idx="109">
                  <c:v>4.4774685859191017</c:v>
                </c:pt>
                <c:pt idx="110">
                  <c:v>4.5636796417028682</c:v>
                </c:pt>
                <c:pt idx="111">
                  <c:v>4.650708028980266</c:v>
                </c:pt>
                <c:pt idx="112">
                  <c:v>4.7385526010916443</c:v>
                </c:pt>
                <c:pt idx="113">
                  <c:v>4.8272121948893396</c:v>
                </c:pt>
                <c:pt idx="114">
                  <c:v>4.916685630932454</c:v>
                </c:pt>
                <c:pt idx="115">
                  <c:v>5.0069717136778067</c:v>
                </c:pt>
                <c:pt idx="116">
                  <c:v>5.0980692316671945</c:v>
                </c:pt>
                <c:pt idx="117">
                  <c:v>5.1899769577110986</c:v>
                </c:pt>
                <c:pt idx="118">
                  <c:v>5.2826936490689533</c:v>
                </c:pt>
                <c:pt idx="119">
                  <c:v>5.3762180476261037</c:v>
                </c:pt>
                <c:pt idx="120">
                  <c:v>5.4705488800675637</c:v>
                </c:pt>
                <c:pt idx="121">
                  <c:v>5.565684858048682</c:v>
                </c:pt>
                <c:pt idx="122">
                  <c:v>5.6616246783628199</c:v>
                </c:pt>
                <c:pt idx="123">
                  <c:v>5.7583670231061479</c:v>
                </c:pt>
                <c:pt idx="124">
                  <c:v>5.8559105598396455</c:v>
                </c:pt>
                <c:pt idx="125">
                  <c:v>5.9542539417484059</c:v>
                </c:pt>
                <c:pt idx="126">
                  <c:v>6.053395807798327</c:v>
                </c:pt>
                <c:pt idx="127">
                  <c:v>6.1533347828902771</c:v>
                </c:pt>
                <c:pt idx="128">
                  <c:v>6.2540694780118136</c:v>
                </c:pt>
                <c:pt idx="129">
                  <c:v>6.3555984903865301</c:v>
                </c:pt>
                <c:pt idx="130">
                  <c:v>6.457920403621114</c:v>
                </c:pt>
                <c:pt idx="131">
                  <c:v>6.5610337878501728</c:v>
                </c:pt>
                <c:pt idx="132">
                  <c:v>6.6649371998789118</c:v>
                </c:pt>
                <c:pt idx="133">
                  <c:v>6.7696291833237208</c:v>
                </c:pt>
                <c:pt idx="134">
                  <c:v>6.8751082687507292</c:v>
                </c:pt>
                <c:pt idx="135">
                  <c:v>6.9813729738124</c:v>
                </c:pt>
                <c:pt idx="136">
                  <c:v>7.0884218033822144</c:v>
                </c:pt>
                <c:pt idx="137">
                  <c:v>7.1962532496875022</c:v>
                </c:pt>
                <c:pt idx="138">
                  <c:v>7.3048657924404754</c:v>
                </c:pt>
                <c:pt idx="139">
                  <c:v>7.4142578989675147</c:v>
                </c:pt>
                <c:pt idx="140">
                  <c:v>7.5244280243367578</c:v>
                </c:pt>
                <c:pt idx="141">
                  <c:v>7.6353746114840373</c:v>
                </c:pt>
                <c:pt idx="142">
                  <c:v>7.7470960913372169</c:v>
                </c:pt>
                <c:pt idx="143">
                  <c:v>7.8595908829389671</c:v>
                </c:pt>
                <c:pt idx="144">
                  <c:v>7.9728573935680229</c:v>
                </c:pt>
                <c:pt idx="145">
                  <c:v>8.0868940188589651</c:v>
                </c:pt>
                <c:pt idx="146">
                  <c:v>8.2016991429205692</c:v>
                </c:pt>
                <c:pt idx="147">
                  <c:v>8.3172711384527478</c:v>
                </c:pt>
                <c:pt idx="148">
                  <c:v>8.4336083668621367</c:v>
                </c:pt>
                <c:pt idx="149">
                  <c:v>8.5507091783763549</c:v>
                </c:pt>
                <c:pt idx="150">
                  <c:v>8.6685719121569615</c:v>
                </c:pt>
                <c:pt idx="151">
                  <c:v>8.7871949399257865</c:v>
                </c:pt>
                <c:pt idx="152">
                  <c:v>8.9065767097253712</c:v>
                </c:pt>
                <c:pt idx="153">
                  <c:v>9.0267157026731457</c:v>
                </c:pt>
                <c:pt idx="154">
                  <c:v>9.1476103895757195</c:v>
                </c:pt>
                <c:pt idx="155">
                  <c:v>9.2692592310291744</c:v>
                </c:pt>
                <c:pt idx="156">
                  <c:v>9.3916606775183222</c:v>
                </c:pt>
                <c:pt idx="157">
                  <c:v>9.5148131695149427</c:v>
                </c:pt>
                <c:pt idx="158">
                  <c:v>9.6387151375750477</c:v>
                </c:pt>
                <c:pt idx="159">
                  <c:v>9.7633650024351724</c:v>
                </c:pt>
                <c:pt idx="160">
                  <c:v>9.8887611751077245</c:v>
                </c:pt>
                <c:pt idx="161">
                  <c:v>10.014902056975419</c:v>
                </c:pt>
                <c:pt idx="162">
                  <c:v>10.141786039884805</c:v>
                </c:pt>
                <c:pt idx="163">
                  <c:v>10.269411506238914</c:v>
                </c:pt>
                <c:pt idx="164">
                  <c:v>10.397776829089052</c:v>
                </c:pt>
                <c:pt idx="165">
                  <c:v>10.526880372225744</c:v>
                </c:pt>
                <c:pt idx="166">
                  <c:v>10.656720490268855</c:v>
                </c:pt>
                <c:pt idx="167">
                  <c:v>10.787295528756905</c:v>
                </c:pt>
                <c:pt idx="168">
                  <c:v>10.918603824235595</c:v>
                </c:pt>
                <c:pt idx="169">
                  <c:v>11.05064370434555</c:v>
                </c:pt>
                <c:pt idx="170">
                  <c:v>11.183413487909315</c:v>
                </c:pt>
                <c:pt idx="171">
                  <c:v>11.316911485017602</c:v>
                </c:pt>
                <c:pt idx="172">
                  <c:v>11.451135997114809</c:v>
                </c:pt>
                <c:pt idx="173">
                  <c:v>11.586085317083819</c:v>
                </c:pt>
                <c:pt idx="174">
                  <c:v>11.721757729330106</c:v>
                </c:pt>
                <c:pt idx="175">
                  <c:v>11.85815150986515</c:v>
                </c:pt>
                <c:pt idx="176">
                  <c:v>11.995264926389178</c:v>
                </c:pt>
                <c:pt idx="177">
                  <c:v>12.133096238373234</c:v>
                </c:pt>
                <c:pt idx="178">
                  <c:v>12.271643697140613</c:v>
                </c:pt>
                <c:pt idx="179">
                  <c:v>12.410905545947642</c:v>
                </c:pt>
                <c:pt idx="180">
                  <c:v>12.550880020063845</c:v>
                </c:pt>
                <c:pt idx="181">
                  <c:v>12.691565346851476</c:v>
                </c:pt>
                <c:pt idx="182">
                  <c:v>12.832959745844462</c:v>
                </c:pt>
                <c:pt idx="183">
                  <c:v>12.975061428826738</c:v>
                </c:pt>
                <c:pt idx="184">
                  <c:v>13.117868599909995</c:v>
                </c:pt>
                <c:pt idx="185">
                  <c:v>13.261379455610861</c:v>
                </c:pt>
                <c:pt idx="186">
                  <c:v>13.405592184927503</c:v>
                </c:pt>
                <c:pt idx="187">
                  <c:v>13.550504969415675</c:v>
                </c:pt>
                <c:pt idx="188">
                  <c:v>13.696115983264214</c:v>
                </c:pt>
                <c:pt idx="189">
                  <c:v>13.842423393369991</c:v>
                </c:pt>
                <c:pt idx="190">
                  <c:v>13.989425359412339</c:v>
                </c:pt>
                <c:pt idx="191">
                  <c:v>14.137120033926935</c:v>
                </c:pt>
                <c:pt idx="192">
                  <c:v>14.285505562379186</c:v>
                </c:pt>
                <c:pt idx="193">
                  <c:v>14.43458008323708</c:v>
                </c:pt>
                <c:pt idx="194">
                  <c:v>14.584341728043555</c:v>
                </c:pt>
                <c:pt idx="195">
                  <c:v>14.734788621488352</c:v>
                </c:pt>
                <c:pt idx="196">
                  <c:v>14.885918881479393</c:v>
                </c:pt>
                <c:pt idx="197">
                  <c:v>15.037730619213656</c:v>
                </c:pt>
                <c:pt idx="198">
                  <c:v>15.190221939247589</c:v>
                </c:pt>
                <c:pt idx="199">
                  <c:v>15.343390939567044</c:v>
                </c:pt>
                <c:pt idx="200">
                  <c:v>15.497235711656741</c:v>
                </c:pt>
                <c:pt idx="201">
                  <c:v>15.651754340569278</c:v>
                </c:pt>
                <c:pt idx="202">
                  <c:v>15.806944904993687</c:v>
                </c:pt>
                <c:pt idx="203">
                  <c:v>15.96280547732353</c:v>
                </c:pt>
                <c:pt idx="204">
                  <c:v>16.119334123724556</c:v>
                </c:pt>
                <c:pt idx="205">
                  <c:v>16.276528904201925</c:v>
                </c:pt>
                <c:pt idx="206">
                  <c:v>16.434387872666981</c:v>
                </c:pt>
                <c:pt idx="207">
                  <c:v>16.592909077003611</c:v>
                </c:pt>
                <c:pt idx="208">
                  <c:v>16.752090559134171</c:v>
                </c:pt>
                <c:pt idx="209">
                  <c:v>16.911930355084987</c:v>
                </c:pt>
                <c:pt idx="210">
                  <c:v>17.072426495051442</c:v>
                </c:pt>
                <c:pt idx="211">
                  <c:v>17.233577003462653</c:v>
                </c:pt>
                <c:pt idx="212">
                  <c:v>17.395379899045739</c:v>
                </c:pt>
                <c:pt idx="213">
                  <c:v>17.557833194889678</c:v>
                </c:pt>
                <c:pt idx="214">
                  <c:v>17.720934898508762</c:v>
                </c:pt>
                <c:pt idx="215">
                  <c:v>17.884683011905665</c:v>
                </c:pt>
                <c:pt idx="216">
                  <c:v>18.049075531634106</c:v>
                </c:pt>
                <c:pt idx="217">
                  <c:v>18.214110448861124</c:v>
                </c:pt>
                <c:pt idx="218">
                  <c:v>18.379785749428972</c:v>
                </c:pt>
                <c:pt idx="219">
                  <c:v>18.546099413916611</c:v>
                </c:pt>
                <c:pt idx="220">
                  <c:v>18.713049417700848</c:v>
                </c:pt>
                <c:pt idx="221">
                  <c:v>18.880633731017067</c:v>
                </c:pt>
                <c:pt idx="222">
                  <c:v>19.048850319019607</c:v>
                </c:pt>
                <c:pt idx="223">
                  <c:v>19.217697141841757</c:v>
                </c:pt>
                <c:pt idx="224">
                  <c:v>19.387172154655381</c:v>
                </c:pt>
                <c:pt idx="225">
                  <c:v>19.557273307730185</c:v>
                </c:pt>
                <c:pt idx="226">
                  <c:v>19.727998546492611</c:v>
                </c:pt>
                <c:pt idx="227">
                  <c:v>19.899345811584372</c:v>
                </c:pt>
                <c:pt idx="228">
                  <c:v>20.071313038920628</c:v>
                </c:pt>
                <c:pt idx="229">
                  <c:v>20.243898159747804</c:v>
                </c:pt>
                <c:pt idx="230">
                  <c:v>20.417099100701058</c:v>
                </c:pt>
                <c:pt idx="231">
                  <c:v>20.590913783861385</c:v>
                </c:pt>
                <c:pt idx="232">
                  <c:v>20.76534012681239</c:v>
                </c:pt>
                <c:pt idx="233">
                  <c:v>20.940376042696695</c:v>
                </c:pt>
                <c:pt idx="234">
                  <c:v>21.116019440272002</c:v>
                </c:pt>
                <c:pt idx="235">
                  <c:v>21.292268223966829</c:v>
                </c:pt>
                <c:pt idx="236">
                  <c:v>21.469120293935884</c:v>
                </c:pt>
                <c:pt idx="237">
                  <c:v>21.646573546115107</c:v>
                </c:pt>
                <c:pt idx="238">
                  <c:v>21.824625872276378</c:v>
                </c:pt>
                <c:pt idx="239">
                  <c:v>22.003275160081877</c:v>
                </c:pt>
                <c:pt idx="240">
                  <c:v>22.182519293138117</c:v>
                </c:pt>
                <c:pt idx="241">
                  <c:v>22.362356151049653</c:v>
                </c:pt>
                <c:pt idx="242">
                  <c:v>22.542783609472433</c:v>
                </c:pt>
                <c:pt idx="243">
                  <c:v>22.723799540166851</c:v>
                </c:pt>
                <c:pt idx="244">
                  <c:v>22.905401811050449</c:v>
                </c:pt>
                <c:pt idx="245">
                  <c:v>23.087588286250298</c:v>
                </c:pt>
                <c:pt idx="246">
                  <c:v>23.270356826155055</c:v>
                </c:pt>
                <c:pt idx="247">
                  <c:v>23.453705287466704</c:v>
                </c:pt>
                <c:pt idx="248">
                  <c:v>23.637631523251962</c:v>
                </c:pt>
                <c:pt idx="249">
                  <c:v>23.822133382993364</c:v>
                </c:pt>
                <c:pt idx="250">
                  <c:v>24.00720871264004</c:v>
                </c:pt>
                <c:pt idx="251">
                  <c:v>24.192855153482256</c:v>
                </c:pt>
                <c:pt idx="252">
                  <c:v>24.37906994072857</c:v>
                </c:pt>
                <c:pt idx="253">
                  <c:v>24.565850104507433</c:v>
                </c:pt>
                <c:pt idx="254">
                  <c:v>24.75319267117478</c:v>
                </c:pt>
                <c:pt idx="255">
                  <c:v>24.941094663381531</c:v>
                </c:pt>
                <c:pt idx="256">
                  <c:v>25.129553100140569</c:v>
                </c:pt>
                <c:pt idx="257">
                  <c:v>25.318564996893201</c:v>
                </c:pt>
                <c:pt idx="258">
                  <c:v>25.508127365575138</c:v>
                </c:pt>
                <c:pt idx="259">
                  <c:v>25.698237214681942</c:v>
                </c:pt>
                <c:pt idx="260">
                  <c:v>25.888891549333977</c:v>
                </c:pt>
                <c:pt idx="261">
                  <c:v>26.080087371340873</c:v>
                </c:pt>
                <c:pt idx="262">
                  <c:v>26.271821679265468</c:v>
                </c:pt>
                <c:pt idx="263">
                  <c:v>26.464091468487261</c:v>
                </c:pt>
                <c:pt idx="264">
                  <c:v>26.656893731265374</c:v>
                </c:pt>
                <c:pt idx="265">
                  <c:v>26.850225456800999</c:v>
                </c:pt>
                <c:pt idx="266">
                  <c:v>27.044083631299383</c:v>
                </c:pt>
                <c:pt idx="267">
                  <c:v>27.238465238031285</c:v>
                </c:pt>
                <c:pt idx="268">
                  <c:v>27.433367257393964</c:v>
                </c:pt>
                <c:pt idx="269">
                  <c:v>27.628786666971685</c:v>
                </c:pt>
                <c:pt idx="270">
                  <c:v>27.824720441595705</c:v>
                </c:pt>
                <c:pt idx="271">
                  <c:v>28.021165553403808</c:v>
                </c:pt>
                <c:pt idx="272">
                  <c:v>28.218118971899337</c:v>
                </c:pt>
                <c:pt idx="273">
                  <c:v>28.415577664009742</c:v>
                </c:pt>
                <c:pt idx="274">
                  <c:v>28.613538594144661</c:v>
                </c:pt>
                <c:pt idx="275">
                  <c:v>28.811998724253499</c:v>
                </c:pt>
                <c:pt idx="276">
                  <c:v>29.010955013882548</c:v>
                </c:pt>
                <c:pt idx="277">
                  <c:v>29.210404420231615</c:v>
                </c:pt>
                <c:pt idx="278">
                  <c:v>29.410343898210179</c:v>
                </c:pt>
                <c:pt idx="279">
                  <c:v>29.610770400493077</c:v>
                </c:pt>
                <c:pt idx="280">
                  <c:v>29.811680877575714</c:v>
                </c:pt>
                <c:pt idx="281">
                  <c:v>30.013072277828794</c:v>
                </c:pt>
                <c:pt idx="282">
                  <c:v>30.214941547552595</c:v>
                </c:pt>
                <c:pt idx="283">
                  <c:v>30.417285631030758</c:v>
                </c:pt>
                <c:pt idx="284">
                  <c:v>30.62010147058362</c:v>
                </c:pt>
                <c:pt idx="285">
                  <c:v>30.823386006621071</c:v>
                </c:pt>
                <c:pt idx="286">
                  <c:v>31.027136177694956</c:v>
                </c:pt>
                <c:pt idx="287">
                  <c:v>31.231348920550996</c:v>
                </c:pt>
                <c:pt idx="288">
                  <c:v>31.436021170180272</c:v>
                </c:pt>
                <c:pt idx="289">
                  <c:v>31.641149859870215</c:v>
                </c:pt>
                <c:pt idx="290">
                  <c:v>31.846731921255163</c:v>
                </c:pt>
                <c:pt idx="291">
                  <c:v>32.052764284366447</c:v>
                </c:pt>
                <c:pt idx="292">
                  <c:v>32.25924387768201</c:v>
                </c:pt>
                <c:pt idx="293">
                  <c:v>32.46616762817559</c:v>
                </c:pt>
                <c:pt idx="294">
                  <c:v>32.673532461365433</c:v>
                </c:pt>
                <c:pt idx="295">
                  <c:v>32.881335301362547</c:v>
                </c:pt>
                <c:pt idx="296">
                  <c:v>33.089573070918526</c:v>
                </c:pt>
                <c:pt idx="297">
                  <c:v>33.298242691472893</c:v>
                </c:pt>
                <c:pt idx="298">
                  <c:v>33.507338817283078</c:v>
                </c:pt>
                <c:pt idx="299">
                  <c:v>33.716851567482337</c:v>
                </c:pt>
                <c:pt idx="300">
                  <c:v>33.926768791578532</c:v>
                </c:pt>
                <c:pt idx="301">
                  <c:v>34.137078337154684</c:v>
                </c:pt>
                <c:pt idx="302">
                  <c:v>34.347768050173023</c:v>
                </c:pt>
                <c:pt idx="303">
                  <c:v>34.558825775273505</c:v>
                </c:pt>
                <c:pt idx="304">
                  <c:v>34.77023935606686</c:v>
                </c:pt>
                <c:pt idx="305">
                  <c:v>34.981996635422171</c:v>
                </c:pt>
                <c:pt idx="306">
                  <c:v>35.194085455748954</c:v>
                </c:pt>
                <c:pt idx="307">
                  <c:v>35.406493659273849</c:v>
                </c:pt>
                <c:pt idx="308">
                  <c:v>35.619209088311813</c:v>
                </c:pt>
                <c:pt idx="309">
                  <c:v>35.832219585531924</c:v>
                </c:pt>
                <c:pt idx="310">
                  <c:v>36.045512994217752</c:v>
                </c:pt>
                <c:pt idx="311">
                  <c:v>36.259077158522338</c:v>
                </c:pt>
                <c:pt idx="312">
                  <c:v>36.472899923717776</c:v>
                </c:pt>
                <c:pt idx="313">
                  <c:v>36.686969136439437</c:v>
                </c:pt>
                <c:pt idx="314">
                  <c:v>36.901272644924788</c:v>
                </c:pt>
                <c:pt idx="315">
                  <c:v>37.11579829924689</c:v>
                </c:pt>
                <c:pt idx="316">
                  <c:v>37.330533951542549</c:v>
                </c:pt>
                <c:pt idx="317">
                  <c:v>37.545467456235123</c:v>
                </c:pt>
                <c:pt idx="318">
                  <c:v>37.760586670252017</c:v>
                </c:pt>
                <c:pt idx="319">
                  <c:v>37.975879453236885</c:v>
                </c:pt>
                <c:pt idx="320">
                  <c:v>38.19133366775651</c:v>
                </c:pt>
                <c:pt idx="321">
                  <c:v>38.406938091500869</c:v>
                </c:pt>
                <c:pt idx="322">
                  <c:v>38.622683329811771</c:v>
                </c:pt>
                <c:pt idx="323">
                  <c:v>38.838560903305833</c:v>
                </c:pt>
                <c:pt idx="324">
                  <c:v>39.054562335111818</c:v>
                </c:pt>
                <c:pt idx="325">
                  <c:v>39.27067915095941</c:v>
                </c:pt>
                <c:pt idx="326">
                  <c:v>39.486902879265415</c:v>
                </c:pt>
                <c:pt idx="327">
                  <c:v>39.703225051217444</c:v>
                </c:pt>
                <c:pt idx="328">
                  <c:v>39.919637200855014</c:v>
                </c:pt>
                <c:pt idx="329">
                  <c:v>40.136130865148111</c:v>
                </c:pt>
                <c:pt idx="330">
                  <c:v>40.352697584073212</c:v>
                </c:pt>
                <c:pt idx="331">
                  <c:v>40.569328900686791</c:v>
                </c:pt>
                <c:pt idx="332">
                  <c:v>40.786016361196282</c:v>
                </c:pt>
                <c:pt idx="333">
                  <c:v>41.00275151502855</c:v>
                </c:pt>
                <c:pt idx="334">
                  <c:v>41.219525914895826</c:v>
                </c:pt>
                <c:pt idx="335">
                  <c:v>41.436331116859165</c:v>
                </c:pt>
                <c:pt idx="336">
                  <c:v>41.653158680389367</c:v>
                </c:pt>
                <c:pt idx="337">
                  <c:v>41.87000016842547</c:v>
                </c:pt>
                <c:pt idx="338">
                  <c:v>42.086847147430696</c:v>
                </c:pt>
                <c:pt idx="339">
                  <c:v>42.303691187445956</c:v>
                </c:pt>
                <c:pt idx="340">
                  <c:v>42.520523862140884</c:v>
                </c:pt>
                <c:pt idx="341">
                  <c:v>42.737336748862383</c:v>
                </c:pt>
                <c:pt idx="342">
                  <c:v>42.954121428680743</c:v>
                </c:pt>
                <c:pt idx="343">
                  <c:v>43.170869486433268</c:v>
                </c:pt>
                <c:pt idx="344">
                  <c:v>43.387572510765501</c:v>
                </c:pt>
                <c:pt idx="345">
                  <c:v>43.604222094169955</c:v>
                </c:pt>
                <c:pt idx="346">
                  <c:v>43.820809833022466</c:v>
                </c:pt>
                <c:pt idx="347">
                  <c:v>44.037327327616062</c:v>
                </c:pt>
                <c:pt idx="348">
                  <c:v>44.25376628194644</c:v>
                </c:pt>
                <c:pt idx="349">
                  <c:v>44.470118603497028</c:v>
                </c:pt>
                <c:pt idx="350">
                  <c:v>44.686376303400287</c:v>
                </c:pt>
                <c:pt idx="351">
                  <c:v>44.902531396592188</c:v>
                </c:pt>
                <c:pt idx="352">
                  <c:v>45.118575901829189</c:v>
                </c:pt>
                <c:pt idx="353">
                  <c:v>45.334501841703066</c:v>
                </c:pt>
                <c:pt idx="354">
                  <c:v>45.550301242653568</c:v>
                </c:pt>
                <c:pt idx="355">
                  <c:v>45.765966134978903</c:v>
                </c:pt>
                <c:pt idx="356">
                  <c:v>45.98148855284407</c:v>
                </c:pt>
                <c:pt idx="357">
                  <c:v>46.196860534287019</c:v>
                </c:pt>
                <c:pt idx="358">
                  <c:v>46.412074121222652</c:v>
                </c:pt>
                <c:pt idx="359">
                  <c:v>46.6271213594447</c:v>
                </c:pt>
                <c:pt idx="360">
                  <c:v>46.841996386593848</c:v>
                </c:pt>
                <c:pt idx="361">
                  <c:v>47.056697519954319</c:v>
                </c:pt>
                <c:pt idx="362">
                  <c:v>47.271225165897988</c:v>
                </c:pt>
                <c:pt idx="363">
                  <c:v>47.48557972950254</c:v>
                </c:pt>
                <c:pt idx="364">
                  <c:v>47.699761614557175</c:v>
                </c:pt>
                <c:pt idx="365">
                  <c:v>47.913771223568261</c:v>
                </c:pt>
                <c:pt idx="366">
                  <c:v>48.127608957764949</c:v>
                </c:pt>
                <c:pt idx="367">
                  <c:v>48.34127521710478</c:v>
                </c:pt>
                <c:pt idx="368">
                  <c:v>48.554770400279246</c:v>
                </c:pt>
                <c:pt idx="369">
                  <c:v>48.76809490471932</c:v>
                </c:pt>
                <c:pt idx="370">
                  <c:v>48.981249126600972</c:v>
                </c:pt>
                <c:pt idx="371">
                  <c:v>49.194233460850633</c:v>
                </c:pt>
                <c:pt idx="372">
                  <c:v>49.407048301150631</c:v>
                </c:pt>
                <c:pt idx="373">
                  <c:v>49.619694039944626</c:v>
                </c:pt>
                <c:pt idx="374">
                  <c:v>49.832171068442982</c:v>
                </c:pt>
                <c:pt idx="375">
                  <c:v>50.044479776628116</c:v>
                </c:pt>
                <c:pt idx="376">
                  <c:v>50.256620553259836</c:v>
                </c:pt>
                <c:pt idx="377">
                  <c:v>50.46859378588065</c:v>
                </c:pt>
                <c:pt idx="378">
                  <c:v>50.680399860821005</c:v>
                </c:pt>
                <c:pt idx="379">
                  <c:v>50.892039163204551</c:v>
                </c:pt>
                <c:pt idx="380">
                  <c:v>51.103512076953336</c:v>
                </c:pt>
                <c:pt idx="381">
                  <c:v>51.314818984793021</c:v>
                </c:pt>
                <c:pt idx="382">
                  <c:v>51.525960268258004</c:v>
                </c:pt>
                <c:pt idx="383">
                  <c:v>51.73693630769656</c:v>
                </c:pt>
                <c:pt idx="384">
                  <c:v>51.94774748227595</c:v>
                </c:pt>
                <c:pt idx="385">
                  <c:v>52.158394169987481</c:v>
                </c:pt>
                <c:pt idx="386">
                  <c:v>52.368876747651555</c:v>
                </c:pt>
                <c:pt idx="387">
                  <c:v>52.579195590922708</c:v>
                </c:pt>
                <c:pt idx="388">
                  <c:v>52.789351074294579</c:v>
                </c:pt>
                <c:pt idx="389">
                  <c:v>52.99934357110488</c:v>
                </c:pt>
                <c:pt idx="390">
                  <c:v>53.209173453540345</c:v>
                </c:pt>
                <c:pt idx="391">
                  <c:v>53.418841092641635</c:v>
                </c:pt>
                <c:pt idx="392">
                  <c:v>53.628346858308234</c:v>
                </c:pt>
                <c:pt idx="393">
                  <c:v>53.837691119303301</c:v>
                </c:pt>
                <c:pt idx="394">
                  <c:v>54.046874243258507</c:v>
                </c:pt>
                <c:pt idx="395">
                  <c:v>54.255896596678845</c:v>
                </c:pt>
                <c:pt idx="396">
                  <c:v>54.464758544947415</c:v>
                </c:pt>
                <c:pt idx="397">
                  <c:v>54.673460452330175</c:v>
                </c:pt>
                <c:pt idx="398">
                  <c:v>54.882002681980694</c:v>
                </c:pt>
                <c:pt idx="399">
                  <c:v>55.090385595944845</c:v>
                </c:pt>
                <c:pt idx="400">
                  <c:v>55.298609555165484</c:v>
                </c:pt>
                <c:pt idx="401">
                  <c:v>57.372134512097986</c:v>
                </c:pt>
                <c:pt idx="402">
                  <c:v>59.429995981978763</c:v>
                </c:pt>
                <c:pt idx="403">
                  <c:v>61.472544712615758</c:v>
                </c:pt>
                <c:pt idx="404">
                  <c:v>63.500121014959277</c:v>
                </c:pt>
                <c:pt idx="405">
                  <c:v>65.513055191147672</c:v>
                </c:pt>
                <c:pt idx="406">
                  <c:v>67.511667940844248</c:v>
                </c:pt>
                <c:pt idx="407">
                  <c:v>69.496270747183033</c:v>
                </c:pt>
                <c:pt idx="408">
                  <c:v>71.46716624354832</c:v>
                </c:pt>
                <c:pt idx="409">
                  <c:v>73.424648562327661</c:v>
                </c:pt>
                <c:pt idx="410">
                  <c:v>75.369003666699271</c:v>
                </c:pt>
                <c:pt idx="411">
                  <c:v>77.300509666442451</c:v>
                </c:pt>
                <c:pt idx="412">
                  <c:v>79.219437118692838</c:v>
                </c:pt>
                <c:pt idx="413">
                  <c:v>81.126049314502509</c:v>
                </c:pt>
                <c:pt idx="414">
                  <c:v>83.020602552008114</c:v>
                </c:pt>
                <c:pt idx="415">
                  <c:v>84.903346396957318</c:v>
                </c:pt>
                <c:pt idx="416">
                  <c:v>86.774523931295221</c:v>
                </c:pt>
                <c:pt idx="417">
                  <c:v>88.634371990467073</c:v>
                </c:pt>
                <c:pt idx="418">
                  <c:v>90.48312139005192</c:v>
                </c:pt>
                <c:pt idx="419">
                  <c:v>92.320997142302701</c:v>
                </c:pt>
                <c:pt idx="420">
                  <c:v>94.148218663132525</c:v>
                </c:pt>
                <c:pt idx="421">
                  <c:v>95.96499997005327</c:v>
                </c:pt>
                <c:pt idx="422">
                  <c:v>97.77154987154131</c:v>
                </c:pt>
                <c:pt idx="423">
                  <c:v>99.568072148276599</c:v>
                </c:pt>
                <c:pt idx="424">
                  <c:v>101.35476572667406</c:v>
                </c:pt>
                <c:pt idx="425">
                  <c:v>103.13182484510122</c:v>
                </c:pt>
                <c:pt idx="426">
                  <c:v>104.8994392131527</c:v>
                </c:pt>
                <c:pt idx="427">
                  <c:v>106.65779416433023</c:v>
                </c:pt>
                <c:pt idx="428">
                  <c:v>108.40707080245654</c:v>
                </c:pt>
                <c:pt idx="429">
                  <c:v>110.14744614213254</c:v>
                </c:pt>
                <c:pt idx="430">
                  <c:v>111.87909324352918</c:v>
                </c:pt>
                <c:pt idx="431">
                  <c:v>113.60218134178915</c:v>
                </c:pt>
                <c:pt idx="432">
                  <c:v>115.31687597129751</c:v>
                </c:pt>
                <c:pt idx="433">
                  <c:v>117.02333908506645</c:v>
                </c:pt>
                <c:pt idx="434">
                  <c:v>118.72172916946508</c:v>
                </c:pt>
                <c:pt idx="435">
                  <c:v>120.4122013545128</c:v>
                </c:pt>
                <c:pt idx="436">
                  <c:v>122.09490751994279</c:v>
                </c:pt>
                <c:pt idx="437">
                  <c:v>123.7699963972306</c:v>
                </c:pt>
                <c:pt idx="438">
                  <c:v>125.43761366777274</c:v>
                </c:pt>
                <c:pt idx="439">
                  <c:v>127.09790205738985</c:v>
                </c:pt>
                <c:pt idx="440">
                  <c:v>128.75100142731992</c:v>
                </c:pt>
                <c:pt idx="441">
                  <c:v>130.39704886185828</c:v>
                </c:pt>
                <c:pt idx="442">
                  <c:v>132.03617875279255</c:v>
                </c:pt>
                <c:pt idx="443">
                  <c:v>133.66852288077354</c:v>
                </c:pt>
                <c:pt idx="444">
                  <c:v>135.29421049375503</c:v>
                </c:pt>
                <c:pt idx="445">
                  <c:v>136.91336838262922</c:v>
                </c:pt>
                <c:pt idx="446">
                  <c:v>138.52612095417734</c:v>
                </c:pt>
                <c:pt idx="447">
                  <c:v>140.13259030144971</c:v>
                </c:pt>
                <c:pt idx="448">
                  <c:v>141.73289627168256</c:v>
                </c:pt>
                <c:pt idx="449">
                  <c:v>143.32715653185474</c:v>
                </c:pt>
                <c:pt idx="450">
                  <c:v>144.91548663198097</c:v>
                </c:pt>
                <c:pt idx="451">
                  <c:v>146.49800006623445</c:v>
                </c:pt>
                <c:pt idx="452">
                  <c:v>148.07480833198625</c:v>
                </c:pt>
                <c:pt idx="453">
                  <c:v>149.64602098684469</c:v>
                </c:pt>
                <c:pt idx="454">
                  <c:v>151.21174570377397</c:v>
                </c:pt>
                <c:pt idx="455">
                  <c:v>152.77208832436693</c:v>
                </c:pt>
                <c:pt idx="456">
                  <c:v>154.32715291034327</c:v>
                </c:pt>
                <c:pt idx="457">
                  <c:v>155.87704179334077</c:v>
                </c:pt>
                <c:pt idx="458">
                  <c:v>157.42185562306364</c:v>
                </c:pt>
                <c:pt idx="459">
                  <c:v>158.96169341384908</c:v>
                </c:pt>
                <c:pt idx="460">
                  <c:v>160.49665258970947</c:v>
                </c:pt>
                <c:pt idx="461">
                  <c:v>162.0268290279048</c:v>
                </c:pt>
                <c:pt idx="462">
                  <c:v>163.55231710109734</c:v>
                </c:pt>
                <c:pt idx="463">
                  <c:v>165.07320971813709</c:v>
                </c:pt>
                <c:pt idx="464">
                  <c:v>166.58959836352443</c:v>
                </c:pt>
                <c:pt idx="465">
                  <c:v>168.10157313559324</c:v>
                </c:pt>
                <c:pt idx="466">
                  <c:v>169.60922278345569</c:v>
                </c:pt>
                <c:pt idx="467">
                  <c:v>171.11263474274696</c:v>
                </c:pt>
                <c:pt idx="468">
                  <c:v>172.6118951702058</c:v>
                </c:pt>
                <c:pt idx="469">
                  <c:v>174.10708897712465</c:v>
                </c:pt>
                <c:pt idx="470">
                  <c:v>175.59829986170033</c:v>
                </c:pt>
                <c:pt idx="471">
                  <c:v>177.08561034031413</c:v>
                </c:pt>
                <c:pt idx="472">
                  <c:v>178.5691017777676</c:v>
                </c:pt>
                <c:pt idx="473">
                  <c:v>180.04885441649805</c:v>
                </c:pt>
                <c:pt idx="474">
                  <c:v>181.52494740479531</c:v>
                </c:pt>
                <c:pt idx="475">
                  <c:v>182.99745882403894</c:v>
                </c:pt>
                <c:pt idx="476">
                  <c:v>184.46646571497209</c:v>
                </c:pt>
                <c:pt idx="477">
                  <c:v>185.93204410302633</c:v>
                </c:pt>
                <c:pt idx="478">
                  <c:v>187.39426902270839</c:v>
                </c:pt>
                <c:pt idx="479">
                  <c:v>188.85321454105724</c:v>
                </c:pt>
                <c:pt idx="480">
                  <c:v>190.30895378017684</c:v>
                </c:pt>
                <c:pt idx="481">
                  <c:v>191.76155893884646</c:v>
                </c:pt>
                <c:pt idx="482">
                  <c:v>193.21110131320768</c:v>
                </c:pt>
                <c:pt idx="483">
                  <c:v>194.6576513165227</c:v>
                </c:pt>
                <c:pt idx="484">
                  <c:v>196.10127849799514</c:v>
                </c:pt>
                <c:pt idx="485">
                  <c:v>197.54205156063983</c:v>
                </c:pt>
                <c:pt idx="486">
                  <c:v>198.98003837818365</c:v>
                </c:pt>
                <c:pt idx="487">
                  <c:v>200.41530601097381</c:v>
                </c:pt>
                <c:pt idx="488">
                  <c:v>201.84792072086438</c:v>
                </c:pt>
                <c:pt idx="489">
                  <c:v>203.27794798504533</c:v>
                </c:pt>
                <c:pt idx="490">
                  <c:v>204.705452508771</c:v>
                </c:pt>
                <c:pt idx="491">
                  <c:v>206.13049823693689</c:v>
                </c:pt>
                <c:pt idx="492">
                  <c:v>207.5531483644443</c:v>
                </c:pt>
                <c:pt idx="493">
                  <c:v>208.97346534528211</c:v>
                </c:pt>
                <c:pt idx="494">
                  <c:v>210.39151090024325</c:v>
                </c:pt>
                <c:pt idx="495">
                  <c:v>211.80734602317986</c:v>
                </c:pt>
                <c:pt idx="496">
                  <c:v>213.22103098568618</c:v>
                </c:pt>
                <c:pt idx="497">
                  <c:v>214.63262534008066</c:v>
                </c:pt>
                <c:pt idx="498">
                  <c:v>216.04218792053885</c:v>
                </c:pt>
                <c:pt idx="499">
                  <c:v>217.44977684220609</c:v>
                </c:pt>
                <c:pt idx="500">
                  <c:v>218.85544949809307</c:v>
                </c:pt>
                <c:pt idx="501">
                  <c:v>220.25926255352678</c:v>
                </c:pt>
                <c:pt idx="502">
                  <c:v>221.6612719378962</c:v>
                </c:pt>
                <c:pt idx="503">
                  <c:v>223.06153283339174</c:v>
                </c:pt>
                <c:pt idx="504">
                  <c:v>224.46009966039333</c:v>
                </c:pt>
                <c:pt idx="505">
                  <c:v>225.85702605911075</c:v>
                </c:pt>
                <c:pt idx="506">
                  <c:v>227.25236486702107</c:v>
                </c:pt>
                <c:pt idx="507">
                  <c:v>228.64616809158292</c:v>
                </c:pt>
                <c:pt idx="508">
                  <c:v>230.03848687763306</c:v>
                </c:pt>
                <c:pt idx="509">
                  <c:v>231.42937146878916</c:v>
                </c:pt>
                <c:pt idx="510">
                  <c:v>232.81887116209245</c:v>
                </c:pt>
                <c:pt idx="511">
                  <c:v>234.2070342550289</c:v>
                </c:pt>
                <c:pt idx="512">
                  <c:v>235.59390798396717</c:v>
                </c:pt>
                <c:pt idx="513">
                  <c:v>236.97953845295379</c:v>
                </c:pt>
                <c:pt idx="514">
                  <c:v>238.36397055171633</c:v>
                </c:pt>
                <c:pt idx="515">
                  <c:v>239.74724786165638</c:v>
                </c:pt>
                <c:pt idx="516">
                  <c:v>241.12941254858305</c:v>
                </c:pt>
                <c:pt idx="517">
                  <c:v>242.51050524096931</c:v>
                </c:pt>
                <c:pt idx="518">
                  <c:v>243.89056489263908</c:v>
                </c:pt>
                <c:pt idx="519">
                  <c:v>245.26962862905754</c:v>
                </c:pt>
                <c:pt idx="520">
                  <c:v>246.64773157684891</c:v>
                </c:pt>
                <c:pt idx="521">
                  <c:v>248.02490667686209</c:v>
                </c:pt>
                <c:pt idx="522">
                  <c:v>249.4011844820977</c:v>
                </c:pt>
                <c:pt idx="523">
                  <c:v>250.77659294313139</c:v>
                </c:pt>
                <c:pt idx="524">
                  <c:v>252.15115718530973</c:v>
                </c:pt>
                <c:pt idx="525">
                  <c:v>253.52489928387553</c:v>
                </c:pt>
                <c:pt idx="526">
                  <c:v>254.89783804511859</c:v>
                </c:pt>
                <c:pt idx="527">
                  <c:v>256.26998880335776</c:v>
                </c:pt>
                <c:pt idx="528">
                  <c:v>257.64136324466284</c:v>
                </c:pt>
                <c:pt idx="529">
                  <c:v>259.01196926832495</c:v>
                </c:pt>
                <c:pt idx="530">
                  <c:v>260.38181089588608</c:v>
                </c:pt>
                <c:pt idx="531">
                  <c:v>261.75088823497191</c:v>
                </c:pt>
                <c:pt idx="532">
                  <c:v>263.11919750147626</c:v>
                </c:pt>
                <c:pt idx="533">
                  <c:v>264.48673109936328</c:v>
                </c:pt>
                <c:pt idx="534">
                  <c:v>265.85347775318655</c:v>
                </c:pt>
                <c:pt idx="535">
                  <c:v>267.21942268504762</c:v>
                </c:pt>
                <c:pt idx="536">
                  <c:v>268.58454782558539</c:v>
                </c:pt>
                <c:pt idx="537">
                  <c:v>269.94883204783793</c:v>
                </c:pt>
                <c:pt idx="538">
                  <c:v>271.312251413296</c:v>
                </c:pt>
                <c:pt idx="539">
                  <c:v>272.67477942082854</c:v>
                </c:pt>
                <c:pt idx="540">
                  <c:v>274.03638725100052</c:v>
                </c:pt>
                <c:pt idx="541">
                  <c:v>275.39704400026727</c:v>
                </c:pt>
                <c:pt idx="542">
                  <c:v>276.75671690136153</c:v>
                </c:pt>
                <c:pt idx="543">
                  <c:v>278.11537152774048</c:v>
                </c:pt>
                <c:pt idx="544">
                  <c:v>279.47297198117997</c:v>
                </c:pt>
                <c:pt idx="545">
                  <c:v>280.82948106249677</c:v>
                </c:pt>
                <c:pt idx="546">
                  <c:v>282.18486042598863</c:v>
                </c:pt>
                <c:pt idx="547">
                  <c:v>283.53907071856565</c:v>
                </c:pt>
                <c:pt idx="548">
                  <c:v>284.89207170475572</c:v>
                </c:pt>
                <c:pt idx="549">
                  <c:v>286.24382237885476</c:v>
                </c:pt>
                <c:pt idx="550">
                  <c:v>287.59428106549484</c:v>
                </c:pt>
                <c:pt idx="551">
                  <c:v>288.94340550985572</c:v>
                </c:pt>
                <c:pt idx="552">
                  <c:v>290.29115295866268</c:v>
                </c:pt>
                <c:pt idx="553">
                  <c:v>291.63748023301861</c:v>
                </c:pt>
                <c:pt idx="554">
                  <c:v>292.98234379401566</c:v>
                </c:pt>
                <c:pt idx="555">
                  <c:v>294.32569980197133</c:v>
                </c:pt>
                <c:pt idx="556">
                  <c:v>295.66750417003789</c:v>
                </c:pt>
                <c:pt idx="557">
                  <c:v>297.00771261284632</c:v>
                </c:pt>
                <c:pt idx="558">
                  <c:v>298.34628069076462</c:v>
                </c:pt>
                <c:pt idx="559">
                  <c:v>299.68316385027953</c:v>
                </c:pt>
                <c:pt idx="560">
                  <c:v>301.01831746094643</c:v>
                </c:pt>
                <c:pt idx="561">
                  <c:v>302.35169684929667</c:v>
                </c:pt>
                <c:pt idx="562">
                  <c:v>303.68325733004116</c:v>
                </c:pt>
                <c:pt idx="563">
                  <c:v>305.01295423486823</c:v>
                </c:pt>
                <c:pt idx="564">
                  <c:v>306.3407429390939</c:v>
                </c:pt>
                <c:pt idx="565">
                  <c:v>307.66657888639236</c:v>
                </c:pt>
                <c:pt idx="566">
                  <c:v>308.99041761180473</c:v>
                </c:pt>
                <c:pt idx="567">
                  <c:v>310.31221476320042</c:v>
                </c:pt>
                <c:pt idx="568">
                  <c:v>311.63192612134355</c:v>
                </c:pt>
                <c:pt idx="569">
                  <c:v>312.94950761869876</c:v>
                </c:pt>
                <c:pt idx="570">
                  <c:v>314.26491535709448</c:v>
                </c:pt>
                <c:pt idx="571">
                  <c:v>315.57810562434759</c:v>
                </c:pt>
                <c:pt idx="572">
                  <c:v>316.88903490994119</c:v>
                </c:pt>
                <c:pt idx="573">
                  <c:v>318.19765991983684</c:v>
                </c:pt>
                <c:pt idx="574">
                  <c:v>319.50393759049274</c:v>
                </c:pt>
                <c:pt idx="575">
                  <c:v>320.8078251021517</c:v>
                </c:pt>
                <c:pt idx="576">
                  <c:v>322.10927989145546</c:v>
                </c:pt>
                <c:pt idx="577">
                  <c:v>323.40825966343562</c:v>
                </c:pt>
                <c:pt idx="578">
                  <c:v>324.70472240292565</c:v>
                </c:pt>
                <c:pt idx="579">
                  <c:v>325.99862638543453</c:v>
                </c:pt>
                <c:pt idx="580">
                  <c:v>327.2899301875172</c:v>
                </c:pt>
                <c:pt idx="581">
                  <c:v>328.57859269667404</c:v>
                </c:pt>
                <c:pt idx="582">
                  <c:v>329.86457312080785</c:v>
                </c:pt>
                <c:pt idx="583">
                  <c:v>331.14783099726446</c:v>
                </c:pt>
                <c:pt idx="584">
                  <c:v>332.42832620147971</c:v>
                </c:pt>
                <c:pt idx="585">
                  <c:v>333.70601895525363</c:v>
                </c:pt>
                <c:pt idx="586">
                  <c:v>334.98086983467124</c:v>
                </c:pt>
                <c:pt idx="587">
                  <c:v>336.25283977768618</c:v>
                </c:pt>
                <c:pt idx="588">
                  <c:v>337.52189009138317</c:v>
                </c:pt>
                <c:pt idx="589">
                  <c:v>338.7879824589333</c:v>
                </c:pt>
                <c:pt idx="590">
                  <c:v>340.05107894625434</c:v>
                </c:pt>
                <c:pt idx="591">
                  <c:v>341.31114200838829</c:v>
                </c:pt>
                <c:pt idx="592">
                  <c:v>342.56813449560639</c:v>
                </c:pt>
                <c:pt idx="593">
                  <c:v>343.82201965925134</c:v>
                </c:pt>
                <c:pt idx="594">
                  <c:v>345.07276115732583</c:v>
                </c:pt>
                <c:pt idx="595">
                  <c:v>346.32032305983495</c:v>
                </c:pt>
                <c:pt idx="596">
                  <c:v>347.56466985389079</c:v>
                </c:pt>
                <c:pt idx="597">
                  <c:v>348.80576644858559</c:v>
                </c:pt>
                <c:pt idx="598">
                  <c:v>350.04357817963984</c:v>
                </c:pt>
                <c:pt idx="599">
                  <c:v>351.2780708138319</c:v>
                </c:pt>
                <c:pt idx="600">
                  <c:v>352.50921055321379</c:v>
                </c:pt>
                <c:pt idx="601">
                  <c:v>353.73696403911924</c:v>
                </c:pt>
                <c:pt idx="602">
                  <c:v>354.96129835596793</c:v>
                </c:pt>
                <c:pt idx="603">
                  <c:v>356.18218103487135</c:v>
                </c:pt>
                <c:pt idx="604">
                  <c:v>357.39958005704392</c:v>
                </c:pt>
                <c:pt idx="605">
                  <c:v>358.6134638570237</c:v>
                </c:pt>
                <c:pt idx="606">
                  <c:v>359.82380132570643</c:v>
                </c:pt>
                <c:pt idx="607">
                  <c:v>361.0305618131967</c:v>
                </c:pt>
                <c:pt idx="608">
                  <c:v>362.23371513147924</c:v>
                </c:pt>
                <c:pt idx="609">
                  <c:v>363.43323155691456</c:v>
                </c:pt>
                <c:pt idx="610">
                  <c:v>364.62908183256098</c:v>
                </c:pt>
                <c:pt idx="611">
                  <c:v>365.82123717032704</c:v>
                </c:pt>
                <c:pt idx="612">
                  <c:v>367.00966925295688</c:v>
                </c:pt>
                <c:pt idx="613">
                  <c:v>368.19435023585129</c:v>
                </c:pt>
                <c:pt idx="614">
                  <c:v>369.37525274872752</c:v>
                </c:pt>
                <c:pt idx="615">
                  <c:v>370.55234989712051</c:v>
                </c:pt>
                <c:pt idx="616">
                  <c:v>371.72561526372778</c:v>
                </c:pt>
                <c:pt idx="617">
                  <c:v>372.8950229096011</c:v>
                </c:pt>
                <c:pt idx="618">
                  <c:v>374.06054737518713</c:v>
                </c:pt>
                <c:pt idx="619">
                  <c:v>375.22216368121963</c:v>
                </c:pt>
                <c:pt idx="620">
                  <c:v>376.37984732946546</c:v>
                </c:pt>
                <c:pt idx="621">
                  <c:v>377.53357430332733</c:v>
                </c:pt>
                <c:pt idx="622">
                  <c:v>378.68332106830474</c:v>
                </c:pt>
                <c:pt idx="623">
                  <c:v>379.8290645723165</c:v>
                </c:pt>
                <c:pt idx="624">
                  <c:v>380.97078224588643</c:v>
                </c:pt>
                <c:pt idx="625">
                  <c:v>382.10845200219478</c:v>
                </c:pt>
                <c:pt idx="626">
                  <c:v>383.24205223699772</c:v>
                </c:pt>
                <c:pt idx="627">
                  <c:v>384.37156182841687</c:v>
                </c:pt>
                <c:pt idx="628">
                  <c:v>385.49696013660167</c:v>
                </c:pt>
                <c:pt idx="629">
                  <c:v>386.61822700326627</c:v>
                </c:pt>
                <c:pt idx="630">
                  <c:v>387.73534275110359</c:v>
                </c:pt>
                <c:pt idx="631">
                  <c:v>388.84828818307835</c:v>
                </c:pt>
                <c:pt idx="632">
                  <c:v>389.95704458160191</c:v>
                </c:pt>
                <c:pt idx="633">
                  <c:v>391.06159370759048</c:v>
                </c:pt>
                <c:pt idx="634">
                  <c:v>392.16191779940937</c:v>
                </c:pt>
                <c:pt idx="635">
                  <c:v>393.25799957170534</c:v>
                </c:pt>
                <c:pt idx="636">
                  <c:v>394.34982221412906</c:v>
                </c:pt>
                <c:pt idx="637">
                  <c:v>395.43736938995028</c:v>
                </c:pt>
                <c:pt idx="638">
                  <c:v>396.52062523456755</c:v>
                </c:pt>
                <c:pt idx="639">
                  <c:v>397.59957435391482</c:v>
                </c:pt>
                <c:pt idx="640">
                  <c:v>398.67420182276715</c:v>
                </c:pt>
                <c:pt idx="641">
                  <c:v>399.74449318294774</c:v>
                </c:pt>
                <c:pt idx="642">
                  <c:v>400.81043444143825</c:v>
                </c:pt>
                <c:pt idx="643">
                  <c:v>401.87201206839478</c:v>
                </c:pt>
                <c:pt idx="644">
                  <c:v>402.92921299507162</c:v>
                </c:pt>
                <c:pt idx="645">
                  <c:v>403.98202461165511</c:v>
                </c:pt>
                <c:pt idx="646">
                  <c:v>405.03043476500937</c:v>
                </c:pt>
                <c:pt idx="647">
                  <c:v>406.07443175633648</c:v>
                </c:pt>
                <c:pt idx="648">
                  <c:v>407.11400433875309</c:v>
                </c:pt>
                <c:pt idx="649">
                  <c:v>408.14914171478546</c:v>
                </c:pt>
                <c:pt idx="650">
                  <c:v>409.17983353378548</c:v>
                </c:pt>
                <c:pt idx="651">
                  <c:v>410.20606988926932</c:v>
                </c:pt>
                <c:pt idx="652">
                  <c:v>411.22784131618113</c:v>
                </c:pt>
                <c:pt idx="653">
                  <c:v>412.24513878808392</c:v>
                </c:pt>
                <c:pt idx="654">
                  <c:v>413.25795371427949</c:v>
                </c:pt>
                <c:pt idx="655">
                  <c:v>414.26627793685986</c:v>
                </c:pt>
                <c:pt idx="656">
                  <c:v>415.27010372769195</c:v>
                </c:pt>
                <c:pt idx="657">
                  <c:v>416.26942378533778</c:v>
                </c:pt>
                <c:pt idx="658">
                  <c:v>417.26423123191222</c:v>
                </c:pt>
                <c:pt idx="659">
                  <c:v>418.25451960988039</c:v>
                </c:pt>
                <c:pt idx="660">
                  <c:v>419.24028287879651</c:v>
                </c:pt>
                <c:pt idx="661">
                  <c:v>420.22151541198662</c:v>
                </c:pt>
                <c:pt idx="662">
                  <c:v>421.19821199317687</c:v>
                </c:pt>
                <c:pt idx="663">
                  <c:v>422.17036781306945</c:v>
                </c:pt>
                <c:pt idx="664">
                  <c:v>423.13797846586829</c:v>
                </c:pt>
                <c:pt idx="665">
                  <c:v>424.10103994575627</c:v>
                </c:pt>
                <c:pt idx="666">
                  <c:v>425.05954864332608</c:v>
                </c:pt>
                <c:pt idx="667">
                  <c:v>426.01350134196645</c:v>
                </c:pt>
                <c:pt idx="668">
                  <c:v>426.96289521420607</c:v>
                </c:pt>
                <c:pt idx="669">
                  <c:v>427.90772781801655</c:v>
                </c:pt>
                <c:pt idx="670">
                  <c:v>428.84799709307669</c:v>
                </c:pt>
                <c:pt idx="671">
                  <c:v>429.7837013569997</c:v>
                </c:pt>
                <c:pt idx="672">
                  <c:v>430.71483930152561</c:v>
                </c:pt>
                <c:pt idx="673">
                  <c:v>431.64140998868004</c:v>
                </c:pt>
                <c:pt idx="674">
                  <c:v>432.56341284690166</c:v>
                </c:pt>
                <c:pt idx="675">
                  <c:v>433.48084766713993</c:v>
                </c:pt>
                <c:pt idx="676">
                  <c:v>434.3937145989247</c:v>
                </c:pt>
                <c:pt idx="677">
                  <c:v>435.30201414640993</c:v>
                </c:pt>
                <c:pt idx="678">
                  <c:v>436.20574716439245</c:v>
                </c:pt>
                <c:pt idx="679">
                  <c:v>437.10491485430828</c:v>
                </c:pt>
                <c:pt idx="680">
                  <c:v>437.99951876020759</c:v>
                </c:pt>
                <c:pt idx="681">
                  <c:v>438.8895607647101</c:v>
                </c:pt>
                <c:pt idx="682">
                  <c:v>439.77504308494252</c:v>
                </c:pt>
                <c:pt idx="683">
                  <c:v>440.6559682684599</c:v>
                </c:pt>
                <c:pt idx="684">
                  <c:v>441.53233918915203</c:v>
                </c:pt>
                <c:pt idx="685">
                  <c:v>442.40415904313659</c:v>
                </c:pt>
                <c:pt idx="686">
                  <c:v>443.27143134464069</c:v>
                </c:pt>
                <c:pt idx="687">
                  <c:v>444.13415992187214</c:v>
                </c:pt>
                <c:pt idx="688">
                  <c:v>444.99234891288211</c:v>
                </c:pt>
                <c:pt idx="689">
                  <c:v>445.84600276142021</c:v>
                </c:pt>
                <c:pt idx="690">
                  <c:v>446.69512621278392</c:v>
                </c:pt>
                <c:pt idx="691">
                  <c:v>447.53972430966337</c:v>
                </c:pt>
                <c:pt idx="692">
                  <c:v>448.37980238798315</c:v>
                </c:pt>
                <c:pt idx="693">
                  <c:v>449.21536607274209</c:v>
                </c:pt>
                <c:pt idx="694">
                  <c:v>450.0464212738525</c:v>
                </c:pt>
                <c:pt idx="695">
                  <c:v>450.87297418198057</c:v>
                </c:pt>
                <c:pt idx="696">
                  <c:v>451.69503126438838</c:v>
                </c:pt>
                <c:pt idx="697">
                  <c:v>452.51259926077938</c:v>
                </c:pt>
                <c:pt idx="698">
                  <c:v>453.32568517914831</c:v>
                </c:pt>
                <c:pt idx="699">
                  <c:v>454.13429629163676</c:v>
                </c:pt>
                <c:pt idx="700">
                  <c:v>454.93844013039535</c:v>
                </c:pt>
                <c:pt idx="701">
                  <c:v>455.73812448345421</c:v>
                </c:pt>
                <c:pt idx="702">
                  <c:v>456.53335739060202</c:v>
                </c:pt>
                <c:pt idx="703">
                  <c:v>457.32414713927545</c:v>
                </c:pt>
                <c:pt idx="704">
                  <c:v>458.11050226045955</c:v>
                </c:pt>
                <c:pt idx="705">
                  <c:v>458.8924315246004</c:v>
                </c:pt>
                <c:pt idx="706">
                  <c:v>459.6699439375306</c:v>
                </c:pt>
                <c:pt idx="707">
                  <c:v>460.44304873640937</c:v>
                </c:pt>
                <c:pt idx="708">
                  <c:v>461.21175538567707</c:v>
                </c:pt>
                <c:pt idx="709">
                  <c:v>461.97607357302604</c:v>
                </c:pt>
                <c:pt idx="710">
                  <c:v>462.73601320538836</c:v>
                </c:pt>
                <c:pt idx="711">
                  <c:v>463.49158440494085</c:v>
                </c:pt>
                <c:pt idx="712">
                  <c:v>464.24279750512898</c:v>
                </c:pt>
                <c:pt idx="713">
                  <c:v>464.98966304671001</c:v>
                </c:pt>
                <c:pt idx="714">
                  <c:v>465.73219177381611</c:v>
                </c:pt>
                <c:pt idx="715">
                  <c:v>466.47039463003864</c:v>
                </c:pt>
                <c:pt idx="716">
                  <c:v>467.20428275453378</c:v>
                </c:pt>
                <c:pt idx="717">
                  <c:v>467.93386747815055</c:v>
                </c:pt>
                <c:pt idx="718">
                  <c:v>468.65916031958193</c:v>
                </c:pt>
                <c:pt idx="719">
                  <c:v>468.65916031958193</c:v>
                </c:pt>
                <c:pt idx="720">
                  <c:v>468.65916031958193</c:v>
                </c:pt>
                <c:pt idx="721">
                  <c:v>468.65916031958193</c:v>
                </c:pt>
                <c:pt idx="722">
                  <c:v>468.65916031958193</c:v>
                </c:pt>
                <c:pt idx="723">
                  <c:v>468.65916031958193</c:v>
                </c:pt>
                <c:pt idx="724">
                  <c:v>468.65916031958193</c:v>
                </c:pt>
                <c:pt idx="725">
                  <c:v>468.65916031958193</c:v>
                </c:pt>
                <c:pt idx="726">
                  <c:v>468.65916031958193</c:v>
                </c:pt>
                <c:pt idx="727">
                  <c:v>468.65916031958193</c:v>
                </c:pt>
                <c:pt idx="728">
                  <c:v>468.65916031958193</c:v>
                </c:pt>
                <c:pt idx="729">
                  <c:v>468.65916031958193</c:v>
                </c:pt>
                <c:pt idx="730">
                  <c:v>468.65916031958193</c:v>
                </c:pt>
                <c:pt idx="731">
                  <c:v>468.65916031958193</c:v>
                </c:pt>
                <c:pt idx="732">
                  <c:v>468.65916031958193</c:v>
                </c:pt>
                <c:pt idx="733">
                  <c:v>468.65916031958193</c:v>
                </c:pt>
                <c:pt idx="734">
                  <c:v>468.65916031958193</c:v>
                </c:pt>
                <c:pt idx="735">
                  <c:v>468.65916031958193</c:v>
                </c:pt>
                <c:pt idx="736">
                  <c:v>468.65916031958193</c:v>
                </c:pt>
                <c:pt idx="737">
                  <c:v>468.65916031958193</c:v>
                </c:pt>
                <c:pt idx="738">
                  <c:v>468.65916031958193</c:v>
                </c:pt>
                <c:pt idx="739">
                  <c:v>468.65916031958193</c:v>
                </c:pt>
                <c:pt idx="740">
                  <c:v>468.65916031958193</c:v>
                </c:pt>
                <c:pt idx="741">
                  <c:v>468.65916031958193</c:v>
                </c:pt>
                <c:pt idx="742">
                  <c:v>468.65916031958193</c:v>
                </c:pt>
                <c:pt idx="743">
                  <c:v>468.65916031958193</c:v>
                </c:pt>
                <c:pt idx="744">
                  <c:v>468.65916031958193</c:v>
                </c:pt>
                <c:pt idx="745">
                  <c:v>468.65916031958193</c:v>
                </c:pt>
                <c:pt idx="746">
                  <c:v>468.65916031958193</c:v>
                </c:pt>
                <c:pt idx="747">
                  <c:v>468.65916031958193</c:v>
                </c:pt>
                <c:pt idx="748">
                  <c:v>468.65916031958193</c:v>
                </c:pt>
                <c:pt idx="749">
                  <c:v>468.65916031958193</c:v>
                </c:pt>
                <c:pt idx="750">
                  <c:v>468.65916031958193</c:v>
                </c:pt>
                <c:pt idx="751">
                  <c:v>468.65916031958193</c:v>
                </c:pt>
                <c:pt idx="752">
                  <c:v>468.65916031958193</c:v>
                </c:pt>
                <c:pt idx="753">
                  <c:v>468.65916031958193</c:v>
                </c:pt>
                <c:pt idx="754">
                  <c:v>468.65916031958193</c:v>
                </c:pt>
                <c:pt idx="755">
                  <c:v>468.65916031958193</c:v>
                </c:pt>
                <c:pt idx="756">
                  <c:v>468.65916031958193</c:v>
                </c:pt>
                <c:pt idx="757">
                  <c:v>468.65916031958193</c:v>
                </c:pt>
                <c:pt idx="758">
                  <c:v>468.65916031958193</c:v>
                </c:pt>
                <c:pt idx="759">
                  <c:v>468.65916031958193</c:v>
                </c:pt>
                <c:pt idx="760">
                  <c:v>468.65916031958193</c:v>
                </c:pt>
                <c:pt idx="761">
                  <c:v>468.65916031958193</c:v>
                </c:pt>
                <c:pt idx="762">
                  <c:v>468.65916031958193</c:v>
                </c:pt>
                <c:pt idx="763">
                  <c:v>468.65916031958193</c:v>
                </c:pt>
                <c:pt idx="764">
                  <c:v>468.65916031958193</c:v>
                </c:pt>
                <c:pt idx="765">
                  <c:v>468.65916031958193</c:v>
                </c:pt>
                <c:pt idx="766">
                  <c:v>468.65916031958193</c:v>
                </c:pt>
                <c:pt idx="767">
                  <c:v>468.65916031958193</c:v>
                </c:pt>
                <c:pt idx="768">
                  <c:v>468.65916031958193</c:v>
                </c:pt>
                <c:pt idx="769">
                  <c:v>468.65916031958193</c:v>
                </c:pt>
                <c:pt idx="770">
                  <c:v>468.65916031958193</c:v>
                </c:pt>
                <c:pt idx="771">
                  <c:v>468.65916031958193</c:v>
                </c:pt>
                <c:pt idx="772">
                  <c:v>468.65916031958193</c:v>
                </c:pt>
                <c:pt idx="773">
                  <c:v>468.65916031958193</c:v>
                </c:pt>
                <c:pt idx="774">
                  <c:v>468.65916031958193</c:v>
                </c:pt>
                <c:pt idx="775">
                  <c:v>468.65916031958193</c:v>
                </c:pt>
                <c:pt idx="776">
                  <c:v>468.65916031958193</c:v>
                </c:pt>
                <c:pt idx="777">
                  <c:v>468.65916031958193</c:v>
                </c:pt>
                <c:pt idx="778">
                  <c:v>468.65916031958193</c:v>
                </c:pt>
                <c:pt idx="779">
                  <c:v>468.65916031958193</c:v>
                </c:pt>
                <c:pt idx="780">
                  <c:v>468.65916031958193</c:v>
                </c:pt>
                <c:pt idx="781">
                  <c:v>468.65916031958193</c:v>
                </c:pt>
                <c:pt idx="782">
                  <c:v>468.65916031958193</c:v>
                </c:pt>
                <c:pt idx="783">
                  <c:v>468.65916031958193</c:v>
                </c:pt>
                <c:pt idx="784">
                  <c:v>468.65916031958193</c:v>
                </c:pt>
                <c:pt idx="785">
                  <c:v>468.65916031958193</c:v>
                </c:pt>
                <c:pt idx="786">
                  <c:v>468.65916031958193</c:v>
                </c:pt>
                <c:pt idx="787">
                  <c:v>468.65916031958193</c:v>
                </c:pt>
                <c:pt idx="788">
                  <c:v>468.65916031958193</c:v>
                </c:pt>
                <c:pt idx="789">
                  <c:v>468.65916031958193</c:v>
                </c:pt>
                <c:pt idx="790">
                  <c:v>468.65916031958193</c:v>
                </c:pt>
                <c:pt idx="791">
                  <c:v>468.65916031958193</c:v>
                </c:pt>
                <c:pt idx="792">
                  <c:v>468.65916031958193</c:v>
                </c:pt>
                <c:pt idx="793">
                  <c:v>468.65916031958193</c:v>
                </c:pt>
                <c:pt idx="794">
                  <c:v>468.65916031958193</c:v>
                </c:pt>
                <c:pt idx="795">
                  <c:v>468.65916031958193</c:v>
                </c:pt>
                <c:pt idx="796">
                  <c:v>468.65916031958193</c:v>
                </c:pt>
                <c:pt idx="797">
                  <c:v>468.65916031958193</c:v>
                </c:pt>
                <c:pt idx="798">
                  <c:v>468.65916031958193</c:v>
                </c:pt>
                <c:pt idx="799">
                  <c:v>468.65916031958193</c:v>
                </c:pt>
                <c:pt idx="800">
                  <c:v>468.65916031958193</c:v>
                </c:pt>
                <c:pt idx="801">
                  <c:v>468.65916031958193</c:v>
                </c:pt>
                <c:pt idx="802">
                  <c:v>468.65916031958193</c:v>
                </c:pt>
                <c:pt idx="803">
                  <c:v>468.65916031958193</c:v>
                </c:pt>
                <c:pt idx="804">
                  <c:v>468.65916031958193</c:v>
                </c:pt>
                <c:pt idx="805">
                  <c:v>468.65916031958193</c:v>
                </c:pt>
                <c:pt idx="806">
                  <c:v>468.65916031958193</c:v>
                </c:pt>
                <c:pt idx="807">
                  <c:v>468.65916031958193</c:v>
                </c:pt>
                <c:pt idx="808">
                  <c:v>468.65916031958193</c:v>
                </c:pt>
                <c:pt idx="809">
                  <c:v>468.65916031958193</c:v>
                </c:pt>
                <c:pt idx="810">
                  <c:v>468.65916031958193</c:v>
                </c:pt>
                <c:pt idx="811">
                  <c:v>468.65916031958193</c:v>
                </c:pt>
                <c:pt idx="812">
                  <c:v>468.65916031958193</c:v>
                </c:pt>
                <c:pt idx="813">
                  <c:v>468.65916031958193</c:v>
                </c:pt>
                <c:pt idx="814">
                  <c:v>468.65916031958193</c:v>
                </c:pt>
                <c:pt idx="815">
                  <c:v>468.65916031958193</c:v>
                </c:pt>
                <c:pt idx="816">
                  <c:v>468.65916031958193</c:v>
                </c:pt>
                <c:pt idx="817">
                  <c:v>468.65916031958193</c:v>
                </c:pt>
                <c:pt idx="818">
                  <c:v>468.65916031958193</c:v>
                </c:pt>
                <c:pt idx="819">
                  <c:v>468.65916031958193</c:v>
                </c:pt>
                <c:pt idx="820">
                  <c:v>468.65916031958193</c:v>
                </c:pt>
                <c:pt idx="821">
                  <c:v>468.65916031958193</c:v>
                </c:pt>
                <c:pt idx="822">
                  <c:v>468.65916031958193</c:v>
                </c:pt>
                <c:pt idx="823">
                  <c:v>468.65916031958193</c:v>
                </c:pt>
                <c:pt idx="824">
                  <c:v>468.65916031958193</c:v>
                </c:pt>
                <c:pt idx="825">
                  <c:v>468.65916031958193</c:v>
                </c:pt>
                <c:pt idx="826">
                  <c:v>468.65916031958193</c:v>
                </c:pt>
                <c:pt idx="827">
                  <c:v>468.65916031958193</c:v>
                </c:pt>
                <c:pt idx="828">
                  <c:v>468.65916031958193</c:v>
                </c:pt>
                <c:pt idx="829">
                  <c:v>468.65916031958193</c:v>
                </c:pt>
                <c:pt idx="830">
                  <c:v>468.65916031958193</c:v>
                </c:pt>
                <c:pt idx="831">
                  <c:v>468.65916031958193</c:v>
                </c:pt>
                <c:pt idx="832">
                  <c:v>468.65916031958193</c:v>
                </c:pt>
                <c:pt idx="833">
                  <c:v>468.65916031958193</c:v>
                </c:pt>
                <c:pt idx="834">
                  <c:v>468.65916031958193</c:v>
                </c:pt>
                <c:pt idx="835">
                  <c:v>468.65916031958193</c:v>
                </c:pt>
                <c:pt idx="836">
                  <c:v>468.65916031958193</c:v>
                </c:pt>
                <c:pt idx="837">
                  <c:v>468.65916031958193</c:v>
                </c:pt>
                <c:pt idx="838">
                  <c:v>468.65916031958193</c:v>
                </c:pt>
                <c:pt idx="839">
                  <c:v>468.65916031958193</c:v>
                </c:pt>
                <c:pt idx="840">
                  <c:v>468.65916031958193</c:v>
                </c:pt>
                <c:pt idx="841">
                  <c:v>468.65916031958193</c:v>
                </c:pt>
                <c:pt idx="842">
                  <c:v>468.65916031958193</c:v>
                </c:pt>
                <c:pt idx="843">
                  <c:v>468.65916031958193</c:v>
                </c:pt>
                <c:pt idx="844">
                  <c:v>468.65916031958193</c:v>
                </c:pt>
                <c:pt idx="845">
                  <c:v>468.65916031958193</c:v>
                </c:pt>
                <c:pt idx="846">
                  <c:v>468.65916031958193</c:v>
                </c:pt>
                <c:pt idx="847">
                  <c:v>468.65916031958193</c:v>
                </c:pt>
                <c:pt idx="848">
                  <c:v>468.65916031958193</c:v>
                </c:pt>
                <c:pt idx="849">
                  <c:v>468.65916031958193</c:v>
                </c:pt>
                <c:pt idx="850">
                  <c:v>468.65916031958193</c:v>
                </c:pt>
                <c:pt idx="851">
                  <c:v>468.65916031958193</c:v>
                </c:pt>
                <c:pt idx="852">
                  <c:v>468.65916031958193</c:v>
                </c:pt>
                <c:pt idx="853">
                  <c:v>468.65916031958193</c:v>
                </c:pt>
                <c:pt idx="854">
                  <c:v>468.65916031958193</c:v>
                </c:pt>
                <c:pt idx="855">
                  <c:v>468.65916031958193</c:v>
                </c:pt>
                <c:pt idx="856">
                  <c:v>468.65916031958193</c:v>
                </c:pt>
                <c:pt idx="857">
                  <c:v>468.65916031958193</c:v>
                </c:pt>
                <c:pt idx="858">
                  <c:v>468.65916031958193</c:v>
                </c:pt>
                <c:pt idx="859">
                  <c:v>468.65916031958193</c:v>
                </c:pt>
                <c:pt idx="860">
                  <c:v>468.65916031958193</c:v>
                </c:pt>
                <c:pt idx="861">
                  <c:v>468.65916031958193</c:v>
                </c:pt>
                <c:pt idx="862">
                  <c:v>468.65916031958193</c:v>
                </c:pt>
                <c:pt idx="863">
                  <c:v>468.65916031958193</c:v>
                </c:pt>
                <c:pt idx="864">
                  <c:v>468.65916031958193</c:v>
                </c:pt>
                <c:pt idx="865">
                  <c:v>468.65916031958193</c:v>
                </c:pt>
                <c:pt idx="866">
                  <c:v>468.65916031958193</c:v>
                </c:pt>
                <c:pt idx="867">
                  <c:v>468.65916031958193</c:v>
                </c:pt>
                <c:pt idx="868">
                  <c:v>468.65916031958193</c:v>
                </c:pt>
                <c:pt idx="869">
                  <c:v>468.65916031958193</c:v>
                </c:pt>
                <c:pt idx="870">
                  <c:v>468.65916031958193</c:v>
                </c:pt>
                <c:pt idx="871">
                  <c:v>468.65916031958193</c:v>
                </c:pt>
                <c:pt idx="872">
                  <c:v>468.65916031958193</c:v>
                </c:pt>
                <c:pt idx="873">
                  <c:v>468.65916031958193</c:v>
                </c:pt>
                <c:pt idx="874">
                  <c:v>468.65916031958193</c:v>
                </c:pt>
                <c:pt idx="875">
                  <c:v>468.65916031958193</c:v>
                </c:pt>
                <c:pt idx="876">
                  <c:v>468.65916031958193</c:v>
                </c:pt>
                <c:pt idx="877">
                  <c:v>468.65916031958193</c:v>
                </c:pt>
                <c:pt idx="878">
                  <c:v>468.65916031958193</c:v>
                </c:pt>
                <c:pt idx="879">
                  <c:v>468.65916031958193</c:v>
                </c:pt>
                <c:pt idx="880">
                  <c:v>468.65916031958193</c:v>
                </c:pt>
                <c:pt idx="881">
                  <c:v>468.65916031958193</c:v>
                </c:pt>
                <c:pt idx="882">
                  <c:v>468.65916031958193</c:v>
                </c:pt>
                <c:pt idx="883">
                  <c:v>468.65916031958193</c:v>
                </c:pt>
                <c:pt idx="884">
                  <c:v>468.65916031958193</c:v>
                </c:pt>
                <c:pt idx="885">
                  <c:v>468.65916031958193</c:v>
                </c:pt>
                <c:pt idx="886">
                  <c:v>468.65916031958193</c:v>
                </c:pt>
                <c:pt idx="887">
                  <c:v>468.65916031958193</c:v>
                </c:pt>
                <c:pt idx="888">
                  <c:v>468.65916031958193</c:v>
                </c:pt>
                <c:pt idx="889">
                  <c:v>468.65916031958193</c:v>
                </c:pt>
                <c:pt idx="890">
                  <c:v>468.65916031958193</c:v>
                </c:pt>
                <c:pt idx="891">
                  <c:v>468.65916031958193</c:v>
                </c:pt>
                <c:pt idx="892">
                  <c:v>468.65916031958193</c:v>
                </c:pt>
                <c:pt idx="893">
                  <c:v>468.65916031958193</c:v>
                </c:pt>
                <c:pt idx="894">
                  <c:v>468.65916031958193</c:v>
                </c:pt>
                <c:pt idx="895">
                  <c:v>468.65916031958193</c:v>
                </c:pt>
                <c:pt idx="896">
                  <c:v>468.65916031958193</c:v>
                </c:pt>
                <c:pt idx="897">
                  <c:v>468.65916031958193</c:v>
                </c:pt>
                <c:pt idx="898">
                  <c:v>468.65916031958193</c:v>
                </c:pt>
                <c:pt idx="899">
                  <c:v>468.65916031958193</c:v>
                </c:pt>
                <c:pt idx="900">
                  <c:v>468.65916031958193</c:v>
                </c:pt>
                <c:pt idx="901">
                  <c:v>468.65916031958193</c:v>
                </c:pt>
                <c:pt idx="902">
                  <c:v>468.65916031958193</c:v>
                </c:pt>
                <c:pt idx="903">
                  <c:v>468.65916031958193</c:v>
                </c:pt>
                <c:pt idx="904">
                  <c:v>468.65916031958193</c:v>
                </c:pt>
                <c:pt idx="905">
                  <c:v>468.65916031958193</c:v>
                </c:pt>
                <c:pt idx="906">
                  <c:v>468.65916031958193</c:v>
                </c:pt>
                <c:pt idx="907">
                  <c:v>468.65916031958193</c:v>
                </c:pt>
                <c:pt idx="908">
                  <c:v>468.65916031958193</c:v>
                </c:pt>
                <c:pt idx="909">
                  <c:v>468.65916031958193</c:v>
                </c:pt>
                <c:pt idx="910">
                  <c:v>468.65916031958193</c:v>
                </c:pt>
                <c:pt idx="911">
                  <c:v>468.65916031958193</c:v>
                </c:pt>
                <c:pt idx="912">
                  <c:v>468.65916031958193</c:v>
                </c:pt>
                <c:pt idx="913">
                  <c:v>468.65916031958193</c:v>
                </c:pt>
                <c:pt idx="914">
                  <c:v>468.65916031958193</c:v>
                </c:pt>
                <c:pt idx="915">
                  <c:v>468.65916031958193</c:v>
                </c:pt>
                <c:pt idx="916">
                  <c:v>468.65916031958193</c:v>
                </c:pt>
                <c:pt idx="917">
                  <c:v>468.65916031958193</c:v>
                </c:pt>
                <c:pt idx="918">
                  <c:v>468.65916031958193</c:v>
                </c:pt>
                <c:pt idx="919">
                  <c:v>468.65916031958193</c:v>
                </c:pt>
                <c:pt idx="920">
                  <c:v>468.65916031958193</c:v>
                </c:pt>
                <c:pt idx="921">
                  <c:v>468.65916031958193</c:v>
                </c:pt>
                <c:pt idx="922">
                  <c:v>468.65916031958193</c:v>
                </c:pt>
                <c:pt idx="923">
                  <c:v>468.65916031958193</c:v>
                </c:pt>
                <c:pt idx="924">
                  <c:v>468.65916031958193</c:v>
                </c:pt>
                <c:pt idx="925">
                  <c:v>468.65916031958193</c:v>
                </c:pt>
                <c:pt idx="926">
                  <c:v>468.65916031958193</c:v>
                </c:pt>
                <c:pt idx="927">
                  <c:v>468.65916031958193</c:v>
                </c:pt>
                <c:pt idx="928">
                  <c:v>468.65916031958193</c:v>
                </c:pt>
                <c:pt idx="929">
                  <c:v>468.65916031958193</c:v>
                </c:pt>
                <c:pt idx="930">
                  <c:v>468.65916031958193</c:v>
                </c:pt>
                <c:pt idx="931">
                  <c:v>468.65916031958193</c:v>
                </c:pt>
                <c:pt idx="932">
                  <c:v>468.65916031958193</c:v>
                </c:pt>
                <c:pt idx="933">
                  <c:v>468.65916031958193</c:v>
                </c:pt>
                <c:pt idx="934">
                  <c:v>468.65916031958193</c:v>
                </c:pt>
                <c:pt idx="935">
                  <c:v>468.65916031958193</c:v>
                </c:pt>
                <c:pt idx="936">
                  <c:v>468.65916031958193</c:v>
                </c:pt>
                <c:pt idx="937">
                  <c:v>468.65916031958193</c:v>
                </c:pt>
                <c:pt idx="938">
                  <c:v>468.65916031958193</c:v>
                </c:pt>
                <c:pt idx="939">
                  <c:v>468.65916031958193</c:v>
                </c:pt>
                <c:pt idx="940">
                  <c:v>468.65916031958193</c:v>
                </c:pt>
                <c:pt idx="941">
                  <c:v>468.65916031958193</c:v>
                </c:pt>
                <c:pt idx="942">
                  <c:v>468.65916031958193</c:v>
                </c:pt>
                <c:pt idx="943">
                  <c:v>468.65916031958193</c:v>
                </c:pt>
                <c:pt idx="944">
                  <c:v>468.65916031958193</c:v>
                </c:pt>
                <c:pt idx="945">
                  <c:v>468.65916031958193</c:v>
                </c:pt>
                <c:pt idx="946">
                  <c:v>468.65916031958193</c:v>
                </c:pt>
                <c:pt idx="947">
                  <c:v>468.65916031958193</c:v>
                </c:pt>
                <c:pt idx="948">
                  <c:v>468.65916031958193</c:v>
                </c:pt>
                <c:pt idx="949">
                  <c:v>468.65916031958193</c:v>
                </c:pt>
                <c:pt idx="950">
                  <c:v>468.65916031958193</c:v>
                </c:pt>
                <c:pt idx="951">
                  <c:v>468.65916031958193</c:v>
                </c:pt>
                <c:pt idx="952">
                  <c:v>468.65916031958193</c:v>
                </c:pt>
                <c:pt idx="953">
                  <c:v>468.65916031958193</c:v>
                </c:pt>
                <c:pt idx="954">
                  <c:v>468.65916031958193</c:v>
                </c:pt>
                <c:pt idx="955">
                  <c:v>468.65916031958193</c:v>
                </c:pt>
                <c:pt idx="956">
                  <c:v>468.65916031958193</c:v>
                </c:pt>
                <c:pt idx="957">
                  <c:v>468.65916031958193</c:v>
                </c:pt>
                <c:pt idx="958">
                  <c:v>468.65916031958193</c:v>
                </c:pt>
                <c:pt idx="959">
                  <c:v>468.65916031958193</c:v>
                </c:pt>
                <c:pt idx="960">
                  <c:v>468.65916031958193</c:v>
                </c:pt>
                <c:pt idx="961">
                  <c:v>468.65916031958193</c:v>
                </c:pt>
                <c:pt idx="962">
                  <c:v>468.65916031958193</c:v>
                </c:pt>
                <c:pt idx="963">
                  <c:v>468.65916031958193</c:v>
                </c:pt>
                <c:pt idx="964">
                  <c:v>468.65916031958193</c:v>
                </c:pt>
                <c:pt idx="965">
                  <c:v>468.65916031958193</c:v>
                </c:pt>
                <c:pt idx="966">
                  <c:v>468.65916031958193</c:v>
                </c:pt>
                <c:pt idx="967">
                  <c:v>468.65916031958193</c:v>
                </c:pt>
                <c:pt idx="968">
                  <c:v>468.65916031958193</c:v>
                </c:pt>
                <c:pt idx="969">
                  <c:v>468.65916031958193</c:v>
                </c:pt>
                <c:pt idx="970">
                  <c:v>468.65916031958193</c:v>
                </c:pt>
                <c:pt idx="971">
                  <c:v>468.65916031958193</c:v>
                </c:pt>
                <c:pt idx="972">
                  <c:v>468.65916031958193</c:v>
                </c:pt>
                <c:pt idx="973">
                  <c:v>468.65916031958193</c:v>
                </c:pt>
                <c:pt idx="974">
                  <c:v>468.65916031958193</c:v>
                </c:pt>
                <c:pt idx="975">
                  <c:v>468.65916031958193</c:v>
                </c:pt>
                <c:pt idx="976">
                  <c:v>468.65916031958193</c:v>
                </c:pt>
                <c:pt idx="977">
                  <c:v>468.65916031958193</c:v>
                </c:pt>
                <c:pt idx="978">
                  <c:v>468.65916031958193</c:v>
                </c:pt>
                <c:pt idx="979">
                  <c:v>468.65916031958193</c:v>
                </c:pt>
                <c:pt idx="980">
                  <c:v>468.65916031958193</c:v>
                </c:pt>
                <c:pt idx="981">
                  <c:v>468.65916031958193</c:v>
                </c:pt>
                <c:pt idx="982">
                  <c:v>468.65916031958193</c:v>
                </c:pt>
                <c:pt idx="983">
                  <c:v>468.65916031958193</c:v>
                </c:pt>
                <c:pt idx="984">
                  <c:v>468.65916031958193</c:v>
                </c:pt>
                <c:pt idx="985">
                  <c:v>468.65916031958193</c:v>
                </c:pt>
                <c:pt idx="986">
                  <c:v>468.65916031958193</c:v>
                </c:pt>
                <c:pt idx="987">
                  <c:v>468.65916031958193</c:v>
                </c:pt>
                <c:pt idx="988">
                  <c:v>468.65916031958193</c:v>
                </c:pt>
                <c:pt idx="989">
                  <c:v>468.65916031958193</c:v>
                </c:pt>
                <c:pt idx="990">
                  <c:v>468.65916031958193</c:v>
                </c:pt>
                <c:pt idx="991">
                  <c:v>468.65916031958193</c:v>
                </c:pt>
                <c:pt idx="992">
                  <c:v>468.65916031958193</c:v>
                </c:pt>
                <c:pt idx="993">
                  <c:v>468.65916031958193</c:v>
                </c:pt>
                <c:pt idx="994">
                  <c:v>468.65916031958193</c:v>
                </c:pt>
                <c:pt idx="995">
                  <c:v>468.65916031958193</c:v>
                </c:pt>
                <c:pt idx="996">
                  <c:v>468.65916031958193</c:v>
                </c:pt>
                <c:pt idx="997">
                  <c:v>468.65916031958193</c:v>
                </c:pt>
                <c:pt idx="998">
                  <c:v>468.65916031958193</c:v>
                </c:pt>
                <c:pt idx="999">
                  <c:v>468.65916031958193</c:v>
                </c:pt>
                <c:pt idx="1000">
                  <c:v>468.65916031958193</c:v>
                </c:pt>
              </c:numCache>
            </c:numRef>
          </c:xVal>
          <c:yVal>
            <c:numRef>
              <c:f>Calculs!$AE$4:$AE$1004</c:f>
              <c:numCache>
                <c:formatCode>0</c:formatCode>
                <c:ptCount val="1001"/>
                <c:pt idx="0">
                  <c:v>0</c:v>
                </c:pt>
                <c:pt idx="1">
                  <c:v>6.8158011024989312E-6</c:v>
                </c:pt>
                <c:pt idx="2">
                  <c:v>1.0146639636617392E-3</c:v>
                </c:pt>
                <c:pt idx="3">
                  <c:v>4.9988855250675431E-3</c:v>
                </c:pt>
                <c:pt idx="4">
                  <c:v>1.3936191054571544E-2</c:v>
                </c:pt>
                <c:pt idx="5">
                  <c:v>2.9805237587798149E-2</c:v>
                </c:pt>
                <c:pt idx="6">
                  <c:v>5.4086653680871032E-2</c:v>
                </c:pt>
                <c:pt idx="7">
                  <c:v>8.7261849014639709E-2</c:v>
                </c:pt>
                <c:pt idx="8">
                  <c:v>0.12931211141550331</c:v>
                </c:pt>
                <c:pt idx="9">
                  <c:v>0.18021863305817598</c:v>
                </c:pt>
                <c:pt idx="10">
                  <c:v>0.23996251081243741</c:v>
                </c:pt>
                <c:pt idx="11">
                  <c:v>0.30852474659351542</c:v>
                </c:pt>
                <c:pt idx="12">
                  <c:v>0.38588624771607272</c:v>
                </c:pt>
                <c:pt idx="13">
                  <c:v>0.47202782725176878</c:v>
                </c:pt>
                <c:pt idx="14">
                  <c:v>0.56693020439036834</c:v>
                </c:pt>
                <c:pt idx="15">
                  <c:v>0.67057400480436691</c:v>
                </c:pt>
                <c:pt idx="16">
                  <c:v>0.78293976101710383</c:v>
                </c:pt>
                <c:pt idx="17">
                  <c:v>0.9040079127743329</c:v>
                </c:pt>
                <c:pt idx="18">
                  <c:v>1.033758807419221</c:v>
                </c:pt>
                <c:pt idx="19">
                  <c:v>1.1721727002707432</c:v>
                </c:pt>
                <c:pt idx="20">
                  <c:v>1.3192297550054444</c:v>
                </c:pt>
                <c:pt idx="21">
                  <c:v>1.4749100440425362</c:v>
                </c:pt>
                <c:pt idx="22">
                  <c:v>1.6391935489322984</c:v>
                </c:pt>
                <c:pt idx="23">
                  <c:v>1.8120601607477511</c:v>
                </c:pt>
                <c:pt idx="24">
                  <c:v>1.9934896804795699</c:v>
                </c:pt>
                <c:pt idx="25">
                  <c:v>2.1834618194342066</c:v>
                </c:pt>
                <c:pt idx="26">
                  <c:v>2.3819561996351881</c:v>
                </c:pt>
                <c:pt idx="27">
                  <c:v>2.5889523542275579</c:v>
                </c:pt>
                <c:pt idx="28">
                  <c:v>2.8044297278854273</c:v>
                </c:pt>
                <c:pt idx="29">
                  <c:v>3.0283676772226049</c:v>
                </c:pt>
                <c:pt idx="30">
                  <c:v>3.26074547120627</c:v>
                </c:pt>
                <c:pt idx="31">
                  <c:v>3.5015422915736552</c:v>
                </c:pt>
                <c:pt idx="32">
                  <c:v>3.7507372332517055</c:v>
                </c:pt>
                <c:pt idx="33">
                  <c:v>4.0083093047796812</c:v>
                </c:pt>
                <c:pt idx="34">
                  <c:v>4.2742337010814717</c:v>
                </c:pt>
                <c:pt idx="35">
                  <c:v>4.5484854049669261</c:v>
                </c:pt>
                <c:pt idx="36">
                  <c:v>4.8310429168443738</c:v>
                </c:pt>
                <c:pt idx="37">
                  <c:v>5.1218846574311359</c:v>
                </c:pt>
                <c:pt idx="38">
                  <c:v>5.4209889697491516</c:v>
                </c:pt>
                <c:pt idx="39">
                  <c:v>5.7283341192522652</c:v>
                </c:pt>
                <c:pt idx="40">
                  <c:v>6.0438982939804093</c:v>
                </c:pt>
                <c:pt idx="41">
                  <c:v>6.3676596047381508</c:v>
                </c:pt>
                <c:pt idx="42">
                  <c:v>6.6995960852954006</c:v>
                </c:pt>
                <c:pt idx="43">
                  <c:v>7.0396856926083373</c:v>
                </c:pt>
                <c:pt idx="44">
                  <c:v>7.3879063070588487</c:v>
                </c:pt>
                <c:pt idx="45">
                  <c:v>7.744235732710953</c:v>
                </c:pt>
                <c:pt idx="46">
                  <c:v>8.1086516975828804</c:v>
                </c:pt>
                <c:pt idx="47">
                  <c:v>8.48113185393359</c:v>
                </c:pt>
                <c:pt idx="48">
                  <c:v>8.861653778562669</c:v>
                </c:pt>
                <c:pt idx="49">
                  <c:v>9.2501949731226407</c:v>
                </c:pt>
                <c:pt idx="50">
                  <c:v>9.6467328644428214</c:v>
                </c:pt>
                <c:pt idx="51">
                  <c:v>10.05124743837848</c:v>
                </c:pt>
                <c:pt idx="52">
                  <c:v>10.463723877355719</c:v>
                </c:pt>
                <c:pt idx="53">
                  <c:v>10.884149932220319</c:v>
                </c:pt>
                <c:pt idx="54">
                  <c:v>11.312513290285395</c:v>
                </c:pt>
                <c:pt idx="55">
                  <c:v>11.748801575453523</c:v>
                </c:pt>
                <c:pt idx="56">
                  <c:v>12.193002348346042</c:v>
                </c:pt>
                <c:pt idx="57">
                  <c:v>12.645103106439137</c:v>
                </c:pt>
                <c:pt idx="58">
                  <c:v>13.105091284206402</c:v>
                </c:pt>
                <c:pt idx="59">
                  <c:v>13.572954253267554</c:v>
                </c:pt>
                <c:pt idx="60">
                  <c:v>14.048679322543032</c:v>
                </c:pt>
                <c:pt idx="61">
                  <c:v>14.532253738414216</c:v>
                </c:pt>
                <c:pt idx="62">
                  <c:v>15.02366468488902</c:v>
                </c:pt>
                <c:pt idx="63">
                  <c:v>15.522899283772656</c:v>
                </c:pt>
                <c:pt idx="64">
                  <c:v>16.029944594843336</c:v>
                </c:pt>
                <c:pt idx="65">
                  <c:v>16.544787616032753</c:v>
                </c:pt>
                <c:pt idx="66">
                  <c:v>17.067415283611115</c:v>
                </c:pt>
                <c:pt idx="67">
                  <c:v>17.597814472376633</c:v>
                </c:pt>
                <c:pt idx="68">
                  <c:v>18.135971995849228</c:v>
                </c:pt>
                <c:pt idx="69">
                  <c:v>18.681874606468387</c:v>
                </c:pt>
                <c:pt idx="70">
                  <c:v>19.235508995794969</c:v>
                </c:pt>
                <c:pt idx="71">
                  <c:v>19.796861794716875</c:v>
                </c:pt>
                <c:pt idx="72">
                  <c:v>20.365919573658445</c:v>
                </c:pt>
                <c:pt idx="73">
                  <c:v>20.942668842793459</c:v>
                </c:pt>
                <c:pt idx="74">
                  <c:v>21.527096052261648</c:v>
                </c:pt>
                <c:pt idx="75">
                  <c:v>22.119187592388609</c:v>
                </c:pt>
                <c:pt idx="76">
                  <c:v>22.718929793909041</c:v>
                </c:pt>
                <c:pt idx="77">
                  <c:v>23.326308928193164</c:v>
                </c:pt>
                <c:pt idx="78">
                  <c:v>23.9413112074763</c:v>
                </c:pt>
                <c:pt idx="79">
                  <c:v>24.563922785091489</c:v>
                </c:pt>
                <c:pt idx="80">
                  <c:v>25.194129755705056</c:v>
                </c:pt>
                <c:pt idx="81">
                  <c:v>25.831918155555105</c:v>
                </c:pt>
                <c:pt idx="82">
                  <c:v>26.477273962692802</c:v>
                </c:pt>
                <c:pt idx="83">
                  <c:v>27.130183097226418</c:v>
                </c:pt>
                <c:pt idx="84">
                  <c:v>27.790631421568072</c:v>
                </c:pt>
                <c:pt idx="85">
                  <c:v>28.458604740683079</c:v>
                </c:pt>
                <c:pt idx="86">
                  <c:v>29.134088802341861</c:v>
                </c:pt>
                <c:pt idx="87">
                  <c:v>29.817069297374378</c:v>
                </c:pt>
                <c:pt idx="88">
                  <c:v>30.507531859926988</c:v>
                </c:pt>
                <c:pt idx="89">
                  <c:v>31.205462067721704</c:v>
                </c:pt>
                <c:pt idx="90">
                  <c:v>31.910845442317793</c:v>
                </c:pt>
                <c:pt idx="91">
                  <c:v>32.62366744937566</c:v>
                </c:pt>
                <c:pt idx="92">
                  <c:v>33.343913498922987</c:v>
                </c:pt>
                <c:pt idx="93">
                  <c:v>34.071568945623035</c:v>
                </c:pt>
                <c:pt idx="94">
                  <c:v>34.806619089045121</c:v>
                </c:pt>
                <c:pt idx="95">
                  <c:v>35.549049173937171</c:v>
                </c:pt>
                <c:pt idx="96">
                  <c:v>36.298844390500363</c:v>
                </c:pt>
                <c:pt idx="97">
                  <c:v>37.055989874665741</c:v>
                </c:pt>
                <c:pt idx="98">
                  <c:v>37.820470708372845</c:v>
                </c:pt>
                <c:pt idx="99">
                  <c:v>38.592271919850226</c:v>
                </c:pt>
                <c:pt idx="100">
                  <c:v>39.371378483897907</c:v>
                </c:pt>
                <c:pt idx="101">
                  <c:v>40.157774108690624</c:v>
                </c:pt>
                <c:pt idx="102">
                  <c:v>40.951440021396799</c:v>
                </c:pt>
                <c:pt idx="103">
                  <c:v>41.752356180623842</c:v>
                </c:pt>
                <c:pt idx="104">
                  <c:v>42.560502490107623</c:v>
                </c:pt>
                <c:pt idx="105">
                  <c:v>43.375858799116223</c:v>
                </c:pt>
                <c:pt idx="106">
                  <c:v>44.198404902855216</c:v>
                </c:pt>
                <c:pt idx="107">
                  <c:v>45.028120542874383</c:v>
                </c:pt>
                <c:pt idx="108">
                  <c:v>45.864985407475821</c:v>
                </c:pt>
                <c:pt idx="109">
                  <c:v>46.708979132123432</c:v>
                </c:pt>
                <c:pt idx="110">
                  <c:v>47.560081299853721</c:v>
                </c:pt>
                <c:pt idx="111">
                  <c:v>48.418271441687864</c:v>
                </c:pt>
                <c:pt idx="112">
                  <c:v>49.283529037044985</c:v>
                </c:pt>
                <c:pt idx="113">
                  <c:v>50.15583351415669</c:v>
                </c:pt>
                <c:pt idx="114">
                  <c:v>51.035164250482659</c:v>
                </c:pt>
                <c:pt idx="115">
                  <c:v>51.921500573127425</c:v>
                </c:pt>
                <c:pt idx="116">
                  <c:v>52.81482175925818</c:v>
                </c:pt>
                <c:pt idx="117">
                  <c:v>53.715107036523605</c:v>
                </c:pt>
                <c:pt idx="118">
                  <c:v>54.622335583473728</c:v>
                </c:pt>
                <c:pt idx="119">
                  <c:v>55.536486529980699</c:v>
                </c:pt>
                <c:pt idx="120">
                  <c:v>56.457538957660475</c:v>
                </c:pt>
                <c:pt idx="121">
                  <c:v>57.385471900295421</c:v>
                </c:pt>
                <c:pt idx="122">
                  <c:v>58.320264344257701</c:v>
                </c:pt>
                <c:pt idx="123">
                  <c:v>59.261895228933511</c:v>
                </c:pt>
                <c:pt idx="124">
                  <c:v>60.210343447148048</c:v>
                </c:pt>
                <c:pt idx="125">
                  <c:v>61.165587845591219</c:v>
                </c:pt>
                <c:pt idx="126">
                  <c:v>62.127607225244056</c:v>
                </c:pt>
                <c:pt idx="127">
                  <c:v>63.096380341805776</c:v>
                </c:pt>
                <c:pt idx="128">
                  <c:v>64.071885906121452</c:v>
                </c:pt>
                <c:pt idx="129">
                  <c:v>65.054102584610291</c:v>
                </c:pt>
                <c:pt idx="130">
                  <c:v>66.043008999694493</c:v>
                </c:pt>
                <c:pt idx="131">
                  <c:v>67.038583730228552</c:v>
                </c:pt>
                <c:pt idx="132">
                  <c:v>68.04080531192912</c:v>
                </c:pt>
                <c:pt idx="133">
                  <c:v>69.04965223780529</c:v>
                </c:pt>
                <c:pt idx="134">
                  <c:v>70.065102958589293</c:v>
                </c:pt>
                <c:pt idx="135">
                  <c:v>71.087135883167605</c:v>
                </c:pt>
                <c:pt idx="136">
                  <c:v>72.115729379012379</c:v>
                </c:pt>
                <c:pt idx="137">
                  <c:v>73.15086177261324</c:v>
                </c:pt>
                <c:pt idx="138">
                  <c:v>74.192511349909296</c:v>
                </c:pt>
                <c:pt idx="139">
                  <c:v>75.24065635672153</c:v>
                </c:pt>
                <c:pt idx="140">
                  <c:v>76.295274999185267</c:v>
                </c:pt>
                <c:pt idx="141">
                  <c:v>77.356345444182949</c:v>
                </c:pt>
                <c:pt idx="142">
                  <c:v>78.423845819777057</c:v>
                </c:pt>
                <c:pt idx="143">
                  <c:v>79.497754215643084</c:v>
                </c:pt>
                <c:pt idx="144">
                  <c:v>80.578048683502743</c:v>
                </c:pt>
                <c:pt idx="145">
                  <c:v>81.664707237557124</c:v>
                </c:pt>
                <c:pt idx="146">
                  <c:v>82.757707854919971</c:v>
                </c:pt>
                <c:pt idx="147">
                  <c:v>83.857028476050957</c:v>
                </c:pt>
                <c:pt idx="148">
                  <c:v>84.962647005188884</c:v>
                </c:pt>
                <c:pt idx="149">
                  <c:v>86.074541310784923</c:v>
                </c:pt>
                <c:pt idx="150">
                  <c:v>87.192689225935709</c:v>
                </c:pt>
                <c:pt idx="151">
                  <c:v>88.317068961453813</c:v>
                </c:pt>
                <c:pt idx="152">
                  <c:v>89.447659519146569</c:v>
                </c:pt>
                <c:pt idx="153">
                  <c:v>90.584440279702392</c:v>
                </c:pt>
                <c:pt idx="154">
                  <c:v>91.72739059035041</c:v>
                </c:pt>
                <c:pt idx="155">
                  <c:v>92.876489765256835</c:v>
                </c:pt>
                <c:pt idx="156">
                  <c:v>94.031717085921301</c:v>
                </c:pt>
                <c:pt idx="157">
                  <c:v>95.193051801573034</c:v>
                </c:pt>
                <c:pt idx="158">
                  <c:v>96.360473129566984</c:v>
                </c:pt>
                <c:pt idx="159">
                  <c:v>97.533960255779689</c:v>
                </c:pt>
                <c:pt idx="160">
                  <c:v>98.713492335005057</c:v>
                </c:pt>
                <c:pt idx="161">
                  <c:v>99.899048491349888</c:v>
                </c:pt>
                <c:pt idx="162">
                  <c:v>101.09060781862915</c:v>
                </c:pt>
                <c:pt idx="163">
                  <c:v>102.28814938076106</c:v>
                </c:pt>
                <c:pt idx="164">
                  <c:v>103.49165221216182</c:v>
                </c:pt>
                <c:pt idx="165">
                  <c:v>104.70109531814016</c:v>
                </c:pt>
                <c:pt idx="166">
                  <c:v>105.91645767529138</c:v>
                </c:pt>
                <c:pt idx="167">
                  <c:v>107.13771823189123</c:v>
                </c:pt>
                <c:pt idx="168">
                  <c:v>108.36485590828927</c:v>
                </c:pt>
                <c:pt idx="169">
                  <c:v>109.59784959730196</c:v>
                </c:pt>
                <c:pt idx="170">
                  <c:v>110.83667816460523</c:v>
                </c:pt>
                <c:pt idx="171">
                  <c:v>112.08132044912669</c:v>
                </c:pt>
                <c:pt idx="172">
                  <c:v>113.33175526343732</c:v>
                </c:pt>
                <c:pt idx="173">
                  <c:v>114.58796139414265</c:v>
                </c:pt>
                <c:pt idx="174">
                  <c:v>115.84991760227362</c:v>
                </c:pt>
                <c:pt idx="175">
                  <c:v>117.11760262367662</c:v>
                </c:pt>
                <c:pt idx="176">
                  <c:v>118.3909951694032</c:v>
                </c:pt>
                <c:pt idx="177">
                  <c:v>119.67007392609918</c:v>
                </c:pt>
                <c:pt idx="178">
                  <c:v>120.95481755639308</c:v>
                </c:pt>
                <c:pt idx="179">
                  <c:v>122.24520469928399</c:v>
                </c:pt>
                <c:pt idx="180">
                  <c:v>123.5412139705288</c:v>
                </c:pt>
                <c:pt idx="181">
                  <c:v>124.84282396302883</c:v>
                </c:pt>
                <c:pt idx="182">
                  <c:v>126.15001324721565</c:v>
                </c:pt>
                <c:pt idx="183">
                  <c:v>127.46276037143636</c:v>
                </c:pt>
                <c:pt idx="184">
                  <c:v>128.78104386233801</c:v>
                </c:pt>
                <c:pt idx="185">
                  <c:v>130.10484222525142</c:v>
                </c:pt>
                <c:pt idx="186">
                  <c:v>131.43413394457409</c:v>
                </c:pt>
                <c:pt idx="187">
                  <c:v>132.76889748415255</c:v>
                </c:pt>
                <c:pt idx="188">
                  <c:v>134.10911128766364</c:v>
                </c:pt>
                <c:pt idx="189">
                  <c:v>135.45475377899521</c:v>
                </c:pt>
                <c:pt idx="190">
                  <c:v>136.80580336262588</c:v>
                </c:pt>
                <c:pt idx="191">
                  <c:v>138.16223842400396</c:v>
                </c:pt>
                <c:pt idx="192">
                  <c:v>139.52403732992548</c:v>
                </c:pt>
                <c:pt idx="193">
                  <c:v>140.89117842891139</c:v>
                </c:pt>
                <c:pt idx="194">
                  <c:v>142.26364005158376</c:v>
                </c:pt>
                <c:pt idx="195">
                  <c:v>143.64140051104121</c:v>
                </c:pt>
                <c:pt idx="196">
                  <c:v>145.02443810323317</c:v>
                </c:pt>
                <c:pt idx="197">
                  <c:v>146.41273110733334</c:v>
                </c:pt>
                <c:pt idx="198">
                  <c:v>147.80625778611221</c:v>
                </c:pt>
                <c:pt idx="199">
                  <c:v>149.20499638630838</c:v>
                </c:pt>
                <c:pt idx="200">
                  <c:v>150.6089251389991</c:v>
                </c:pt>
                <c:pt idx="201">
                  <c:v>152.01802225996957</c:v>
                </c:pt>
                <c:pt idx="202">
                  <c:v>153.43226595008136</c:v>
                </c:pt>
                <c:pt idx="203">
                  <c:v>154.85163439563968</c:v>
                </c:pt>
                <c:pt idx="204">
                  <c:v>156.27610576875958</c:v>
                </c:pt>
                <c:pt idx="205">
                  <c:v>157.70565822773102</c:v>
                </c:pt>
                <c:pt idx="206">
                  <c:v>159.14026991738291</c:v>
                </c:pt>
                <c:pt idx="207">
                  <c:v>160.57991896944594</c:v>
                </c:pt>
                <c:pt idx="208">
                  <c:v>162.02458350291434</c:v>
                </c:pt>
                <c:pt idx="209">
                  <c:v>163.47424162440635</c:v>
                </c:pt>
                <c:pt idx="210">
                  <c:v>164.92887142852368</c:v>
                </c:pt>
                <c:pt idx="211">
                  <c:v>166.38845099820966</c:v>
                </c:pt>
                <c:pt idx="212">
                  <c:v>167.85295840510622</c:v>
                </c:pt>
                <c:pt idx="213">
                  <c:v>169.3223717099097</c:v>
                </c:pt>
                <c:pt idx="214">
                  <c:v>170.79666896272528</c:v>
                </c:pt>
                <c:pt idx="215">
                  <c:v>172.2758282034203</c:v>
                </c:pt>
                <c:pt idx="216">
                  <c:v>173.7598274619763</c:v>
                </c:pt>
                <c:pt idx="217">
                  <c:v>175.24864475883973</c:v>
                </c:pt>
                <c:pt idx="218">
                  <c:v>176.74225810527133</c:v>
                </c:pt>
                <c:pt idx="219">
                  <c:v>178.24064550369437</c:v>
                </c:pt>
                <c:pt idx="220">
                  <c:v>179.74378494804134</c:v>
                </c:pt>
                <c:pt idx="221">
                  <c:v>181.25165442409954</c:v>
                </c:pt>
                <c:pt idx="222">
                  <c:v>182.76423190985514</c:v>
                </c:pt>
                <c:pt idx="223">
                  <c:v>184.28149537583602</c:v>
                </c:pt>
                <c:pt idx="224">
                  <c:v>185.80342278545308</c:v>
                </c:pt>
                <c:pt idx="225">
                  <c:v>187.32999209534034</c:v>
                </c:pt>
                <c:pt idx="226">
                  <c:v>188.86118125569359</c:v>
                </c:pt>
                <c:pt idx="227">
                  <c:v>190.39696821060747</c:v>
                </c:pt>
                <c:pt idx="228">
                  <c:v>191.9373308984114</c:v>
                </c:pt>
                <c:pt idx="229">
                  <c:v>193.4822472520039</c:v>
                </c:pt>
                <c:pt idx="230">
                  <c:v>195.03169519918549</c:v>
                </c:pt>
                <c:pt idx="231">
                  <c:v>196.58565266299019</c:v>
                </c:pt>
                <c:pt idx="232">
                  <c:v>198.1440975620155</c:v>
                </c:pt>
                <c:pt idx="233">
                  <c:v>199.70700781075089</c:v>
                </c:pt>
                <c:pt idx="234">
                  <c:v>201.27436131990493</c:v>
                </c:pt>
                <c:pt idx="235">
                  <c:v>202.84613599673071</c:v>
                </c:pt>
                <c:pt idx="236">
                  <c:v>204.42230974534996</c:v>
                </c:pt>
                <c:pt idx="237">
                  <c:v>206.00286046707552</c:v>
                </c:pt>
                <c:pt idx="238">
                  <c:v>207.58776606073229</c:v>
                </c:pt>
                <c:pt idx="239">
                  <c:v>209.17700442297672</c:v>
                </c:pt>
                <c:pt idx="240">
                  <c:v>210.77055344861469</c:v>
                </c:pt>
                <c:pt idx="241">
                  <c:v>212.36839103091785</c:v>
                </c:pt>
                <c:pt idx="242">
                  <c:v>213.97049506193829</c:v>
                </c:pt>
                <c:pt idx="243">
                  <c:v>215.5768434328219</c:v>
                </c:pt>
                <c:pt idx="244">
                  <c:v>217.18741403411985</c:v>
                </c:pt>
                <c:pt idx="245">
                  <c:v>218.80218475609863</c:v>
                </c:pt>
                <c:pt idx="246">
                  <c:v>220.4211334890484</c:v>
                </c:pt>
                <c:pt idx="247">
                  <c:v>222.04423812358991</c:v>
                </c:pt>
                <c:pt idx="248">
                  <c:v>223.67147655097952</c:v>
                </c:pt>
                <c:pt idx="249">
                  <c:v>225.3028266634129</c:v>
                </c:pt>
                <c:pt idx="250">
                  <c:v>226.93826635432683</c:v>
                </c:pt>
                <c:pt idx="251">
                  <c:v>228.5777717415167</c:v>
                </c:pt>
                <c:pt idx="252">
                  <c:v>230.22131539081062</c:v>
                </c:pt>
                <c:pt idx="253">
                  <c:v>231.86886809579477</c:v>
                </c:pt>
                <c:pt idx="254">
                  <c:v>233.52040065703846</c:v>
                </c:pt>
                <c:pt idx="255">
                  <c:v>235.17588388250601</c:v>
                </c:pt>
                <c:pt idx="256">
                  <c:v>236.83528858796566</c:v>
                </c:pt>
                <c:pt idx="257">
                  <c:v>238.49858559739559</c:v>
                </c:pt>
                <c:pt idx="258">
                  <c:v>240.16574574338713</c:v>
                </c:pt>
                <c:pt idx="259">
                  <c:v>241.83673986754496</c:v>
                </c:pt>
                <c:pt idx="260">
                  <c:v>243.51153882088445</c:v>
                </c:pt>
                <c:pt idx="261">
                  <c:v>245.1901134642261</c:v>
                </c:pt>
                <c:pt idx="262">
                  <c:v>246.872434668587</c:v>
                </c:pt>
                <c:pt idx="263">
                  <c:v>248.55847331556933</c:v>
                </c:pt>
                <c:pt idx="264">
                  <c:v>250.248200297746</c:v>
                </c:pt>
                <c:pt idx="265">
                  <c:v>251.94158651904334</c:v>
                </c:pt>
                <c:pt idx="266">
                  <c:v>253.63860289512073</c:v>
                </c:pt>
                <c:pt idx="267">
                  <c:v>255.33922035374735</c:v>
                </c:pt>
                <c:pt idx="268">
                  <c:v>257.04340983517602</c:v>
                </c:pt>
                <c:pt idx="269">
                  <c:v>258.75114229251386</c:v>
                </c:pt>
                <c:pt idx="270">
                  <c:v>260.4623886920902</c:v>
                </c:pt>
                <c:pt idx="271">
                  <c:v>262.17712001382142</c:v>
                </c:pt>
                <c:pt idx="272">
                  <c:v>263.89530725157283</c:v>
                </c:pt>
                <c:pt idx="273">
                  <c:v>265.6169214135175</c:v>
                </c:pt>
                <c:pt idx="274">
                  <c:v>267.34193352249207</c:v>
                </c:pt>
                <c:pt idx="275">
                  <c:v>269.07031461634972</c:v>
                </c:pt>
                <c:pt idx="276">
                  <c:v>270.80203574831006</c:v>
                </c:pt>
                <c:pt idx="277">
                  <c:v>272.53706798730587</c:v>
                </c:pt>
                <c:pt idx="278">
                  <c:v>274.27538241832718</c:v>
                </c:pt>
                <c:pt idx="279">
                  <c:v>276.01695014276197</c:v>
                </c:pt>
                <c:pt idx="280">
                  <c:v>277.76174227873406</c:v>
                </c:pt>
                <c:pt idx="281">
                  <c:v>279.50972996143804</c:v>
                </c:pt>
                <c:pt idx="282">
                  <c:v>281.26088434347099</c:v>
                </c:pt>
                <c:pt idx="283">
                  <c:v>283.01517659516134</c:v>
                </c:pt>
                <c:pt idx="284">
                  <c:v>284.77257790489472</c:v>
                </c:pt>
                <c:pt idx="285">
                  <c:v>286.53305947943676</c:v>
                </c:pt>
                <c:pt idx="286">
                  <c:v>288.29659254425275</c:v>
                </c:pt>
                <c:pt idx="287">
                  <c:v>290.06314834382448</c:v>
                </c:pt>
                <c:pt idx="288">
                  <c:v>291.8326981419641</c:v>
                </c:pt>
                <c:pt idx="289">
                  <c:v>293.60521322212463</c:v>
                </c:pt>
                <c:pt idx="290">
                  <c:v>295.38066488770789</c:v>
                </c:pt>
                <c:pt idx="291">
                  <c:v>297.15902446236902</c:v>
                </c:pt>
                <c:pt idx="292">
                  <c:v>298.94026329031823</c:v>
                </c:pt>
                <c:pt idx="293">
                  <c:v>300.72435273661966</c:v>
                </c:pt>
                <c:pt idx="294">
                  <c:v>302.5112641874868</c:v>
                </c:pt>
                <c:pt idx="295">
                  <c:v>304.30096905057525</c:v>
                </c:pt>
                <c:pt idx="296">
                  <c:v>306.09343875527242</c:v>
                </c:pt>
                <c:pt idx="297">
                  <c:v>307.88864475298419</c:v>
                </c:pt>
                <c:pt idx="298">
                  <c:v>309.68653902881954</c:v>
                </c:pt>
                <c:pt idx="299">
                  <c:v>311.48703462730384</c:v>
                </c:pt>
                <c:pt idx="300">
                  <c:v>313.29002517959941</c:v>
                </c:pt>
                <c:pt idx="301">
                  <c:v>315.0954044176608</c:v>
                </c:pt>
                <c:pt idx="302">
                  <c:v>316.90306617642699</c:v>
                </c:pt>
                <c:pt idx="303">
                  <c:v>318.71290439597681</c:v>
                </c:pt>
                <c:pt idx="304">
                  <c:v>320.52481312364716</c:v>
                </c:pt>
                <c:pt idx="305">
                  <c:v>322.33868651611465</c:v>
                </c:pt>
                <c:pt idx="306">
                  <c:v>324.15441884143996</c:v>
                </c:pt>
                <c:pt idx="307">
                  <c:v>325.97190448107568</c:v>
                </c:pt>
                <c:pt idx="308">
                  <c:v>327.7910379318372</c:v>
                </c:pt>
                <c:pt idx="309">
                  <c:v>329.61171380783691</c:v>
                </c:pt>
                <c:pt idx="310">
                  <c:v>331.43382684238179</c:v>
                </c:pt>
                <c:pt idx="311">
                  <c:v>333.25727188983433</c:v>
                </c:pt>
                <c:pt idx="312">
                  <c:v>335.08194392743701</c:v>
                </c:pt>
                <c:pt idx="313">
                  <c:v>336.90773805710018</c:v>
                </c:pt>
                <c:pt idx="314">
                  <c:v>338.73454950715393</c:v>
                </c:pt>
                <c:pt idx="315">
                  <c:v>340.56227363406327</c:v>
                </c:pt>
                <c:pt idx="316">
                  <c:v>342.39080592410761</c:v>
                </c:pt>
                <c:pt idx="317">
                  <c:v>344.22004199502368</c:v>
                </c:pt>
                <c:pt idx="318">
                  <c:v>346.04987759761303</c:v>
                </c:pt>
                <c:pt idx="319">
                  <c:v>347.88020861731331</c:v>
                </c:pt>
                <c:pt idx="320">
                  <c:v>349.71093107573398</c:v>
                </c:pt>
                <c:pt idx="321">
                  <c:v>351.54194887936637</c:v>
                </c:pt>
                <c:pt idx="322">
                  <c:v>353.3731815586504</c:v>
                </c:pt>
                <c:pt idx="323">
                  <c:v>355.20455650078401</c:v>
                </c:pt>
                <c:pt idx="324">
                  <c:v>357.03600119173421</c:v>
                </c:pt>
                <c:pt idx="325">
                  <c:v>358.86744321686359</c:v>
                </c:pt>
                <c:pt idx="326">
                  <c:v>360.69881026154013</c:v>
                </c:pt>
                <c:pt idx="327">
                  <c:v>362.53003011172962</c:v>
                </c:pt>
                <c:pt idx="328">
                  <c:v>364.36103065457144</c:v>
                </c:pt>
                <c:pt idx="329">
                  <c:v>366.19173987893748</c:v>
                </c:pt>
                <c:pt idx="330">
                  <c:v>368.02208587597414</c:v>
                </c:pt>
                <c:pt idx="331">
                  <c:v>369.85199683962787</c:v>
                </c:pt>
                <c:pt idx="332">
                  <c:v>371.68140106715418</c:v>
                </c:pt>
                <c:pt idx="333">
                  <c:v>373.51022695960978</c:v>
                </c:pt>
                <c:pt idx="334">
                  <c:v>375.33840302232892</c:v>
                </c:pt>
                <c:pt idx="335">
                  <c:v>377.16585786538303</c:v>
                </c:pt>
                <c:pt idx="336">
                  <c:v>378.99252020402429</c:v>
                </c:pt>
                <c:pt idx="337">
                  <c:v>380.81831885911299</c:v>
                </c:pt>
                <c:pt idx="338">
                  <c:v>382.64318275752919</c:v>
                </c:pt>
                <c:pt idx="339">
                  <c:v>384.46704093256801</c:v>
                </c:pt>
                <c:pt idx="340">
                  <c:v>386.28982252431962</c:v>
                </c:pt>
                <c:pt idx="341">
                  <c:v>388.11145678003294</c:v>
                </c:pt>
                <c:pt idx="342">
                  <c:v>389.93187305446429</c:v>
                </c:pt>
                <c:pt idx="343">
                  <c:v>391.75100081021003</c:v>
                </c:pt>
                <c:pt idx="344">
                  <c:v>393.56876961802419</c:v>
                </c:pt>
                <c:pt idx="345">
                  <c:v>395.38510915712038</c:v>
                </c:pt>
                <c:pt idx="346">
                  <c:v>397.1999492154589</c:v>
                </c:pt>
                <c:pt idx="347">
                  <c:v>399.01321969001833</c:v>
                </c:pt>
                <c:pt idx="348">
                  <c:v>400.82485142223686</c:v>
                </c:pt>
                <c:pt idx="349">
                  <c:v>402.63477703209844</c:v>
                </c:pt>
                <c:pt idx="350">
                  <c:v>404.44293008043405</c:v>
                </c:pt>
                <c:pt idx="351">
                  <c:v>406.24924423252725</c:v>
                </c:pt>
                <c:pt idx="352">
                  <c:v>408.05365325827097</c:v>
                </c:pt>
                <c:pt idx="353">
                  <c:v>409.85609103231076</c:v>
                </c:pt>
                <c:pt idx="354">
                  <c:v>411.65649153417553</c:v>
                </c:pt>
                <c:pt idx="355">
                  <c:v>413.45478884839497</c:v>
                </c:pt>
                <c:pt idx="356">
                  <c:v>415.25091716460474</c:v>
                </c:pt>
                <c:pt idx="357">
                  <c:v>417.04481077763842</c:v>
                </c:pt>
                <c:pt idx="358">
                  <c:v>418.83640408760721</c:v>
                </c:pt>
                <c:pt idx="359">
                  <c:v>420.62563159996722</c:v>
                </c:pt>
                <c:pt idx="360">
                  <c:v>422.41244529304026</c:v>
                </c:pt>
                <c:pt idx="361">
                  <c:v>424.19683195549652</c:v>
                </c:pt>
                <c:pt idx="362">
                  <c:v>425.97879575924941</c:v>
                </c:pt>
                <c:pt idx="363">
                  <c:v>427.75834086238825</c:v>
                </c:pt>
                <c:pt idx="364">
                  <c:v>429.53547140923843</c:v>
                </c:pt>
                <c:pt idx="365">
                  <c:v>431.31019153042092</c:v>
                </c:pt>
                <c:pt idx="366">
                  <c:v>433.08250534291182</c:v>
                </c:pt>
                <c:pt idx="367">
                  <c:v>434.8524169501012</c:v>
                </c:pt>
                <c:pt idx="368">
                  <c:v>436.61993044185203</c:v>
                </c:pt>
                <c:pt idx="369">
                  <c:v>438.38504989455845</c:v>
                </c:pt>
                <c:pt idx="370">
                  <c:v>440.1477793712038</c:v>
                </c:pt>
                <c:pt idx="371">
                  <c:v>441.90812292141857</c:v>
                </c:pt>
                <c:pt idx="372">
                  <c:v>443.66608458153763</c:v>
                </c:pt>
                <c:pt idx="373">
                  <c:v>445.42166837465754</c:v>
                </c:pt>
                <c:pt idx="374">
                  <c:v>447.17487831069315</c:v>
                </c:pt>
                <c:pt idx="375">
                  <c:v>448.92571838643437</c:v>
                </c:pt>
                <c:pt idx="376">
                  <c:v>450.67419258560221</c:v>
                </c:pt>
                <c:pt idx="377">
                  <c:v>452.42030487890469</c:v>
                </c:pt>
                <c:pt idx="378">
                  <c:v>454.1640592240924</c:v>
                </c:pt>
                <c:pt idx="379">
                  <c:v>455.90545956601397</c:v>
                </c:pt>
                <c:pt idx="380">
                  <c:v>457.64450983667092</c:v>
                </c:pt>
                <c:pt idx="381">
                  <c:v>459.3812139552723</c:v>
                </c:pt>
                <c:pt idx="382">
                  <c:v>461.1155758282892</c:v>
                </c:pt>
                <c:pt idx="383">
                  <c:v>462.84759934950887</c:v>
                </c:pt>
                <c:pt idx="384">
                  <c:v>464.57728840008843</c:v>
                </c:pt>
                <c:pt idx="385">
                  <c:v>466.30464684860851</c:v>
                </c:pt>
                <c:pt idx="386">
                  <c:v>468.02967855112644</c:v>
                </c:pt>
                <c:pt idx="387">
                  <c:v>469.75238735122917</c:v>
                </c:pt>
                <c:pt idx="388">
                  <c:v>471.47277708008602</c:v>
                </c:pt>
                <c:pt idx="389">
                  <c:v>473.19085155650095</c:v>
                </c:pt>
                <c:pt idx="390">
                  <c:v>474.90661458696474</c:v>
                </c:pt>
                <c:pt idx="391">
                  <c:v>476.62006996570688</c:v>
                </c:pt>
                <c:pt idx="392">
                  <c:v>478.331221474747</c:v>
                </c:pt>
                <c:pt idx="393">
                  <c:v>480.04007288394615</c:v>
                </c:pt>
                <c:pt idx="394">
                  <c:v>481.74662795105797</c:v>
                </c:pt>
                <c:pt idx="395">
                  <c:v>483.45089042177915</c:v>
                </c:pt>
                <c:pt idx="396">
                  <c:v>485.15286402980018</c:v>
                </c:pt>
                <c:pt idx="397">
                  <c:v>486.85255249685531</c:v>
                </c:pt>
                <c:pt idx="398">
                  <c:v>488.54995953277256</c:v>
                </c:pt>
                <c:pt idx="399">
                  <c:v>490.24508883552346</c:v>
                </c:pt>
                <c:pt idx="400">
                  <c:v>491.93794409127236</c:v>
                </c:pt>
                <c:pt idx="401">
                  <c:v>508.74170869813679</c:v>
                </c:pt>
                <c:pt idx="402">
                  <c:v>525.32043421578862</c:v>
                </c:pt>
                <c:pt idx="403">
                  <c:v>541.67769313597285</c:v>
                </c:pt>
                <c:pt idx="404">
                  <c:v>557.81694627271884</c:v>
                </c:pt>
                <c:pt idx="405">
                  <c:v>573.74154726872325</c:v>
                </c:pt>
                <c:pt idx="406">
                  <c:v>589.45474687242347</c:v>
                </c:pt>
                <c:pt idx="407">
                  <c:v>604.95969699966679</c:v>
                </c:pt>
                <c:pt idx="408">
                  <c:v>620.25945459289983</c:v>
                </c:pt>
                <c:pt idx="409">
                  <c:v>635.35698528990451</c:v>
                </c:pt>
                <c:pt idx="410">
                  <c:v>650.25516691327471</c:v>
                </c:pt>
                <c:pt idx="411">
                  <c:v>664.95679279106696</c:v>
                </c:pt>
                <c:pt idx="412">
                  <c:v>679.46457491835042</c:v>
                </c:pt>
                <c:pt idx="413">
                  <c:v>693.78114696873206</c:v>
                </c:pt>
                <c:pt idx="414">
                  <c:v>707.90906716433108</c:v>
                </c:pt>
                <c:pt idx="415">
                  <c:v>721.85082101211958</c:v>
                </c:pt>
                <c:pt idx="416">
                  <c:v>735.60882391403356</c:v>
                </c:pt>
                <c:pt idx="417">
                  <c:v>749.18542365777955</c:v>
                </c:pt>
                <c:pt idx="418">
                  <c:v>762.58290279482071</c:v>
                </c:pt>
                <c:pt idx="419">
                  <c:v>775.80348091161773</c:v>
                </c:pt>
                <c:pt idx="420">
                  <c:v>788.84931679981707</c:v>
                </c:pt>
                <c:pt idx="421">
                  <c:v>801.72251053072819</c:v>
                </c:pt>
                <c:pt idx="422">
                  <c:v>814.42510543910043</c:v>
                </c:pt>
                <c:pt idx="423">
                  <c:v>826.95909002090661</c:v>
                </c:pt>
                <c:pt idx="424">
                  <c:v>839.32639974955487</c:v>
                </c:pt>
                <c:pt idx="425">
                  <c:v>851.52891881468611</c:v>
                </c:pt>
                <c:pt idx="426">
                  <c:v>863.56848178746645</c:v>
                </c:pt>
                <c:pt idx="427">
                  <c:v>875.44687521605545</c:v>
                </c:pt>
                <c:pt idx="428">
                  <c:v>887.16583915471449</c:v>
                </c:pt>
                <c:pt idx="429">
                  <c:v>898.72706862982056</c:v>
                </c:pt>
                <c:pt idx="430">
                  <c:v>910.1322150458617</c:v>
                </c:pt>
                <c:pt idx="431">
                  <c:v>921.38288753431664</c:v>
                </c:pt>
                <c:pt idx="432">
                  <c:v>932.48065424815627</c:v>
                </c:pt>
                <c:pt idx="433">
                  <c:v>943.42704360455195</c:v>
                </c:pt>
                <c:pt idx="434">
                  <c:v>954.22354547823136</c:v>
                </c:pt>
                <c:pt idx="435">
                  <c:v>964.87161234778898</c:v>
                </c:pt>
                <c:pt idx="436">
                  <c:v>975.37266039713097</c:v>
                </c:pt>
                <c:pt idx="437">
                  <c:v>985.72807057411683</c:v>
                </c:pt>
                <c:pt idx="438">
                  <c:v>995.9391896083489</c:v>
                </c:pt>
                <c:pt idx="439">
                  <c:v>1006.0073309899566</c:v>
                </c:pt>
                <c:pt idx="440">
                  <c:v>1015.9337759111237</c:v>
                </c:pt>
                <c:pt idx="441">
                  <c:v>1025.719774172017</c:v>
                </c:pt>
                <c:pt idx="442">
                  <c:v>1035.3665450526839</c:v>
                </c:pt>
                <c:pt idx="443">
                  <c:v>1044.875278152412</c:v>
                </c:pt>
                <c:pt idx="444">
                  <c:v>1054.2471341979578</c:v>
                </c:pt>
                <c:pt idx="445">
                  <c:v>1063.4832458219901</c:v>
                </c:pt>
                <c:pt idx="446">
                  <c:v>1072.5847183130143</c:v>
                </c:pt>
                <c:pt idx="447">
                  <c:v>1081.552630337992</c:v>
                </c:pt>
                <c:pt idx="448">
                  <c:v>1090.3880346387982</c:v>
                </c:pt>
                <c:pt idx="449">
                  <c:v>1099.0919587036096</c:v>
                </c:pt>
                <c:pt idx="450">
                  <c:v>1107.6654054142596</c:v>
                </c:pt>
                <c:pt idx="451">
                  <c:v>1116.1093536705466</c:v>
                </c:pt>
                <c:pt idx="452">
                  <c:v>1124.4247589924344</c:v>
                </c:pt>
                <c:pt idx="453">
                  <c:v>1132.6125541010347</c:v>
                </c:pt>
                <c:pt idx="454">
                  <c:v>1140.6736494792249</c:v>
                </c:pt>
                <c:pt idx="455">
                  <c:v>1148.6089339127091</c:v>
                </c:pt>
                <c:pt idx="456">
                  <c:v>1156.4192750122916</c:v>
                </c:pt>
                <c:pt idx="457">
                  <c:v>1164.1055197181008</c:v>
                </c:pt>
                <c:pt idx="458">
                  <c:v>1171.6684947864621</c:v>
                </c:pt>
                <c:pt idx="459">
                  <c:v>1179.1090072600871</c:v>
                </c:pt>
                <c:pt idx="460">
                  <c:v>1186.4278449222165</c:v>
                </c:pt>
                <c:pt idx="461">
                  <c:v>1193.6257767353268</c:v>
                </c:pt>
                <c:pt idx="462">
                  <c:v>1200.7035532649761</c:v>
                </c:pt>
                <c:pt idx="463">
                  <c:v>1207.6619070893473</c:v>
                </c:pt>
                <c:pt idx="464">
                  <c:v>1214.5015531950157</c:v>
                </c:pt>
                <c:pt idx="465">
                  <c:v>1221.223189359446</c:v>
                </c:pt>
                <c:pt idx="466">
                  <c:v>1227.8274965207022</c:v>
                </c:pt>
                <c:pt idx="467">
                  <c:v>1234.3151391348322</c:v>
                </c:pt>
                <c:pt idx="468">
                  <c:v>1240.6867655213678</c:v>
                </c:pt>
                <c:pt idx="469">
                  <c:v>1246.9430081973626</c:v>
                </c:pt>
                <c:pt idx="470">
                  <c:v>1253.0844842003723</c:v>
                </c:pt>
                <c:pt idx="471">
                  <c:v>1259.1117954007639</c:v>
                </c:pt>
                <c:pt idx="472">
                  <c:v>1265.0255288037229</c:v>
                </c:pt>
                <c:pt idx="473">
                  <c:v>1270.8262568413163</c:v>
                </c:pt>
                <c:pt idx="474">
                  <c:v>1276.5145376549481</c:v>
                </c:pt>
                <c:pt idx="475">
                  <c:v>1282.0909153685357</c:v>
                </c:pt>
                <c:pt idx="476">
                  <c:v>1287.5559203527191</c:v>
                </c:pt>
                <c:pt idx="477">
                  <c:v>1292.9100694804038</c:v>
                </c:pt>
                <c:pt idx="478">
                  <c:v>1298.1538663739252</c:v>
                </c:pt>
                <c:pt idx="479">
                  <c:v>1303.2878016441125</c:v>
                </c:pt>
                <c:pt idx="480">
                  <c:v>1308.3123531215192</c:v>
                </c:pt>
                <c:pt idx="481">
                  <c:v>1313.2279860800759</c:v>
                </c:pt>
                <c:pt idx="482">
                  <c:v>1318.0351534534157</c:v>
                </c:pt>
                <c:pt idx="483">
                  <c:v>1322.7342960441085</c:v>
                </c:pt>
                <c:pt idx="484">
                  <c:v>1327.3258427260391</c:v>
                </c:pt>
                <c:pt idx="485">
                  <c:v>1331.8102106401502</c:v>
                </c:pt>
                <c:pt idx="486">
                  <c:v>1336.1878053837709</c:v>
                </c:pt>
                <c:pt idx="487">
                  <c:v>1340.4590211937407</c:v>
                </c:pt>
                <c:pt idx="488">
                  <c:v>1344.6242411235373</c:v>
                </c:pt>
                <c:pt idx="489">
                  <c:v>1348.6838372146121</c:v>
                </c:pt>
                <c:pt idx="490">
                  <c:v>1352.6381706621301</c:v>
                </c:pt>
                <c:pt idx="491">
                  <c:v>1356.4875919753163</c:v>
                </c:pt>
                <c:pt idx="492">
                  <c:v>1360.2324411326028</c:v>
                </c:pt>
                <c:pt idx="493">
                  <c:v>1363.8730477317736</c:v>
                </c:pt>
                <c:pt idx="494">
                  <c:v>1367.4097311353069</c:v>
                </c:pt>
                <c:pt idx="495">
                  <c:v>1370.8428006111189</c:v>
                </c:pt>
                <c:pt idx="496">
                  <c:v>1374.1725554689144</c:v>
                </c:pt>
                <c:pt idx="497">
                  <c:v>1377.3992851923631</c:v>
                </c:pt>
                <c:pt idx="498">
                  <c:v>1380.5232695673267</c:v>
                </c:pt>
                <c:pt idx="499">
                  <c:v>1383.5447788063821</c:v>
                </c:pt>
                <c:pt idx="500">
                  <c:v>1386.4640736698959</c:v>
                </c:pt>
                <c:pt idx="501">
                  <c:v>1389.281405583939</c:v>
                </c:pt>
                <c:pt idx="502">
                  <c:v>1391.9970167553495</c:v>
                </c:pt>
                <c:pt idx="503">
                  <c:v>1394.6111402842989</c:v>
                </c:pt>
                <c:pt idx="504">
                  <c:v>1397.1240002747543</c:v>
                </c:pt>
                <c:pt idx="505">
                  <c:v>1399.5358119432899</c:v>
                </c:pt>
                <c:pt idx="506">
                  <c:v>1401.8467817267717</c:v>
                </c:pt>
                <c:pt idx="507">
                  <c:v>1404.0571073895258</c:v>
                </c:pt>
                <c:pt idx="508">
                  <c:v>1406.1669781307037</c:v>
                </c:pt>
                <c:pt idx="509">
                  <c:v>1408.1765746926978</c:v>
                </c:pt>
                <c:pt idx="510">
                  <c:v>1410.0860694716116</c:v>
                </c:pt>
                <c:pt idx="511">
                  <c:v>1411.8956266309951</c:v>
                </c:pt>
                <c:pt idx="512">
                  <c:v>1413.6054022202916</c:v>
                </c:pt>
                <c:pt idx="513">
                  <c:v>1415.2155442997348</c:v>
                </c:pt>
                <c:pt idx="514">
                  <c:v>1416.7261930737914</c:v>
                </c:pt>
                <c:pt idx="515">
                  <c:v>1418.137481035656</c:v>
                </c:pt>
                <c:pt idx="516">
                  <c:v>1419.4495331258038</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60.282353137145762</c:v>
                </c:pt>
              </c:numCache>
            </c:numRef>
          </c:xVal>
          <c:yVal>
            <c:numRef>
              <c:f>Trajecto!$C$158</c:f>
              <c:numCache>
                <c:formatCode>0</c:formatCode>
                <c:ptCount val="1"/>
                <c:pt idx="0">
                  <c:v>709.72476656290189</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398.31989462794223</c:v>
                </c:pt>
              </c:numCache>
            </c:numRef>
          </c:xVal>
          <c:yVal>
            <c:numRef>
              <c:f>Trajecto!$C$159</c:f>
              <c:numCache>
                <c:formatCode>0</c:formatCode>
                <c:ptCount val="1"/>
                <c:pt idx="0">
                  <c:v>713.74496826857319</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{2DD207E3-ED07-484F-8BE3-348EEB1D19FE}</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257.64136324466284</c:v>
                </c:pt>
                <c:pt idx="1">
                  <c:v>280.64136324466284</c:v>
                </c:pt>
                <c:pt idx="2">
                  <c:v>280.64136324466284</c:v>
                </c:pt>
                <c:pt idx="3">
                  <c:v>257.64136324466284</c:v>
                </c:pt>
                <c:pt idx="4">
                  <c:v>280.64136324466284</c:v>
                </c:pt>
                <c:pt idx="5">
                  <c:v>280.64136324466284</c:v>
                </c:pt>
                <c:pt idx="6">
                  <c:v>265.64136324466284</c:v>
                </c:pt>
                <c:pt idx="7">
                  <c:v>265.64136324466284</c:v>
                </c:pt>
                <c:pt idx="8">
                  <c:v>280.64136324466284</c:v>
                </c:pt>
                <c:pt idx="9">
                  <c:v>265.64136324466284</c:v>
                </c:pt>
                <c:pt idx="10">
                  <c:v>265.24136324466286</c:v>
                </c:pt>
                <c:pt idx="11">
                  <c:v>264.44136324466285</c:v>
                </c:pt>
                <c:pt idx="12">
                  <c:v>263.64136324466284</c:v>
                </c:pt>
                <c:pt idx="13">
                  <c:v>262.64136324466284</c:v>
                </c:pt>
                <c:pt idx="14">
                  <c:v>261.44136324466285</c:v>
                </c:pt>
                <c:pt idx="15">
                  <c:v>257.64136324466284</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257.64136324466284</c:v>
                </c:pt>
                <c:pt idx="1">
                  <c:v>234.64136324466284</c:v>
                </c:pt>
                <c:pt idx="2">
                  <c:v>234.64136324466284</c:v>
                </c:pt>
                <c:pt idx="3">
                  <c:v>257.64136324466284</c:v>
                </c:pt>
                <c:pt idx="4">
                  <c:v>234.64136324466284</c:v>
                </c:pt>
                <c:pt idx="5">
                  <c:v>234.64136324466284</c:v>
                </c:pt>
                <c:pt idx="6">
                  <c:v>249.64136324466284</c:v>
                </c:pt>
                <c:pt idx="7">
                  <c:v>249.64136324466284</c:v>
                </c:pt>
                <c:pt idx="8">
                  <c:v>234.64136324466284</c:v>
                </c:pt>
                <c:pt idx="9">
                  <c:v>249.64136324466284</c:v>
                </c:pt>
                <c:pt idx="10">
                  <c:v>250.04136324466285</c:v>
                </c:pt>
                <c:pt idx="11">
                  <c:v>250.84136324466283</c:v>
                </c:pt>
                <c:pt idx="12">
                  <c:v>251.64136324466284</c:v>
                </c:pt>
                <c:pt idx="13">
                  <c:v>252.64136324466284</c:v>
                </c:pt>
                <c:pt idx="14">
                  <c:v>253.84136324466283</c:v>
                </c:pt>
                <c:pt idx="15">
                  <c:v>257.64136324466284</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{8BB4F504-9897-402D-8B40-17A24673242F}</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257.64136324466284</c:v>
                </c:pt>
                <c:pt idx="1">
                  <c:v>257.64136324466284</c:v>
                </c:pt>
                <c:pt idx="2">
                  <c:v>267.64136324466284</c:v>
                </c:pt>
                <c:pt idx="3">
                  <c:v>257.64136324466284</c:v>
                </c:pt>
                <c:pt idx="4">
                  <c:v>267.64136324466284</c:v>
                </c:pt>
                <c:pt idx="5">
                  <c:v>270.64136324466284</c:v>
                </c:pt>
                <c:pt idx="6">
                  <c:v>274.64136324466284</c:v>
                </c:pt>
                <c:pt idx="7">
                  <c:v>277.64136324466284</c:v>
                </c:pt>
                <c:pt idx="8">
                  <c:v>282.64136324466284</c:v>
                </c:pt>
                <c:pt idx="9">
                  <c:v>287.64136324466284</c:v>
                </c:pt>
                <c:pt idx="10">
                  <c:v>293.64136324466284</c:v>
                </c:pt>
                <c:pt idx="11">
                  <c:v>305.64136324466284</c:v>
                </c:pt>
                <c:pt idx="12">
                  <c:v>319.64136324466284</c:v>
                </c:pt>
                <c:pt idx="13">
                  <c:v>294.64136324466284</c:v>
                </c:pt>
                <c:pt idx="14">
                  <c:v>287.64136324466284</c:v>
                </c:pt>
                <c:pt idx="15">
                  <c:v>272.64136324466284</c:v>
                </c:pt>
                <c:pt idx="16">
                  <c:v>257.64136324466284</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257.64136324466284</c:v>
                </c:pt>
                <c:pt idx="1">
                  <c:v>257.64136324466284</c:v>
                </c:pt>
                <c:pt idx="2">
                  <c:v>247.64136324466284</c:v>
                </c:pt>
                <c:pt idx="3">
                  <c:v>257.64136324466284</c:v>
                </c:pt>
                <c:pt idx="4">
                  <c:v>247.64136324466284</c:v>
                </c:pt>
                <c:pt idx="5">
                  <c:v>244.64136324466284</c:v>
                </c:pt>
                <c:pt idx="6">
                  <c:v>240.64136324466284</c:v>
                </c:pt>
                <c:pt idx="7">
                  <c:v>237.64136324466284</c:v>
                </c:pt>
                <c:pt idx="8">
                  <c:v>232.64136324466284</c:v>
                </c:pt>
                <c:pt idx="9">
                  <c:v>227.64136324466284</c:v>
                </c:pt>
                <c:pt idx="10">
                  <c:v>221.64136324466284</c:v>
                </c:pt>
                <c:pt idx="11">
                  <c:v>209.64136324466284</c:v>
                </c:pt>
                <c:pt idx="12">
                  <c:v>195.64136324466284</c:v>
                </c:pt>
                <c:pt idx="13">
                  <c:v>220.64136324466284</c:v>
                </c:pt>
                <c:pt idx="14">
                  <c:v>227.64136324466284</c:v>
                </c:pt>
                <c:pt idx="15">
                  <c:v>242.64136324466284</c:v>
                </c:pt>
                <c:pt idx="16">
                  <c:v>257.64136324466284</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257.64136324466284</c:v>
                </c:pt>
                <c:pt idx="1">
                  <c:v>274.64136324466284</c:v>
                </c:pt>
                <c:pt idx="2">
                  <c:v>268.64136324466284</c:v>
                </c:pt>
                <c:pt idx="3">
                  <c:v>257.64136324466284</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257.64136324466284</c:v>
                </c:pt>
                <c:pt idx="1">
                  <c:v>240.64136324466284</c:v>
                </c:pt>
                <c:pt idx="2">
                  <c:v>246.64136324466284</c:v>
                </c:pt>
                <c:pt idx="3">
                  <c:v>257.64136324466284</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{B23E3EB0-E650-4DCA-BD72-E4241A789163}</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241.12941254858305</c:v>
                </c:pt>
                <c:pt idx="1">
                  <c:v>241.12941254858305</c:v>
                </c:pt>
                <c:pt idx="2">
                  <c:v>241.12941254858305</c:v>
                </c:pt>
                <c:pt idx="3">
                  <c:v>276.61565087672813</c:v>
                </c:pt>
                <c:pt idx="4">
                  <c:v>241.12941254858305</c:v>
                </c:pt>
                <c:pt idx="5">
                  <c:v>205.64317422043797</c:v>
                </c:pt>
                <c:pt idx="6">
                  <c:v>241.12941254858305</c:v>
                </c:pt>
              </c:numCache>
            </c:numRef>
          </c:xVal>
          <c:yVal>
            <c:numRef>
              <c:f>Trajecto!$C$124:$C$130</c:f>
              <c:numCache>
                <c:formatCode>0</c:formatCode>
                <c:ptCount val="7"/>
                <c:pt idx="0">
                  <c:v>1419.4495331258038</c:v>
                </c:pt>
                <c:pt idx="1">
                  <c:v>709.72476656290189</c:v>
                </c:pt>
                <c:pt idx="2">
                  <c:v>0</c:v>
                </c:pt>
                <c:pt idx="3">
                  <c:v>70.972476656290183</c:v>
                </c:pt>
                <c:pt idx="4">
                  <c:v>0</c:v>
                </c:pt>
                <c:pt idx="5">
                  <c:v>70.972476656290183</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1427.4899365371464</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2.0000000000000013</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2.99999999999998</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3.9999999999999587</c:v>
                </c:pt>
                <c:pt idx="401">
                  <c:v>#N/A</c:v>
                </c:pt>
                <c:pt idx="402">
                  <c:v>#N/A</c:v>
                </c:pt>
                <c:pt idx="403">
                  <c:v>#N/A</c:v>
                </c:pt>
                <c:pt idx="404">
                  <c:v>#N/A</c:v>
                </c:pt>
                <c:pt idx="405">
                  <c:v>#N/A</c:v>
                </c:pt>
                <c:pt idx="406">
                  <c:v>#N/A</c:v>
                </c:pt>
                <c:pt idx="407">
                  <c:v>#N/A</c:v>
                </c:pt>
                <c:pt idx="408">
                  <c:v>#N/A</c:v>
                </c:pt>
                <c:pt idx="409">
                  <c:v>#N/A</c:v>
                </c:pt>
                <c:pt idx="410">
                  <c:v>4.9999999999999556</c:v>
                </c:pt>
                <c:pt idx="411">
                  <c:v>#N/A</c:v>
                </c:pt>
                <c:pt idx="412">
                  <c:v>#N/A</c:v>
                </c:pt>
                <c:pt idx="413">
                  <c:v>#N/A</c:v>
                </c:pt>
                <c:pt idx="414">
                  <c:v>#N/A</c:v>
                </c:pt>
                <c:pt idx="415">
                  <c:v>#N/A</c:v>
                </c:pt>
                <c:pt idx="416">
                  <c:v>#N/A</c:v>
                </c:pt>
                <c:pt idx="417">
                  <c:v>#N/A</c:v>
                </c:pt>
                <c:pt idx="418">
                  <c:v>#N/A</c:v>
                </c:pt>
                <c:pt idx="419">
                  <c:v>#N/A</c:v>
                </c:pt>
                <c:pt idx="420">
                  <c:v>5.999999999999952</c:v>
                </c:pt>
                <c:pt idx="421">
                  <c:v>#N/A</c:v>
                </c:pt>
                <c:pt idx="422">
                  <c:v>#N/A</c:v>
                </c:pt>
                <c:pt idx="423">
                  <c:v>#N/A</c:v>
                </c:pt>
                <c:pt idx="424">
                  <c:v>#N/A</c:v>
                </c:pt>
                <c:pt idx="425">
                  <c:v>#N/A</c:v>
                </c:pt>
                <c:pt idx="426">
                  <c:v>#N/A</c:v>
                </c:pt>
                <c:pt idx="427">
                  <c:v>#N/A</c:v>
                </c:pt>
                <c:pt idx="428">
                  <c:v>#N/A</c:v>
                </c:pt>
                <c:pt idx="429">
                  <c:v>#N/A</c:v>
                </c:pt>
                <c:pt idx="430">
                  <c:v>6.9999999999999485</c:v>
                </c:pt>
                <c:pt idx="431">
                  <c:v>#N/A</c:v>
                </c:pt>
                <c:pt idx="432">
                  <c:v>#N/A</c:v>
                </c:pt>
                <c:pt idx="433">
                  <c:v>#N/A</c:v>
                </c:pt>
                <c:pt idx="434">
                  <c:v>#N/A</c:v>
                </c:pt>
                <c:pt idx="435">
                  <c:v>#N/A</c:v>
                </c:pt>
                <c:pt idx="436">
                  <c:v>#N/A</c:v>
                </c:pt>
                <c:pt idx="437">
                  <c:v>#N/A</c:v>
                </c:pt>
                <c:pt idx="438">
                  <c:v>#N/A</c:v>
                </c:pt>
                <c:pt idx="439">
                  <c:v>#N/A</c:v>
                </c:pt>
                <c:pt idx="440">
                  <c:v>7.9999999999999449</c:v>
                </c:pt>
                <c:pt idx="441">
                  <c:v>#N/A</c:v>
                </c:pt>
                <c:pt idx="442">
                  <c:v>#N/A</c:v>
                </c:pt>
                <c:pt idx="443">
                  <c:v>#N/A</c:v>
                </c:pt>
                <c:pt idx="444">
                  <c:v>#N/A</c:v>
                </c:pt>
                <c:pt idx="445">
                  <c:v>#N/A</c:v>
                </c:pt>
                <c:pt idx="446">
                  <c:v>#N/A</c:v>
                </c:pt>
                <c:pt idx="447">
                  <c:v>#N/A</c:v>
                </c:pt>
                <c:pt idx="448">
                  <c:v>#N/A</c:v>
                </c:pt>
                <c:pt idx="449">
                  <c:v>#N/A</c:v>
                </c:pt>
                <c:pt idx="450">
                  <c:v>8.9999999999999414</c:v>
                </c:pt>
                <c:pt idx="451">
                  <c:v>#N/A</c:v>
                </c:pt>
                <c:pt idx="452">
                  <c:v>#N/A</c:v>
                </c:pt>
                <c:pt idx="453">
                  <c:v>#N/A</c:v>
                </c:pt>
                <c:pt idx="454">
                  <c:v>#N/A</c:v>
                </c:pt>
                <c:pt idx="455">
                  <c:v>#N/A</c:v>
                </c:pt>
                <c:pt idx="456">
                  <c:v>#N/A</c:v>
                </c:pt>
                <c:pt idx="457">
                  <c:v>#N/A</c:v>
                </c:pt>
                <c:pt idx="458">
                  <c:v>#N/A</c:v>
                </c:pt>
                <c:pt idx="459">
                  <c:v>#N/A</c:v>
                </c:pt>
                <c:pt idx="460">
                  <c:v>9.9999999999999378</c:v>
                </c:pt>
                <c:pt idx="461">
                  <c:v>#N/A</c:v>
                </c:pt>
                <c:pt idx="462">
                  <c:v>#N/A</c:v>
                </c:pt>
                <c:pt idx="463">
                  <c:v>#N/A</c:v>
                </c:pt>
                <c:pt idx="464">
                  <c:v>#N/A</c:v>
                </c:pt>
                <c:pt idx="465">
                  <c:v>#N/A</c:v>
                </c:pt>
                <c:pt idx="466">
                  <c:v>#N/A</c:v>
                </c:pt>
                <c:pt idx="467">
                  <c:v>#N/A</c:v>
                </c:pt>
                <c:pt idx="468">
                  <c:v>#N/A</c:v>
                </c:pt>
                <c:pt idx="469">
                  <c:v>#N/A</c:v>
                </c:pt>
                <c:pt idx="470">
                  <c:v>10.999999999999934</c:v>
                </c:pt>
                <c:pt idx="471">
                  <c:v>#N/A</c:v>
                </c:pt>
                <c:pt idx="472">
                  <c:v>#N/A</c:v>
                </c:pt>
                <c:pt idx="473">
                  <c:v>#N/A</c:v>
                </c:pt>
                <c:pt idx="474">
                  <c:v>#N/A</c:v>
                </c:pt>
                <c:pt idx="475">
                  <c:v>#N/A</c:v>
                </c:pt>
                <c:pt idx="476">
                  <c:v>#N/A</c:v>
                </c:pt>
                <c:pt idx="477">
                  <c:v>#N/A</c:v>
                </c:pt>
                <c:pt idx="478">
                  <c:v>#N/A</c:v>
                </c:pt>
                <c:pt idx="479">
                  <c:v>#N/A</c:v>
                </c:pt>
                <c:pt idx="480">
                  <c:v>11.999999999999931</c:v>
                </c:pt>
                <c:pt idx="481">
                  <c:v>#N/A</c:v>
                </c:pt>
                <c:pt idx="482">
                  <c:v>#N/A</c:v>
                </c:pt>
                <c:pt idx="483">
                  <c:v>#N/A</c:v>
                </c:pt>
                <c:pt idx="484">
                  <c:v>#N/A</c:v>
                </c:pt>
                <c:pt idx="485">
                  <c:v>#N/A</c:v>
                </c:pt>
                <c:pt idx="486">
                  <c:v>#N/A</c:v>
                </c:pt>
                <c:pt idx="487">
                  <c:v>#N/A</c:v>
                </c:pt>
                <c:pt idx="488">
                  <c:v>#N/A</c:v>
                </c:pt>
                <c:pt idx="489">
                  <c:v>#N/A</c:v>
                </c:pt>
                <c:pt idx="490">
                  <c:v>12.999999999999927</c:v>
                </c:pt>
                <c:pt idx="491">
                  <c:v>#N/A</c:v>
                </c:pt>
                <c:pt idx="492">
                  <c:v>#N/A</c:v>
                </c:pt>
                <c:pt idx="493">
                  <c:v>#N/A</c:v>
                </c:pt>
                <c:pt idx="494">
                  <c:v>#N/A</c:v>
                </c:pt>
                <c:pt idx="495">
                  <c:v>#N/A</c:v>
                </c:pt>
                <c:pt idx="496">
                  <c:v>#N/A</c:v>
                </c:pt>
                <c:pt idx="497">
                  <c:v>#N/A</c:v>
                </c:pt>
                <c:pt idx="498">
                  <c:v>#N/A</c:v>
                </c:pt>
                <c:pt idx="499">
                  <c:v>#N/A</c:v>
                </c:pt>
                <c:pt idx="500">
                  <c:v>13.999999999999924</c:v>
                </c:pt>
                <c:pt idx="501">
                  <c:v>#N/A</c:v>
                </c:pt>
                <c:pt idx="502">
                  <c:v>#N/A</c:v>
                </c:pt>
                <c:pt idx="503">
                  <c:v>#N/A</c:v>
                </c:pt>
                <c:pt idx="504">
                  <c:v>#N/A</c:v>
                </c:pt>
                <c:pt idx="505">
                  <c:v>#N/A</c:v>
                </c:pt>
                <c:pt idx="506">
                  <c:v>#N/A</c:v>
                </c:pt>
                <c:pt idx="507">
                  <c:v>#N/A</c:v>
                </c:pt>
                <c:pt idx="508">
                  <c:v>#N/A</c:v>
                </c:pt>
                <c:pt idx="509">
                  <c:v>#N/A</c:v>
                </c:pt>
                <c:pt idx="510">
                  <c:v>14.99999999999992</c:v>
                </c:pt>
                <c:pt idx="511">
                  <c:v>#N/A</c:v>
                </c:pt>
                <c:pt idx="512">
                  <c:v>#N/A</c:v>
                </c:pt>
                <c:pt idx="513">
                  <c:v>#N/A</c:v>
                </c:pt>
                <c:pt idx="514">
                  <c:v>#N/A</c:v>
                </c:pt>
                <c:pt idx="515">
                  <c:v>#N/A</c:v>
                </c:pt>
                <c:pt idx="516">
                  <c:v>#N/A</c:v>
                </c:pt>
                <c:pt idx="517">
                  <c:v>#N/A</c:v>
                </c:pt>
                <c:pt idx="518">
                  <c:v>#N/A</c:v>
                </c:pt>
                <c:pt idx="519">
                  <c:v>#N/A</c:v>
                </c:pt>
                <c:pt idx="520">
                  <c:v>15.999999999999917</c:v>
                </c:pt>
                <c:pt idx="521">
                  <c:v>#N/A</c:v>
                </c:pt>
                <c:pt idx="522">
                  <c:v>#N/A</c:v>
                </c:pt>
                <c:pt idx="523">
                  <c:v>#N/A</c:v>
                </c:pt>
                <c:pt idx="524">
                  <c:v>#N/A</c:v>
                </c:pt>
                <c:pt idx="525">
                  <c:v>#N/A</c:v>
                </c:pt>
                <c:pt idx="526">
                  <c:v>#N/A</c:v>
                </c:pt>
                <c:pt idx="527">
                  <c:v>#N/A</c:v>
                </c:pt>
                <c:pt idx="528">
                  <c:v>#N/A</c:v>
                </c:pt>
                <c:pt idx="529">
                  <c:v>#N/A</c:v>
                </c:pt>
                <c:pt idx="530">
                  <c:v>16.999999999999929</c:v>
                </c:pt>
                <c:pt idx="531">
                  <c:v>#N/A</c:v>
                </c:pt>
                <c:pt idx="532">
                  <c:v>#N/A</c:v>
                </c:pt>
                <c:pt idx="533">
                  <c:v>#N/A</c:v>
                </c:pt>
                <c:pt idx="534">
                  <c:v>#N/A</c:v>
                </c:pt>
                <c:pt idx="535">
                  <c:v>#N/A</c:v>
                </c:pt>
                <c:pt idx="536">
                  <c:v>#N/A</c:v>
                </c:pt>
                <c:pt idx="537">
                  <c:v>#N/A</c:v>
                </c:pt>
                <c:pt idx="538">
                  <c:v>#N/A</c:v>
                </c:pt>
                <c:pt idx="539">
                  <c:v>#N/A</c:v>
                </c:pt>
                <c:pt idx="540">
                  <c:v>17.999999999999943</c:v>
                </c:pt>
                <c:pt idx="541">
                  <c:v>#N/A</c:v>
                </c:pt>
                <c:pt idx="542">
                  <c:v>#N/A</c:v>
                </c:pt>
                <c:pt idx="543">
                  <c:v>#N/A</c:v>
                </c:pt>
                <c:pt idx="544">
                  <c:v>#N/A</c:v>
                </c:pt>
                <c:pt idx="545">
                  <c:v>#N/A</c:v>
                </c:pt>
                <c:pt idx="546">
                  <c:v>#N/A</c:v>
                </c:pt>
                <c:pt idx="547">
                  <c:v>#N/A</c:v>
                </c:pt>
                <c:pt idx="548">
                  <c:v>#N/A</c:v>
                </c:pt>
                <c:pt idx="549">
                  <c:v>#N/A</c:v>
                </c:pt>
                <c:pt idx="550">
                  <c:v>18.999999999999957</c:v>
                </c:pt>
                <c:pt idx="551">
                  <c:v>#N/A</c:v>
                </c:pt>
                <c:pt idx="552">
                  <c:v>#N/A</c:v>
                </c:pt>
                <c:pt idx="553">
                  <c:v>#N/A</c:v>
                </c:pt>
                <c:pt idx="554">
                  <c:v>#N/A</c:v>
                </c:pt>
                <c:pt idx="555">
                  <c:v>#N/A</c:v>
                </c:pt>
                <c:pt idx="556">
                  <c:v>#N/A</c:v>
                </c:pt>
                <c:pt idx="557">
                  <c:v>#N/A</c:v>
                </c:pt>
                <c:pt idx="558">
                  <c:v>#N/A</c:v>
                </c:pt>
                <c:pt idx="559">
                  <c:v>#N/A</c:v>
                </c:pt>
                <c:pt idx="560">
                  <c:v>19.999999999999972</c:v>
                </c:pt>
                <c:pt idx="561">
                  <c:v>#N/A</c:v>
                </c:pt>
                <c:pt idx="562">
                  <c:v>#N/A</c:v>
                </c:pt>
                <c:pt idx="563">
                  <c:v>#N/A</c:v>
                </c:pt>
                <c:pt idx="564">
                  <c:v>#N/A</c:v>
                </c:pt>
                <c:pt idx="565">
                  <c:v>#N/A</c:v>
                </c:pt>
                <c:pt idx="566">
                  <c:v>#N/A</c:v>
                </c:pt>
                <c:pt idx="567">
                  <c:v>#N/A</c:v>
                </c:pt>
                <c:pt idx="568">
                  <c:v>#N/A</c:v>
                </c:pt>
                <c:pt idx="569">
                  <c:v>#N/A</c:v>
                </c:pt>
                <c:pt idx="570">
                  <c:v>20.999999999999986</c:v>
                </c:pt>
                <c:pt idx="571">
                  <c:v>#N/A</c:v>
                </c:pt>
                <c:pt idx="572">
                  <c:v>#N/A</c:v>
                </c:pt>
                <c:pt idx="573">
                  <c:v>#N/A</c:v>
                </c:pt>
                <c:pt idx="574">
                  <c:v>#N/A</c:v>
                </c:pt>
                <c:pt idx="575">
                  <c:v>#N/A</c:v>
                </c:pt>
                <c:pt idx="576">
                  <c:v>#N/A</c:v>
                </c:pt>
                <c:pt idx="577">
                  <c:v>#N/A</c:v>
                </c:pt>
                <c:pt idx="578">
                  <c:v>#N/A</c:v>
                </c:pt>
                <c:pt idx="579">
                  <c:v>#N/A</c:v>
                </c:pt>
                <c:pt idx="580">
                  <c:v>22</c:v>
                </c:pt>
                <c:pt idx="581">
                  <c:v>#N/A</c:v>
                </c:pt>
                <c:pt idx="582">
                  <c:v>#N/A</c:v>
                </c:pt>
                <c:pt idx="583">
                  <c:v>#N/A</c:v>
                </c:pt>
                <c:pt idx="584">
                  <c:v>#N/A</c:v>
                </c:pt>
                <c:pt idx="585">
                  <c:v>#N/A</c:v>
                </c:pt>
                <c:pt idx="586">
                  <c:v>#N/A</c:v>
                </c:pt>
                <c:pt idx="587">
                  <c:v>#N/A</c:v>
                </c:pt>
                <c:pt idx="588">
                  <c:v>#N/A</c:v>
                </c:pt>
                <c:pt idx="589">
                  <c:v>#N/A</c:v>
                </c:pt>
                <c:pt idx="590">
                  <c:v>23.000000000000014</c:v>
                </c:pt>
                <c:pt idx="591">
                  <c:v>#N/A</c:v>
                </c:pt>
                <c:pt idx="592">
                  <c:v>#N/A</c:v>
                </c:pt>
                <c:pt idx="593">
                  <c:v>#N/A</c:v>
                </c:pt>
                <c:pt idx="594">
                  <c:v>#N/A</c:v>
                </c:pt>
                <c:pt idx="595">
                  <c:v>#N/A</c:v>
                </c:pt>
                <c:pt idx="596">
                  <c:v>#N/A</c:v>
                </c:pt>
                <c:pt idx="597">
                  <c:v>#N/A</c:v>
                </c:pt>
                <c:pt idx="598">
                  <c:v>#N/A</c:v>
                </c:pt>
                <c:pt idx="599">
                  <c:v>#N/A</c:v>
                </c:pt>
                <c:pt idx="600">
                  <c:v>24.000000000000028</c:v>
                </c:pt>
                <c:pt idx="601">
                  <c:v>#N/A</c:v>
                </c:pt>
                <c:pt idx="602">
                  <c:v>#N/A</c:v>
                </c:pt>
                <c:pt idx="603">
                  <c:v>#N/A</c:v>
                </c:pt>
                <c:pt idx="604">
                  <c:v>#N/A</c:v>
                </c:pt>
                <c:pt idx="605">
                  <c:v>#N/A</c:v>
                </c:pt>
                <c:pt idx="606">
                  <c:v>#N/A</c:v>
                </c:pt>
                <c:pt idx="607">
                  <c:v>#N/A</c:v>
                </c:pt>
                <c:pt idx="608">
                  <c:v>#N/A</c:v>
                </c:pt>
                <c:pt idx="609">
                  <c:v>#N/A</c:v>
                </c:pt>
                <c:pt idx="610">
                  <c:v>25.000000000000043</c:v>
                </c:pt>
                <c:pt idx="611">
                  <c:v>#N/A</c:v>
                </c:pt>
                <c:pt idx="612">
                  <c:v>#N/A</c:v>
                </c:pt>
                <c:pt idx="613">
                  <c:v>#N/A</c:v>
                </c:pt>
                <c:pt idx="614">
                  <c:v>#N/A</c:v>
                </c:pt>
                <c:pt idx="615">
                  <c:v>#N/A</c:v>
                </c:pt>
                <c:pt idx="616">
                  <c:v>#N/A</c:v>
                </c:pt>
                <c:pt idx="617">
                  <c:v>#N/A</c:v>
                </c:pt>
                <c:pt idx="618">
                  <c:v>#N/A</c:v>
                </c:pt>
                <c:pt idx="619">
                  <c:v>#N/A</c:v>
                </c:pt>
                <c:pt idx="620">
                  <c:v>26.000000000000057</c:v>
                </c:pt>
                <c:pt idx="621">
                  <c:v>#N/A</c:v>
                </c:pt>
                <c:pt idx="622">
                  <c:v>#N/A</c:v>
                </c:pt>
                <c:pt idx="623">
                  <c:v>#N/A</c:v>
                </c:pt>
                <c:pt idx="624">
                  <c:v>#N/A</c:v>
                </c:pt>
                <c:pt idx="625">
                  <c:v>#N/A</c:v>
                </c:pt>
                <c:pt idx="626">
                  <c:v>#N/A</c:v>
                </c:pt>
                <c:pt idx="627">
                  <c:v>#N/A</c:v>
                </c:pt>
                <c:pt idx="628">
                  <c:v>#N/A</c:v>
                </c:pt>
                <c:pt idx="629">
                  <c:v>#N/A</c:v>
                </c:pt>
                <c:pt idx="630">
                  <c:v>27.000000000000071</c:v>
                </c:pt>
                <c:pt idx="631">
                  <c:v>#N/A</c:v>
                </c:pt>
                <c:pt idx="632">
                  <c:v>#N/A</c:v>
                </c:pt>
                <c:pt idx="633">
                  <c:v>#N/A</c:v>
                </c:pt>
                <c:pt idx="634">
                  <c:v>#N/A</c:v>
                </c:pt>
                <c:pt idx="635">
                  <c:v>#N/A</c:v>
                </c:pt>
                <c:pt idx="636">
                  <c:v>#N/A</c:v>
                </c:pt>
                <c:pt idx="637">
                  <c:v>#N/A</c:v>
                </c:pt>
                <c:pt idx="638">
                  <c:v>#N/A</c:v>
                </c:pt>
                <c:pt idx="639">
                  <c:v>#N/A</c:v>
                </c:pt>
                <c:pt idx="640">
                  <c:v>28.000000000000085</c:v>
                </c:pt>
                <c:pt idx="641">
                  <c:v>#N/A</c:v>
                </c:pt>
                <c:pt idx="642">
                  <c:v>#N/A</c:v>
                </c:pt>
                <c:pt idx="643">
                  <c:v>#N/A</c:v>
                </c:pt>
                <c:pt idx="644">
                  <c:v>#N/A</c:v>
                </c:pt>
                <c:pt idx="645">
                  <c:v>#N/A</c:v>
                </c:pt>
                <c:pt idx="646">
                  <c:v>#N/A</c:v>
                </c:pt>
                <c:pt idx="647">
                  <c:v>#N/A</c:v>
                </c:pt>
                <c:pt idx="648">
                  <c:v>#N/A</c:v>
                </c:pt>
                <c:pt idx="649">
                  <c:v>#N/A</c:v>
                </c:pt>
                <c:pt idx="650">
                  <c:v>29.000000000000099</c:v>
                </c:pt>
                <c:pt idx="651">
                  <c:v>#N/A</c:v>
                </c:pt>
                <c:pt idx="652">
                  <c:v>#N/A</c:v>
                </c:pt>
                <c:pt idx="653">
                  <c:v>#N/A</c:v>
                </c:pt>
                <c:pt idx="654">
                  <c:v>#N/A</c:v>
                </c:pt>
                <c:pt idx="655">
                  <c:v>#N/A</c:v>
                </c:pt>
                <c:pt idx="656">
                  <c:v>#N/A</c:v>
                </c:pt>
                <c:pt idx="657">
                  <c:v>#N/A</c:v>
                </c:pt>
                <c:pt idx="658">
                  <c:v>#N/A</c:v>
                </c:pt>
                <c:pt idx="659">
                  <c:v>#N/A</c:v>
                </c:pt>
                <c:pt idx="660">
                  <c:v>30.000000000000114</c:v>
                </c:pt>
                <c:pt idx="661">
                  <c:v>#N/A</c:v>
                </c:pt>
                <c:pt idx="662">
                  <c:v>#N/A</c:v>
                </c:pt>
                <c:pt idx="663">
                  <c:v>#N/A</c:v>
                </c:pt>
                <c:pt idx="664">
                  <c:v>#N/A</c:v>
                </c:pt>
                <c:pt idx="665">
                  <c:v>#N/A</c:v>
                </c:pt>
                <c:pt idx="666">
                  <c:v>#N/A</c:v>
                </c:pt>
                <c:pt idx="667">
                  <c:v>#N/A</c:v>
                </c:pt>
                <c:pt idx="668">
                  <c:v>#N/A</c:v>
                </c:pt>
                <c:pt idx="669">
                  <c:v>#N/A</c:v>
                </c:pt>
                <c:pt idx="670">
                  <c:v>31.000000000000128</c:v>
                </c:pt>
                <c:pt idx="671">
                  <c:v>#N/A</c:v>
                </c:pt>
                <c:pt idx="672">
                  <c:v>#N/A</c:v>
                </c:pt>
                <c:pt idx="673">
                  <c:v>#N/A</c:v>
                </c:pt>
                <c:pt idx="674">
                  <c:v>#N/A</c:v>
                </c:pt>
                <c:pt idx="675">
                  <c:v>#N/A</c:v>
                </c:pt>
                <c:pt idx="676">
                  <c:v>#N/A</c:v>
                </c:pt>
                <c:pt idx="677">
                  <c:v>#N/A</c:v>
                </c:pt>
                <c:pt idx="678">
                  <c:v>#N/A</c:v>
                </c:pt>
                <c:pt idx="679">
                  <c:v>#N/A</c:v>
                </c:pt>
                <c:pt idx="680">
                  <c:v>32.000000000000142</c:v>
                </c:pt>
                <c:pt idx="681">
                  <c:v>#N/A</c:v>
                </c:pt>
                <c:pt idx="682">
                  <c:v>#N/A</c:v>
                </c:pt>
                <c:pt idx="683">
                  <c:v>#N/A</c:v>
                </c:pt>
                <c:pt idx="684">
                  <c:v>#N/A</c:v>
                </c:pt>
                <c:pt idx="685">
                  <c:v>#N/A</c:v>
                </c:pt>
                <c:pt idx="686">
                  <c:v>#N/A</c:v>
                </c:pt>
                <c:pt idx="687">
                  <c:v>#N/A</c:v>
                </c:pt>
                <c:pt idx="688">
                  <c:v>#N/A</c:v>
                </c:pt>
                <c:pt idx="689">
                  <c:v>#N/A</c:v>
                </c:pt>
                <c:pt idx="690">
                  <c:v>33.000000000000156</c:v>
                </c:pt>
                <c:pt idx="691">
                  <c:v>#N/A</c:v>
                </c:pt>
                <c:pt idx="692">
                  <c:v>#N/A</c:v>
                </c:pt>
                <c:pt idx="693">
                  <c:v>#N/A</c:v>
                </c:pt>
                <c:pt idx="694">
                  <c:v>#N/A</c:v>
                </c:pt>
                <c:pt idx="695">
                  <c:v>#N/A</c:v>
                </c:pt>
                <c:pt idx="696">
                  <c:v>#N/A</c:v>
                </c:pt>
                <c:pt idx="697">
                  <c:v>#N/A</c:v>
                </c:pt>
                <c:pt idx="698">
                  <c:v>#N/A</c:v>
                </c:pt>
                <c:pt idx="699">
                  <c:v>#N/A</c:v>
                </c:pt>
                <c:pt idx="700">
                  <c:v>34.000000000000171</c:v>
                </c:pt>
                <c:pt idx="701">
                  <c:v>#N/A</c:v>
                </c:pt>
                <c:pt idx="702">
                  <c:v>#N/A</c:v>
                </c:pt>
                <c:pt idx="703">
                  <c:v>#N/A</c:v>
                </c:pt>
                <c:pt idx="704">
                  <c:v>#N/A</c:v>
                </c:pt>
                <c:pt idx="705">
                  <c:v>#N/A</c:v>
                </c:pt>
                <c:pt idx="706">
                  <c:v>#N/A</c:v>
                </c:pt>
                <c:pt idx="707">
                  <c:v>#N/A</c:v>
                </c:pt>
                <c:pt idx="708">
                  <c:v>#N/A</c:v>
                </c:pt>
                <c:pt idx="709">
                  <c:v>#N/A</c:v>
                </c:pt>
                <c:pt idx="710">
                  <c:v>35.000000000000185</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6.8158011024989312E-6</c:v>
                </c:pt>
                <c:pt idx="2">
                  <c:v>1.0146639636617392E-3</c:v>
                </c:pt>
                <c:pt idx="3">
                  <c:v>4.9988855250675431E-3</c:v>
                </c:pt>
                <c:pt idx="4">
                  <c:v>1.3936191054571544E-2</c:v>
                </c:pt>
                <c:pt idx="5">
                  <c:v>2.9805237587798149E-2</c:v>
                </c:pt>
                <c:pt idx="6">
                  <c:v>5.4086653680871032E-2</c:v>
                </c:pt>
                <c:pt idx="7">
                  <c:v>8.7261849014639709E-2</c:v>
                </c:pt>
                <c:pt idx="8">
                  <c:v>0.12931211141550331</c:v>
                </c:pt>
                <c:pt idx="9">
                  <c:v>0.18021863305817598</c:v>
                </c:pt>
                <c:pt idx="10">
                  <c:v>0.23996251081243741</c:v>
                </c:pt>
                <c:pt idx="11">
                  <c:v>0.30852474659351542</c:v>
                </c:pt>
                <c:pt idx="12">
                  <c:v>0.38588624771607272</c:v>
                </c:pt>
                <c:pt idx="13">
                  <c:v>0.47202782725176878</c:v>
                </c:pt>
                <c:pt idx="14">
                  <c:v>0.56693020439036834</c:v>
                </c:pt>
                <c:pt idx="15">
                  <c:v>0.67057400480436691</c:v>
                </c:pt>
                <c:pt idx="16">
                  <c:v>0.78293976101710383</c:v>
                </c:pt>
                <c:pt idx="17">
                  <c:v>0.9040079127743329</c:v>
                </c:pt>
                <c:pt idx="18">
                  <c:v>1.033758807419221</c:v>
                </c:pt>
                <c:pt idx="19">
                  <c:v>1.1721727002707432</c:v>
                </c:pt>
                <c:pt idx="20">
                  <c:v>1.3192297550054444</c:v>
                </c:pt>
                <c:pt idx="21">
                  <c:v>1.4749100440425362</c:v>
                </c:pt>
                <c:pt idx="22">
                  <c:v>1.6391935489322984</c:v>
                </c:pt>
                <c:pt idx="23">
                  <c:v>1.8120601607477511</c:v>
                </c:pt>
                <c:pt idx="24">
                  <c:v>1.9934896804795699</c:v>
                </c:pt>
                <c:pt idx="25">
                  <c:v>2.1834618194342066</c:v>
                </c:pt>
                <c:pt idx="26">
                  <c:v>2.3819561996351881</c:v>
                </c:pt>
                <c:pt idx="27">
                  <c:v>2.5889523542275579</c:v>
                </c:pt>
                <c:pt idx="28">
                  <c:v>2.8044297278854273</c:v>
                </c:pt>
                <c:pt idx="29">
                  <c:v>3.0283676772226049</c:v>
                </c:pt>
                <c:pt idx="30">
                  <c:v>3.26074547120627</c:v>
                </c:pt>
                <c:pt idx="31">
                  <c:v>3.5015422915736552</c:v>
                </c:pt>
                <c:pt idx="32">
                  <c:v>3.7507372332517055</c:v>
                </c:pt>
                <c:pt idx="33">
                  <c:v>4.0083093047796812</c:v>
                </c:pt>
                <c:pt idx="34">
                  <c:v>4.2742337010814717</c:v>
                </c:pt>
                <c:pt idx="35">
                  <c:v>4.5484854049669261</c:v>
                </c:pt>
                <c:pt idx="36">
                  <c:v>4.8310429168443738</c:v>
                </c:pt>
                <c:pt idx="37">
                  <c:v>5.1218846574311359</c:v>
                </c:pt>
                <c:pt idx="38">
                  <c:v>5.4209889697491516</c:v>
                </c:pt>
                <c:pt idx="39">
                  <c:v>5.7283341192522652</c:v>
                </c:pt>
                <c:pt idx="40">
                  <c:v>6.0438982939804093</c:v>
                </c:pt>
                <c:pt idx="41">
                  <c:v>6.3676596047381508</c:v>
                </c:pt>
                <c:pt idx="42">
                  <c:v>6.6995960852954006</c:v>
                </c:pt>
                <c:pt idx="43">
                  <c:v>7.0396856926083373</c:v>
                </c:pt>
                <c:pt idx="44">
                  <c:v>7.3879063070588487</c:v>
                </c:pt>
                <c:pt idx="45">
                  <c:v>7.744235732710953</c:v>
                </c:pt>
                <c:pt idx="46">
                  <c:v>8.1086516975828804</c:v>
                </c:pt>
                <c:pt idx="47">
                  <c:v>8.48113185393359</c:v>
                </c:pt>
                <c:pt idx="48">
                  <c:v>8.861653778562669</c:v>
                </c:pt>
                <c:pt idx="49">
                  <c:v>9.2501949731226407</c:v>
                </c:pt>
                <c:pt idx="50">
                  <c:v>9.6467328644428214</c:v>
                </c:pt>
                <c:pt idx="51">
                  <c:v>10.05124743837848</c:v>
                </c:pt>
                <c:pt idx="52">
                  <c:v>10.463723877355719</c:v>
                </c:pt>
                <c:pt idx="53">
                  <c:v>10.884149932220319</c:v>
                </c:pt>
                <c:pt idx="54">
                  <c:v>11.312513290285395</c:v>
                </c:pt>
                <c:pt idx="55">
                  <c:v>11.748801575453523</c:v>
                </c:pt>
                <c:pt idx="56">
                  <c:v>12.193002348346042</c:v>
                </c:pt>
                <c:pt idx="57">
                  <c:v>12.645103106439137</c:v>
                </c:pt>
                <c:pt idx="58">
                  <c:v>13.105091284206402</c:v>
                </c:pt>
                <c:pt idx="59">
                  <c:v>13.572954253267554</c:v>
                </c:pt>
                <c:pt idx="60">
                  <c:v>14.048679322543032</c:v>
                </c:pt>
                <c:pt idx="61">
                  <c:v>14.532253738414216</c:v>
                </c:pt>
                <c:pt idx="62">
                  <c:v>15.02366468488902</c:v>
                </c:pt>
                <c:pt idx="63">
                  <c:v>15.522899283772656</c:v>
                </c:pt>
                <c:pt idx="64">
                  <c:v>16.029944594843336</c:v>
                </c:pt>
                <c:pt idx="65">
                  <c:v>16.544787616032753</c:v>
                </c:pt>
                <c:pt idx="66">
                  <c:v>17.067415283611115</c:v>
                </c:pt>
                <c:pt idx="67">
                  <c:v>17.597814472376633</c:v>
                </c:pt>
                <c:pt idx="68">
                  <c:v>18.135971995849228</c:v>
                </c:pt>
                <c:pt idx="69">
                  <c:v>18.681874606468387</c:v>
                </c:pt>
                <c:pt idx="70">
                  <c:v>19.235508995794969</c:v>
                </c:pt>
                <c:pt idx="71">
                  <c:v>19.796861794716875</c:v>
                </c:pt>
                <c:pt idx="72">
                  <c:v>20.365919573658445</c:v>
                </c:pt>
                <c:pt idx="73">
                  <c:v>20.942668842793459</c:v>
                </c:pt>
                <c:pt idx="74">
                  <c:v>21.527096052261648</c:v>
                </c:pt>
                <c:pt idx="75">
                  <c:v>22.119187592388609</c:v>
                </c:pt>
                <c:pt idx="76">
                  <c:v>22.718929793909041</c:v>
                </c:pt>
                <c:pt idx="77">
                  <c:v>23.326308928193164</c:v>
                </c:pt>
                <c:pt idx="78">
                  <c:v>23.9413112074763</c:v>
                </c:pt>
                <c:pt idx="79">
                  <c:v>24.563922785091489</c:v>
                </c:pt>
                <c:pt idx="80">
                  <c:v>25.194129755705056</c:v>
                </c:pt>
                <c:pt idx="81">
                  <c:v>25.831918155555105</c:v>
                </c:pt>
                <c:pt idx="82">
                  <c:v>26.477273962692802</c:v>
                </c:pt>
                <c:pt idx="83">
                  <c:v>27.130183097226418</c:v>
                </c:pt>
                <c:pt idx="84">
                  <c:v>27.790631421568072</c:v>
                </c:pt>
                <c:pt idx="85">
                  <c:v>28.458604740683079</c:v>
                </c:pt>
                <c:pt idx="86">
                  <c:v>29.134088802341861</c:v>
                </c:pt>
                <c:pt idx="87">
                  <c:v>29.817069297374378</c:v>
                </c:pt>
                <c:pt idx="88">
                  <c:v>30.507531859926988</c:v>
                </c:pt>
                <c:pt idx="89">
                  <c:v>31.205462067721704</c:v>
                </c:pt>
                <c:pt idx="90">
                  <c:v>31.910845442317793</c:v>
                </c:pt>
                <c:pt idx="91">
                  <c:v>32.62366744937566</c:v>
                </c:pt>
                <c:pt idx="92">
                  <c:v>33.343913498922987</c:v>
                </c:pt>
                <c:pt idx="93">
                  <c:v>34.071568945623035</c:v>
                </c:pt>
                <c:pt idx="94">
                  <c:v>34.806619089045121</c:v>
                </c:pt>
                <c:pt idx="95">
                  <c:v>35.549049173937171</c:v>
                </c:pt>
                <c:pt idx="96">
                  <c:v>36.298844390500363</c:v>
                </c:pt>
                <c:pt idx="97">
                  <c:v>37.055989874665741</c:v>
                </c:pt>
                <c:pt idx="98">
                  <c:v>37.820470708372845</c:v>
                </c:pt>
                <c:pt idx="99">
                  <c:v>38.592271919850226</c:v>
                </c:pt>
                <c:pt idx="100">
                  <c:v>39.371378483897907</c:v>
                </c:pt>
                <c:pt idx="101">
                  <c:v>40.157774108690624</c:v>
                </c:pt>
                <c:pt idx="102">
                  <c:v>40.951440021396799</c:v>
                </c:pt>
                <c:pt idx="103">
                  <c:v>41.752356180623842</c:v>
                </c:pt>
                <c:pt idx="104">
                  <c:v>42.560502490107623</c:v>
                </c:pt>
                <c:pt idx="105">
                  <c:v>43.375858799116223</c:v>
                </c:pt>
                <c:pt idx="106">
                  <c:v>44.198404902855216</c:v>
                </c:pt>
                <c:pt idx="107">
                  <c:v>45.028120542874383</c:v>
                </c:pt>
                <c:pt idx="108">
                  <c:v>45.864985407475821</c:v>
                </c:pt>
                <c:pt idx="109">
                  <c:v>46.708979132123432</c:v>
                </c:pt>
                <c:pt idx="110">
                  <c:v>47.560081299853721</c:v>
                </c:pt>
                <c:pt idx="111">
                  <c:v>48.418271441687864</c:v>
                </c:pt>
                <c:pt idx="112">
                  <c:v>49.283529037044985</c:v>
                </c:pt>
                <c:pt idx="113">
                  <c:v>50.15583351415669</c:v>
                </c:pt>
                <c:pt idx="114">
                  <c:v>51.035164250482659</c:v>
                </c:pt>
                <c:pt idx="115">
                  <c:v>51.921500573127425</c:v>
                </c:pt>
                <c:pt idx="116">
                  <c:v>52.81482175925818</c:v>
                </c:pt>
                <c:pt idx="117">
                  <c:v>53.715107036523605</c:v>
                </c:pt>
                <c:pt idx="118">
                  <c:v>54.622335583473728</c:v>
                </c:pt>
                <c:pt idx="119">
                  <c:v>55.536486529980699</c:v>
                </c:pt>
                <c:pt idx="120">
                  <c:v>56.457538957660475</c:v>
                </c:pt>
                <c:pt idx="121">
                  <c:v>57.385471900295421</c:v>
                </c:pt>
                <c:pt idx="122">
                  <c:v>58.320264344257701</c:v>
                </c:pt>
                <c:pt idx="123">
                  <c:v>59.261895228933511</c:v>
                </c:pt>
                <c:pt idx="124">
                  <c:v>60.210343447148048</c:v>
                </c:pt>
                <c:pt idx="125">
                  <c:v>61.165587845591219</c:v>
                </c:pt>
                <c:pt idx="126">
                  <c:v>62.127607225244056</c:v>
                </c:pt>
                <c:pt idx="127">
                  <c:v>63.096380341805776</c:v>
                </c:pt>
                <c:pt idx="128">
                  <c:v>64.071885906121452</c:v>
                </c:pt>
                <c:pt idx="129">
                  <c:v>65.054102584610291</c:v>
                </c:pt>
                <c:pt idx="130">
                  <c:v>66.043008999694493</c:v>
                </c:pt>
                <c:pt idx="131">
                  <c:v>67.038583730228552</c:v>
                </c:pt>
                <c:pt idx="132">
                  <c:v>68.04080531192912</c:v>
                </c:pt>
                <c:pt idx="133">
                  <c:v>69.04965223780529</c:v>
                </c:pt>
                <c:pt idx="134">
                  <c:v>70.065102958589293</c:v>
                </c:pt>
                <c:pt idx="135">
                  <c:v>71.087135883167605</c:v>
                </c:pt>
                <c:pt idx="136">
                  <c:v>72.115729379012379</c:v>
                </c:pt>
                <c:pt idx="137">
                  <c:v>73.15086177261324</c:v>
                </c:pt>
                <c:pt idx="138">
                  <c:v>74.192511349909296</c:v>
                </c:pt>
                <c:pt idx="139">
                  <c:v>75.24065635672153</c:v>
                </c:pt>
                <c:pt idx="140">
                  <c:v>76.295274999185267</c:v>
                </c:pt>
                <c:pt idx="141">
                  <c:v>77.356345444182949</c:v>
                </c:pt>
                <c:pt idx="142">
                  <c:v>78.423845819777057</c:v>
                </c:pt>
                <c:pt idx="143">
                  <c:v>79.497754215643084</c:v>
                </c:pt>
                <c:pt idx="144">
                  <c:v>80.578048683502743</c:v>
                </c:pt>
                <c:pt idx="145">
                  <c:v>81.664707237557124</c:v>
                </c:pt>
                <c:pt idx="146">
                  <c:v>82.757707854919971</c:v>
                </c:pt>
                <c:pt idx="147">
                  <c:v>83.857028476050957</c:v>
                </c:pt>
                <c:pt idx="148">
                  <c:v>84.962647005188884</c:v>
                </c:pt>
                <c:pt idx="149">
                  <c:v>86.074541310784923</c:v>
                </c:pt>
                <c:pt idx="150">
                  <c:v>87.192689225935709</c:v>
                </c:pt>
                <c:pt idx="151">
                  <c:v>88.317068961453813</c:v>
                </c:pt>
                <c:pt idx="152">
                  <c:v>89.447659519146569</c:v>
                </c:pt>
                <c:pt idx="153">
                  <c:v>90.584440279702392</c:v>
                </c:pt>
                <c:pt idx="154">
                  <c:v>91.72739059035041</c:v>
                </c:pt>
                <c:pt idx="155">
                  <c:v>92.876489765256835</c:v>
                </c:pt>
                <c:pt idx="156">
                  <c:v>94.031717085921301</c:v>
                </c:pt>
                <c:pt idx="157">
                  <c:v>95.193051801573034</c:v>
                </c:pt>
                <c:pt idx="158">
                  <c:v>96.360473129566984</c:v>
                </c:pt>
                <c:pt idx="159">
                  <c:v>97.533960255779689</c:v>
                </c:pt>
                <c:pt idx="160">
                  <c:v>98.713492335005057</c:v>
                </c:pt>
                <c:pt idx="161">
                  <c:v>99.899048491349888</c:v>
                </c:pt>
                <c:pt idx="162">
                  <c:v>101.09060781862915</c:v>
                </c:pt>
                <c:pt idx="163">
                  <c:v>102.28814938076106</c:v>
                </c:pt>
                <c:pt idx="164">
                  <c:v>103.49165221216182</c:v>
                </c:pt>
                <c:pt idx="165">
                  <c:v>104.70109531814016</c:v>
                </c:pt>
                <c:pt idx="166">
                  <c:v>105.91645767529138</c:v>
                </c:pt>
                <c:pt idx="167">
                  <c:v>107.13771823189123</c:v>
                </c:pt>
                <c:pt idx="168">
                  <c:v>108.36485590828927</c:v>
                </c:pt>
                <c:pt idx="169">
                  <c:v>109.59784959730196</c:v>
                </c:pt>
                <c:pt idx="170">
                  <c:v>110.83667816460523</c:v>
                </c:pt>
                <c:pt idx="171">
                  <c:v>112.08132044912669</c:v>
                </c:pt>
                <c:pt idx="172">
                  <c:v>113.33175526343732</c:v>
                </c:pt>
                <c:pt idx="173">
                  <c:v>114.58796139414265</c:v>
                </c:pt>
                <c:pt idx="174">
                  <c:v>115.84991760227362</c:v>
                </c:pt>
                <c:pt idx="175">
                  <c:v>117.11760262367662</c:v>
                </c:pt>
                <c:pt idx="176">
                  <c:v>118.3909951694032</c:v>
                </c:pt>
                <c:pt idx="177">
                  <c:v>119.67007392609918</c:v>
                </c:pt>
                <c:pt idx="178">
                  <c:v>120.95481755639308</c:v>
                </c:pt>
                <c:pt idx="179">
                  <c:v>122.24520469928399</c:v>
                </c:pt>
                <c:pt idx="180">
                  <c:v>123.5412139705288</c:v>
                </c:pt>
                <c:pt idx="181">
                  <c:v>124.84282396302883</c:v>
                </c:pt>
                <c:pt idx="182">
                  <c:v>126.15001324721565</c:v>
                </c:pt>
                <c:pt idx="183">
                  <c:v>127.46276037143636</c:v>
                </c:pt>
                <c:pt idx="184">
                  <c:v>128.78104386233801</c:v>
                </c:pt>
                <c:pt idx="185">
                  <c:v>130.10484222525142</c:v>
                </c:pt>
                <c:pt idx="186">
                  <c:v>131.43413394457409</c:v>
                </c:pt>
                <c:pt idx="187">
                  <c:v>132.76889748415255</c:v>
                </c:pt>
                <c:pt idx="188">
                  <c:v>134.10911128766364</c:v>
                </c:pt>
                <c:pt idx="189">
                  <c:v>135.45475377899521</c:v>
                </c:pt>
                <c:pt idx="190">
                  <c:v>136.80580336262588</c:v>
                </c:pt>
                <c:pt idx="191">
                  <c:v>138.16223842400396</c:v>
                </c:pt>
                <c:pt idx="192">
                  <c:v>139.52403732992548</c:v>
                </c:pt>
                <c:pt idx="193">
                  <c:v>140.89117842891139</c:v>
                </c:pt>
                <c:pt idx="194">
                  <c:v>142.26364005158376</c:v>
                </c:pt>
                <c:pt idx="195">
                  <c:v>143.64140051104121</c:v>
                </c:pt>
                <c:pt idx="196">
                  <c:v>145.02443810323317</c:v>
                </c:pt>
                <c:pt idx="197">
                  <c:v>146.41273110733334</c:v>
                </c:pt>
                <c:pt idx="198">
                  <c:v>147.80625778611221</c:v>
                </c:pt>
                <c:pt idx="199">
                  <c:v>149.20499638630838</c:v>
                </c:pt>
                <c:pt idx="200">
                  <c:v>150.6089251389991</c:v>
                </c:pt>
                <c:pt idx="201">
                  <c:v>152.01802225996957</c:v>
                </c:pt>
                <c:pt idx="202">
                  <c:v>153.43226595008136</c:v>
                </c:pt>
                <c:pt idx="203">
                  <c:v>154.85163439563968</c:v>
                </c:pt>
                <c:pt idx="204">
                  <c:v>156.27610576875958</c:v>
                </c:pt>
                <c:pt idx="205">
                  <c:v>157.70565822773102</c:v>
                </c:pt>
                <c:pt idx="206">
                  <c:v>159.14026991738291</c:v>
                </c:pt>
                <c:pt idx="207">
                  <c:v>160.57991896944594</c:v>
                </c:pt>
                <c:pt idx="208">
                  <c:v>162.02458350291434</c:v>
                </c:pt>
                <c:pt idx="209">
                  <c:v>163.47424162440635</c:v>
                </c:pt>
                <c:pt idx="210">
                  <c:v>164.92887142852368</c:v>
                </c:pt>
                <c:pt idx="211">
                  <c:v>166.38845099820966</c:v>
                </c:pt>
                <c:pt idx="212">
                  <c:v>167.85295840510622</c:v>
                </c:pt>
                <c:pt idx="213">
                  <c:v>169.3223717099097</c:v>
                </c:pt>
                <c:pt idx="214">
                  <c:v>170.79666896272528</c:v>
                </c:pt>
                <c:pt idx="215">
                  <c:v>172.2758282034203</c:v>
                </c:pt>
                <c:pt idx="216">
                  <c:v>173.7598274619763</c:v>
                </c:pt>
                <c:pt idx="217">
                  <c:v>175.24864475883973</c:v>
                </c:pt>
                <c:pt idx="218">
                  <c:v>176.74225810527133</c:v>
                </c:pt>
                <c:pt idx="219">
                  <c:v>178.24064550369437</c:v>
                </c:pt>
                <c:pt idx="220">
                  <c:v>179.74378494804134</c:v>
                </c:pt>
                <c:pt idx="221">
                  <c:v>181.25165442409954</c:v>
                </c:pt>
                <c:pt idx="222">
                  <c:v>182.76423190985514</c:v>
                </c:pt>
                <c:pt idx="223">
                  <c:v>184.28149537583602</c:v>
                </c:pt>
                <c:pt idx="224">
                  <c:v>185.80342278545308</c:v>
                </c:pt>
                <c:pt idx="225">
                  <c:v>187.32999209534034</c:v>
                </c:pt>
                <c:pt idx="226">
                  <c:v>188.86118125569359</c:v>
                </c:pt>
                <c:pt idx="227">
                  <c:v>190.39696821060747</c:v>
                </c:pt>
                <c:pt idx="228">
                  <c:v>191.9373308984114</c:v>
                </c:pt>
                <c:pt idx="229">
                  <c:v>193.4822472520039</c:v>
                </c:pt>
                <c:pt idx="230">
                  <c:v>195.03169519918549</c:v>
                </c:pt>
                <c:pt idx="231">
                  <c:v>196.58565266299019</c:v>
                </c:pt>
                <c:pt idx="232">
                  <c:v>198.1440975620155</c:v>
                </c:pt>
                <c:pt idx="233">
                  <c:v>199.70700781075089</c:v>
                </c:pt>
                <c:pt idx="234">
                  <c:v>201.27436131990493</c:v>
                </c:pt>
                <c:pt idx="235">
                  <c:v>202.84613599673071</c:v>
                </c:pt>
                <c:pt idx="236">
                  <c:v>204.42230974534996</c:v>
                </c:pt>
                <c:pt idx="237">
                  <c:v>206.00286046707552</c:v>
                </c:pt>
                <c:pt idx="238">
                  <c:v>207.58776606073229</c:v>
                </c:pt>
                <c:pt idx="239">
                  <c:v>209.17700442297672</c:v>
                </c:pt>
                <c:pt idx="240">
                  <c:v>210.77055344861469</c:v>
                </c:pt>
                <c:pt idx="241">
                  <c:v>212.36839103091785</c:v>
                </c:pt>
                <c:pt idx="242">
                  <c:v>213.97049506193829</c:v>
                </c:pt>
                <c:pt idx="243">
                  <c:v>215.5768434328219</c:v>
                </c:pt>
                <c:pt idx="244">
                  <c:v>217.18741403411985</c:v>
                </c:pt>
                <c:pt idx="245">
                  <c:v>218.80218475609863</c:v>
                </c:pt>
                <c:pt idx="246">
                  <c:v>220.4211334890484</c:v>
                </c:pt>
                <c:pt idx="247">
                  <c:v>222.04423812358991</c:v>
                </c:pt>
                <c:pt idx="248">
                  <c:v>223.67147655097952</c:v>
                </c:pt>
                <c:pt idx="249">
                  <c:v>225.3028266634129</c:v>
                </c:pt>
                <c:pt idx="250">
                  <c:v>226.93826635432683</c:v>
                </c:pt>
                <c:pt idx="251">
                  <c:v>228.5777717415167</c:v>
                </c:pt>
                <c:pt idx="252">
                  <c:v>230.22131539081062</c:v>
                </c:pt>
                <c:pt idx="253">
                  <c:v>231.86886809579477</c:v>
                </c:pt>
                <c:pt idx="254">
                  <c:v>233.52040065703846</c:v>
                </c:pt>
                <c:pt idx="255">
                  <c:v>235.17588388250601</c:v>
                </c:pt>
                <c:pt idx="256">
                  <c:v>236.83528858796566</c:v>
                </c:pt>
                <c:pt idx="257">
                  <c:v>238.49858559739559</c:v>
                </c:pt>
                <c:pt idx="258">
                  <c:v>240.16574574338713</c:v>
                </c:pt>
                <c:pt idx="259">
                  <c:v>241.83673986754496</c:v>
                </c:pt>
                <c:pt idx="260">
                  <c:v>243.51153882088445</c:v>
                </c:pt>
                <c:pt idx="261">
                  <c:v>245.1901134642261</c:v>
                </c:pt>
                <c:pt idx="262">
                  <c:v>246.872434668587</c:v>
                </c:pt>
                <c:pt idx="263">
                  <c:v>248.55847331556933</c:v>
                </c:pt>
                <c:pt idx="264">
                  <c:v>250.248200297746</c:v>
                </c:pt>
                <c:pt idx="265">
                  <c:v>251.94158651904334</c:v>
                </c:pt>
                <c:pt idx="266">
                  <c:v>253.63860289512073</c:v>
                </c:pt>
                <c:pt idx="267">
                  <c:v>255.33922035374735</c:v>
                </c:pt>
                <c:pt idx="268">
                  <c:v>257.04340983517602</c:v>
                </c:pt>
                <c:pt idx="269">
                  <c:v>258.75114229251386</c:v>
                </c:pt>
                <c:pt idx="270">
                  <c:v>260.4623886920902</c:v>
                </c:pt>
                <c:pt idx="271">
                  <c:v>262.17712001382142</c:v>
                </c:pt>
                <c:pt idx="272">
                  <c:v>263.89530725157283</c:v>
                </c:pt>
                <c:pt idx="273">
                  <c:v>265.6169214135175</c:v>
                </c:pt>
                <c:pt idx="274">
                  <c:v>267.34193352249207</c:v>
                </c:pt>
                <c:pt idx="275">
                  <c:v>269.07031461634972</c:v>
                </c:pt>
                <c:pt idx="276">
                  <c:v>270.80203574831006</c:v>
                </c:pt>
                <c:pt idx="277">
                  <c:v>272.53706798730587</c:v>
                </c:pt>
                <c:pt idx="278">
                  <c:v>274.27538241832718</c:v>
                </c:pt>
                <c:pt idx="279">
                  <c:v>276.01695014276197</c:v>
                </c:pt>
                <c:pt idx="280">
                  <c:v>277.76174227873406</c:v>
                </c:pt>
                <c:pt idx="281">
                  <c:v>279.50972996143804</c:v>
                </c:pt>
                <c:pt idx="282">
                  <c:v>281.26088434347099</c:v>
                </c:pt>
                <c:pt idx="283">
                  <c:v>283.01517659516134</c:v>
                </c:pt>
                <c:pt idx="284">
                  <c:v>284.77257790489472</c:v>
                </c:pt>
                <c:pt idx="285">
                  <c:v>286.53305947943676</c:v>
                </c:pt>
                <c:pt idx="286">
                  <c:v>288.29659254425275</c:v>
                </c:pt>
                <c:pt idx="287">
                  <c:v>290.06314834382448</c:v>
                </c:pt>
                <c:pt idx="288">
                  <c:v>291.8326981419641</c:v>
                </c:pt>
                <c:pt idx="289">
                  <c:v>293.60521322212463</c:v>
                </c:pt>
                <c:pt idx="290">
                  <c:v>295.38066488770789</c:v>
                </c:pt>
                <c:pt idx="291">
                  <c:v>297.15902446236902</c:v>
                </c:pt>
                <c:pt idx="292">
                  <c:v>298.94026329031823</c:v>
                </c:pt>
                <c:pt idx="293">
                  <c:v>300.72435273661966</c:v>
                </c:pt>
                <c:pt idx="294">
                  <c:v>302.5112641874868</c:v>
                </c:pt>
                <c:pt idx="295">
                  <c:v>304.30096905057525</c:v>
                </c:pt>
                <c:pt idx="296">
                  <c:v>306.09343875527242</c:v>
                </c:pt>
                <c:pt idx="297">
                  <c:v>307.88864475298419</c:v>
                </c:pt>
                <c:pt idx="298">
                  <c:v>309.68653902881954</c:v>
                </c:pt>
                <c:pt idx="299">
                  <c:v>311.48703462730384</c:v>
                </c:pt>
                <c:pt idx="300">
                  <c:v>313.29002517959941</c:v>
                </c:pt>
                <c:pt idx="301">
                  <c:v>315.0954044176608</c:v>
                </c:pt>
                <c:pt idx="302">
                  <c:v>316.90306617642699</c:v>
                </c:pt>
                <c:pt idx="303">
                  <c:v>318.71290439597681</c:v>
                </c:pt>
                <c:pt idx="304">
                  <c:v>320.52481312364716</c:v>
                </c:pt>
                <c:pt idx="305">
                  <c:v>322.33868651611465</c:v>
                </c:pt>
                <c:pt idx="306">
                  <c:v>324.15441884143996</c:v>
                </c:pt>
                <c:pt idx="307">
                  <c:v>325.97190448107568</c:v>
                </c:pt>
                <c:pt idx="308">
                  <c:v>327.7910379318372</c:v>
                </c:pt>
                <c:pt idx="309">
                  <c:v>329.61171380783691</c:v>
                </c:pt>
                <c:pt idx="310">
                  <c:v>331.43382684238179</c:v>
                </c:pt>
                <c:pt idx="311">
                  <c:v>333.25727188983433</c:v>
                </c:pt>
                <c:pt idx="312">
                  <c:v>335.08194392743701</c:v>
                </c:pt>
                <c:pt idx="313">
                  <c:v>336.90773805710018</c:v>
                </c:pt>
                <c:pt idx="314">
                  <c:v>338.73454950715393</c:v>
                </c:pt>
                <c:pt idx="315">
                  <c:v>340.56227363406327</c:v>
                </c:pt>
                <c:pt idx="316">
                  <c:v>342.39080592410761</c:v>
                </c:pt>
                <c:pt idx="317">
                  <c:v>344.22004199502368</c:v>
                </c:pt>
                <c:pt idx="318">
                  <c:v>346.04987759761303</c:v>
                </c:pt>
                <c:pt idx="319">
                  <c:v>347.88020861731331</c:v>
                </c:pt>
                <c:pt idx="320">
                  <c:v>349.71093107573398</c:v>
                </c:pt>
                <c:pt idx="321">
                  <c:v>351.54194887936637</c:v>
                </c:pt>
                <c:pt idx="322">
                  <c:v>353.3731815586504</c:v>
                </c:pt>
                <c:pt idx="323">
                  <c:v>355.20455650078401</c:v>
                </c:pt>
                <c:pt idx="324">
                  <c:v>357.03600119173421</c:v>
                </c:pt>
                <c:pt idx="325">
                  <c:v>358.86744321686359</c:v>
                </c:pt>
                <c:pt idx="326">
                  <c:v>360.69881026154013</c:v>
                </c:pt>
                <c:pt idx="327">
                  <c:v>362.53003011172962</c:v>
                </c:pt>
                <c:pt idx="328">
                  <c:v>364.36103065457144</c:v>
                </c:pt>
                <c:pt idx="329">
                  <c:v>366.19173987893748</c:v>
                </c:pt>
                <c:pt idx="330">
                  <c:v>368.02208587597414</c:v>
                </c:pt>
                <c:pt idx="331">
                  <c:v>369.85199683962787</c:v>
                </c:pt>
                <c:pt idx="332">
                  <c:v>371.68140106715418</c:v>
                </c:pt>
                <c:pt idx="333">
                  <c:v>373.51022695960978</c:v>
                </c:pt>
                <c:pt idx="334">
                  <c:v>375.33840302232892</c:v>
                </c:pt>
                <c:pt idx="335">
                  <c:v>377.16585786538303</c:v>
                </c:pt>
                <c:pt idx="336">
                  <c:v>378.99252020402429</c:v>
                </c:pt>
                <c:pt idx="337">
                  <c:v>380.81831885911299</c:v>
                </c:pt>
                <c:pt idx="338">
                  <c:v>382.64318275752919</c:v>
                </c:pt>
                <c:pt idx="339">
                  <c:v>384.46704093256801</c:v>
                </c:pt>
                <c:pt idx="340">
                  <c:v>386.28982252431962</c:v>
                </c:pt>
                <c:pt idx="341">
                  <c:v>388.11145678003294</c:v>
                </c:pt>
                <c:pt idx="342">
                  <c:v>389.93187305446429</c:v>
                </c:pt>
                <c:pt idx="343">
                  <c:v>391.75100081021003</c:v>
                </c:pt>
                <c:pt idx="344">
                  <c:v>393.56876961802419</c:v>
                </c:pt>
                <c:pt idx="345">
                  <c:v>395.38510915712038</c:v>
                </c:pt>
                <c:pt idx="346">
                  <c:v>397.1999492154589</c:v>
                </c:pt>
                <c:pt idx="347">
                  <c:v>399.01321969001833</c:v>
                </c:pt>
                <c:pt idx="348">
                  <c:v>400.82485142223686</c:v>
                </c:pt>
                <c:pt idx="349">
                  <c:v>402.63477703209844</c:v>
                </c:pt>
                <c:pt idx="350">
                  <c:v>404.44293008043405</c:v>
                </c:pt>
                <c:pt idx="351">
                  <c:v>406.24924423252725</c:v>
                </c:pt>
                <c:pt idx="352">
                  <c:v>408.05365325827097</c:v>
                </c:pt>
                <c:pt idx="353">
                  <c:v>409.85609103231076</c:v>
                </c:pt>
                <c:pt idx="354">
                  <c:v>411.65649153417553</c:v>
                </c:pt>
                <c:pt idx="355">
                  <c:v>413.45478884839497</c:v>
                </c:pt>
                <c:pt idx="356">
                  <c:v>415.25091716460474</c:v>
                </c:pt>
                <c:pt idx="357">
                  <c:v>417.04481077763842</c:v>
                </c:pt>
                <c:pt idx="358">
                  <c:v>418.83640408760721</c:v>
                </c:pt>
                <c:pt idx="359">
                  <c:v>420.62563159996722</c:v>
                </c:pt>
                <c:pt idx="360">
                  <c:v>422.41244529304026</c:v>
                </c:pt>
                <c:pt idx="361">
                  <c:v>424.19683195549652</c:v>
                </c:pt>
                <c:pt idx="362">
                  <c:v>425.97879575924941</c:v>
                </c:pt>
                <c:pt idx="363">
                  <c:v>427.75834086238825</c:v>
                </c:pt>
                <c:pt idx="364">
                  <c:v>429.53547140923843</c:v>
                </c:pt>
                <c:pt idx="365">
                  <c:v>431.31019153042092</c:v>
                </c:pt>
                <c:pt idx="366">
                  <c:v>433.08250534291182</c:v>
                </c:pt>
                <c:pt idx="367">
                  <c:v>434.8524169501012</c:v>
                </c:pt>
                <c:pt idx="368">
                  <c:v>436.61993044185203</c:v>
                </c:pt>
                <c:pt idx="369">
                  <c:v>438.38504989455845</c:v>
                </c:pt>
                <c:pt idx="370">
                  <c:v>440.1477793712038</c:v>
                </c:pt>
                <c:pt idx="371">
                  <c:v>441.90812292141857</c:v>
                </c:pt>
                <c:pt idx="372">
                  <c:v>443.66608458153763</c:v>
                </c:pt>
                <c:pt idx="373">
                  <c:v>445.42166837465754</c:v>
                </c:pt>
                <c:pt idx="374">
                  <c:v>447.17487831069315</c:v>
                </c:pt>
                <c:pt idx="375">
                  <c:v>448.92571838643437</c:v>
                </c:pt>
                <c:pt idx="376">
                  <c:v>450.67419258560221</c:v>
                </c:pt>
                <c:pt idx="377">
                  <c:v>452.42030487890469</c:v>
                </c:pt>
                <c:pt idx="378">
                  <c:v>454.1640592240924</c:v>
                </c:pt>
                <c:pt idx="379">
                  <c:v>455.90545956601397</c:v>
                </c:pt>
                <c:pt idx="380">
                  <c:v>457.64450983667092</c:v>
                </c:pt>
                <c:pt idx="381">
                  <c:v>459.3812139552723</c:v>
                </c:pt>
                <c:pt idx="382">
                  <c:v>461.1155758282892</c:v>
                </c:pt>
                <c:pt idx="383">
                  <c:v>462.84759934950887</c:v>
                </c:pt>
                <c:pt idx="384">
                  <c:v>464.57728840008843</c:v>
                </c:pt>
                <c:pt idx="385">
                  <c:v>466.30464684860851</c:v>
                </c:pt>
                <c:pt idx="386">
                  <c:v>468.02967855112644</c:v>
                </c:pt>
                <c:pt idx="387">
                  <c:v>469.75238735122917</c:v>
                </c:pt>
                <c:pt idx="388">
                  <c:v>471.47277708008602</c:v>
                </c:pt>
                <c:pt idx="389">
                  <c:v>473.19085155650095</c:v>
                </c:pt>
                <c:pt idx="390">
                  <c:v>474.90661458696474</c:v>
                </c:pt>
                <c:pt idx="391">
                  <c:v>476.62006996570688</c:v>
                </c:pt>
                <c:pt idx="392">
                  <c:v>478.331221474747</c:v>
                </c:pt>
                <c:pt idx="393">
                  <c:v>480.04007288394615</c:v>
                </c:pt>
                <c:pt idx="394">
                  <c:v>481.74662795105797</c:v>
                </c:pt>
                <c:pt idx="395">
                  <c:v>483.45089042177915</c:v>
                </c:pt>
                <c:pt idx="396">
                  <c:v>485.15286402980018</c:v>
                </c:pt>
                <c:pt idx="397">
                  <c:v>486.85255249685531</c:v>
                </c:pt>
                <c:pt idx="398">
                  <c:v>488.54995953277256</c:v>
                </c:pt>
                <c:pt idx="399">
                  <c:v>490.24508883552346</c:v>
                </c:pt>
                <c:pt idx="400">
                  <c:v>491.93794409127236</c:v>
                </c:pt>
                <c:pt idx="401">
                  <c:v>508.74170869813679</c:v>
                </c:pt>
                <c:pt idx="402">
                  <c:v>525.32043421578862</c:v>
                </c:pt>
                <c:pt idx="403">
                  <c:v>541.67769313597285</c:v>
                </c:pt>
                <c:pt idx="404">
                  <c:v>557.81694627271884</c:v>
                </c:pt>
                <c:pt idx="405">
                  <c:v>573.74154726872325</c:v>
                </c:pt>
                <c:pt idx="406">
                  <c:v>589.45474687242347</c:v>
                </c:pt>
                <c:pt idx="407">
                  <c:v>604.95969699966679</c:v>
                </c:pt>
                <c:pt idx="408">
                  <c:v>620.25945459289983</c:v>
                </c:pt>
                <c:pt idx="409">
                  <c:v>635.35698528990451</c:v>
                </c:pt>
                <c:pt idx="410">
                  <c:v>650.25516691327471</c:v>
                </c:pt>
                <c:pt idx="411">
                  <c:v>664.95679279106696</c:v>
                </c:pt>
                <c:pt idx="412">
                  <c:v>679.46457491835042</c:v>
                </c:pt>
                <c:pt idx="413">
                  <c:v>693.78114696873206</c:v>
                </c:pt>
                <c:pt idx="414">
                  <c:v>707.90906716433108</c:v>
                </c:pt>
                <c:pt idx="415">
                  <c:v>721.85082101211958</c:v>
                </c:pt>
                <c:pt idx="416">
                  <c:v>735.60882391403356</c:v>
                </c:pt>
                <c:pt idx="417">
                  <c:v>749.18542365777955</c:v>
                </c:pt>
                <c:pt idx="418">
                  <c:v>762.58290279482071</c:v>
                </c:pt>
                <c:pt idx="419">
                  <c:v>775.80348091161773</c:v>
                </c:pt>
                <c:pt idx="420">
                  <c:v>788.84931679981707</c:v>
                </c:pt>
                <c:pt idx="421">
                  <c:v>801.72251053072819</c:v>
                </c:pt>
                <c:pt idx="422">
                  <c:v>814.42510543910043</c:v>
                </c:pt>
                <c:pt idx="423">
                  <c:v>826.95909002090661</c:v>
                </c:pt>
                <c:pt idx="424">
                  <c:v>839.32639974955487</c:v>
                </c:pt>
                <c:pt idx="425">
                  <c:v>851.52891881468611</c:v>
                </c:pt>
                <c:pt idx="426">
                  <c:v>863.56848178746645</c:v>
                </c:pt>
                <c:pt idx="427">
                  <c:v>875.44687521605545</c:v>
                </c:pt>
                <c:pt idx="428">
                  <c:v>887.16583915471449</c:v>
                </c:pt>
                <c:pt idx="429">
                  <c:v>898.72706862982056</c:v>
                </c:pt>
                <c:pt idx="430">
                  <c:v>910.1322150458617</c:v>
                </c:pt>
                <c:pt idx="431">
                  <c:v>921.38288753431664</c:v>
                </c:pt>
                <c:pt idx="432">
                  <c:v>932.48065424815627</c:v>
                </c:pt>
                <c:pt idx="433">
                  <c:v>943.42704360455195</c:v>
                </c:pt>
                <c:pt idx="434">
                  <c:v>954.22354547823136</c:v>
                </c:pt>
                <c:pt idx="435">
                  <c:v>964.87161234778898</c:v>
                </c:pt>
                <c:pt idx="436">
                  <c:v>975.37266039713097</c:v>
                </c:pt>
                <c:pt idx="437">
                  <c:v>985.72807057411683</c:v>
                </c:pt>
                <c:pt idx="438">
                  <c:v>995.9391896083489</c:v>
                </c:pt>
                <c:pt idx="439">
                  <c:v>1006.0073309899566</c:v>
                </c:pt>
                <c:pt idx="440">
                  <c:v>1015.9337759111237</c:v>
                </c:pt>
                <c:pt idx="441">
                  <c:v>1025.719774172017</c:v>
                </c:pt>
                <c:pt idx="442">
                  <c:v>1035.3665450526839</c:v>
                </c:pt>
                <c:pt idx="443">
                  <c:v>1044.875278152412</c:v>
                </c:pt>
                <c:pt idx="444">
                  <c:v>1054.2471341979578</c:v>
                </c:pt>
                <c:pt idx="445">
                  <c:v>1063.4832458219901</c:v>
                </c:pt>
                <c:pt idx="446">
                  <c:v>1072.5847183130143</c:v>
                </c:pt>
                <c:pt idx="447">
                  <c:v>1081.552630337992</c:v>
                </c:pt>
                <c:pt idx="448">
                  <c:v>1090.3880346387982</c:v>
                </c:pt>
                <c:pt idx="449">
                  <c:v>1099.0919587036096</c:v>
                </c:pt>
                <c:pt idx="450">
                  <c:v>1107.6654054142596</c:v>
                </c:pt>
                <c:pt idx="451">
                  <c:v>1116.1093536705466</c:v>
                </c:pt>
                <c:pt idx="452">
                  <c:v>1124.4247589924344</c:v>
                </c:pt>
                <c:pt idx="453">
                  <c:v>1132.6125541010347</c:v>
                </c:pt>
                <c:pt idx="454">
                  <c:v>1140.6736494792249</c:v>
                </c:pt>
                <c:pt idx="455">
                  <c:v>1148.6089339127091</c:v>
                </c:pt>
                <c:pt idx="456">
                  <c:v>1156.4192750122916</c:v>
                </c:pt>
                <c:pt idx="457">
                  <c:v>1164.1055197181008</c:v>
                </c:pt>
                <c:pt idx="458">
                  <c:v>1171.6684947864621</c:v>
                </c:pt>
                <c:pt idx="459">
                  <c:v>1179.1090072600871</c:v>
                </c:pt>
                <c:pt idx="460">
                  <c:v>1186.4278449222165</c:v>
                </c:pt>
                <c:pt idx="461">
                  <c:v>1193.6257767353268</c:v>
                </c:pt>
                <c:pt idx="462">
                  <c:v>1200.7035532649761</c:v>
                </c:pt>
                <c:pt idx="463">
                  <c:v>1207.6619070893473</c:v>
                </c:pt>
                <c:pt idx="464">
                  <c:v>1214.5015531950157</c:v>
                </c:pt>
                <c:pt idx="465">
                  <c:v>1221.223189359446</c:v>
                </c:pt>
                <c:pt idx="466">
                  <c:v>1227.8274965207022</c:v>
                </c:pt>
                <c:pt idx="467">
                  <c:v>1234.3151391348322</c:v>
                </c:pt>
                <c:pt idx="468">
                  <c:v>1240.6867655213678</c:v>
                </c:pt>
                <c:pt idx="469">
                  <c:v>1246.9430081973626</c:v>
                </c:pt>
                <c:pt idx="470">
                  <c:v>1253.0844842003723</c:v>
                </c:pt>
                <c:pt idx="471">
                  <c:v>1259.1117954007639</c:v>
                </c:pt>
                <c:pt idx="472">
                  <c:v>1265.0255288037229</c:v>
                </c:pt>
                <c:pt idx="473">
                  <c:v>1270.8262568413163</c:v>
                </c:pt>
                <c:pt idx="474">
                  <c:v>1276.5145376549481</c:v>
                </c:pt>
                <c:pt idx="475">
                  <c:v>1282.0909153685357</c:v>
                </c:pt>
                <c:pt idx="476">
                  <c:v>1287.5559203527191</c:v>
                </c:pt>
                <c:pt idx="477">
                  <c:v>1292.9100694804038</c:v>
                </c:pt>
                <c:pt idx="478">
                  <c:v>1298.1538663739252</c:v>
                </c:pt>
                <c:pt idx="479">
                  <c:v>1303.2878016441125</c:v>
                </c:pt>
                <c:pt idx="480">
                  <c:v>1308.3123531215192</c:v>
                </c:pt>
                <c:pt idx="481">
                  <c:v>1313.2279860800759</c:v>
                </c:pt>
                <c:pt idx="482">
                  <c:v>1318.0351534534157</c:v>
                </c:pt>
                <c:pt idx="483">
                  <c:v>1322.7342960441085</c:v>
                </c:pt>
                <c:pt idx="484">
                  <c:v>1327.3258427260391</c:v>
                </c:pt>
                <c:pt idx="485">
                  <c:v>1331.8102106401502</c:v>
                </c:pt>
                <c:pt idx="486">
                  <c:v>1336.1878053837709</c:v>
                </c:pt>
                <c:pt idx="487">
                  <c:v>1340.4590211937407</c:v>
                </c:pt>
                <c:pt idx="488">
                  <c:v>1344.6242411235373</c:v>
                </c:pt>
                <c:pt idx="489">
                  <c:v>1348.6838372146121</c:v>
                </c:pt>
                <c:pt idx="490">
                  <c:v>1352.6381706621301</c:v>
                </c:pt>
                <c:pt idx="491">
                  <c:v>1356.4875919753163</c:v>
                </c:pt>
                <c:pt idx="492">
                  <c:v>1360.2324411326028</c:v>
                </c:pt>
                <c:pt idx="493">
                  <c:v>1363.8730477317736</c:v>
                </c:pt>
                <c:pt idx="494">
                  <c:v>1367.4097311353069</c:v>
                </c:pt>
                <c:pt idx="495">
                  <c:v>1370.8428006111189</c:v>
                </c:pt>
                <c:pt idx="496">
                  <c:v>1374.1725554689144</c:v>
                </c:pt>
                <c:pt idx="497">
                  <c:v>1377.3992851923631</c:v>
                </c:pt>
                <c:pt idx="498">
                  <c:v>1380.5232695673267</c:v>
                </c:pt>
                <c:pt idx="499">
                  <c:v>1383.5447788063821</c:v>
                </c:pt>
                <c:pt idx="500">
                  <c:v>1386.4640736698959</c:v>
                </c:pt>
                <c:pt idx="501">
                  <c:v>1389.281405583939</c:v>
                </c:pt>
                <c:pt idx="502">
                  <c:v>1391.9970167553495</c:v>
                </c:pt>
                <c:pt idx="503">
                  <c:v>1394.6111402842989</c:v>
                </c:pt>
                <c:pt idx="504">
                  <c:v>1397.1240002747543</c:v>
                </c:pt>
                <c:pt idx="505">
                  <c:v>1399.5358119432899</c:v>
                </c:pt>
                <c:pt idx="506">
                  <c:v>1401.8467817267717</c:v>
                </c:pt>
                <c:pt idx="507">
                  <c:v>1404.0571073895258</c:v>
                </c:pt>
                <c:pt idx="508">
                  <c:v>1406.1669781307037</c:v>
                </c:pt>
                <c:pt idx="509">
                  <c:v>1408.1765746926978</c:v>
                </c:pt>
                <c:pt idx="510">
                  <c:v>1410.0860694716116</c:v>
                </c:pt>
                <c:pt idx="511">
                  <c:v>1411.8956266309951</c:v>
                </c:pt>
                <c:pt idx="512">
                  <c:v>1413.6054022202916</c:v>
                </c:pt>
                <c:pt idx="513">
                  <c:v>1415.2155442997348</c:v>
                </c:pt>
                <c:pt idx="514">
                  <c:v>1416.7261930737914</c:v>
                </c:pt>
                <c:pt idx="515">
                  <c:v>1418.137481035656</c:v>
                </c:pt>
                <c:pt idx="516">
                  <c:v>1419.4495331258038</c:v>
                </c:pt>
                <c:pt idx="517">
                  <c:v>1420.6624669081712</c:v>
                </c:pt>
                <c:pt idx="518">
                  <c:v>1421.7763927681699</c:v>
                </c:pt>
                <c:pt idx="519">
                  <c:v>1422.791414137426</c:v>
                </c:pt>
                <c:pt idx="520">
                  <c:v>1423.7076277508202</c:v>
                </c:pt>
                <c:pt idx="521">
                  <c:v>1424.525123942039</c:v>
                </c:pt>
                <c:pt idx="522">
                  <c:v>1425.2439869842974</c:v>
                </c:pt>
                <c:pt idx="523">
                  <c:v>1425.8642954830227</c:v>
                </c:pt>
                <c:pt idx="524">
                  <c:v>1426.3861228269077</c:v>
                </c:pt>
                <c:pt idx="525">
                  <c:v>1426.8095377026211</c:v>
                </c:pt>
                <c:pt idx="526">
                  <c:v>1427.1346046764331</c:v>
                </c:pt>
                <c:pt idx="527">
                  <c:v>1427.36138484295</c:v>
                </c:pt>
                <c:pt idx="528">
                  <c:v>1427.4899365371464</c:v>
                </c:pt>
                <c:pt idx="529">
                  <c:v>1427.5203161012212</c:v>
                </c:pt>
                <c:pt idx="530">
                  <c:v>1427.4525786930656</c:v>
                </c:pt>
                <c:pt idx="531">
                  <c:v>1427.2867791190511</c:v>
                </c:pt>
                <c:pt idx="532">
                  <c:v>1427.0229726711766</c:v>
                </c:pt>
                <c:pt idx="533">
                  <c:v>1426.6612159478925</c:v>
                </c:pt>
                <c:pt idx="534">
                  <c:v>1426.2015676393048</c:v>
                </c:pt>
                <c:pt idx="535">
                  <c:v>1425.6440892606629</c:v>
                </c:pt>
                <c:pt idx="536">
                  <c:v>1424.9888458224182</c:v>
                </c:pt>
                <c:pt idx="537">
                  <c:v>1424.2359064299444</c:v>
                </c:pt>
                <c:pt idx="538">
                  <c:v>1423.3853448105212</c:v>
                </c:pt>
                <c:pt idx="539">
                  <c:v>1422.4372397689165</c:v>
                </c:pt>
                <c:pt idx="540">
                  <c:v>1421.3916755756338</c:v>
                </c:pt>
                <c:pt idx="541">
                  <c:v>1420.2487422936156</c:v>
                </c:pt>
                <c:pt idx="542">
                  <c:v>1419.0085360500375</c:v>
                </c:pt>
                <c:pt idx="543">
                  <c:v>1417.6711592600197</c:v>
                </c:pt>
                <c:pt idx="544">
                  <c:v>1416.2367208088176</c:v>
                </c:pt>
                <c:pt idx="545">
                  <c:v>1414.7053361985118</c:v>
                </c:pt>
                <c:pt idx="546">
                  <c:v>1413.077127664556</c:v>
                </c:pt>
                <c:pt idx="547">
                  <c:v>1411.3522242668337</c:v>
                </c:pt>
                <c:pt idx="548">
                  <c:v>1409.5307619591961</c:v>
                </c:pt>
                <c:pt idx="549">
                  <c:v>1407.6128836408323</c:v>
                </c:pt>
                <c:pt idx="550">
                  <c:v>1405.5987391922722</c:v>
                </c:pt>
                <c:pt idx="551">
                  <c:v>1403.4884854983536</c:v>
                </c:pt>
                <c:pt idx="552">
                  <c:v>1401.2822864600785</c:v>
                </c:pt>
                <c:pt idx="553">
                  <c:v>1398.9803129969557</c:v>
                </c:pt>
                <c:pt idx="554">
                  <c:v>1396.5827430411439</c:v>
                </c:pt>
                <c:pt idx="555">
                  <c:v>1394.089761524483</c:v>
                </c:pt>
                <c:pt idx="556">
                  <c:v>1391.5015603593147</c:v>
                </c:pt>
                <c:pt idx="557">
                  <c:v>1388.8183384138381</c:v>
                </c:pt>
                <c:pt idx="558">
                  <c:v>1386.0403014826225</c:v>
                </c:pt>
                <c:pt idx="559">
                  <c:v>1383.1676622527946</c:v>
                </c:pt>
                <c:pt idx="560">
                  <c:v>1380.2006402663362</c:v>
                </c:pt>
                <c:pt idx="561">
                  <c:v>1377.139461878859</c:v>
                </c:pt>
                <c:pt idx="562">
                  <c:v>1373.9843602151655</c:v>
                </c:pt>
                <c:pt idx="563">
                  <c:v>1370.7355751218606</c:v>
                </c:pt>
                <c:pt idx="564">
                  <c:v>1367.3933531172431</c:v>
                </c:pt>
                <c:pt idx="565">
                  <c:v>1363.957947338668</c:v>
                </c:pt>
                <c:pt idx="566">
                  <c:v>1360.4296174875526</c:v>
                </c:pt>
                <c:pt idx="567">
                  <c:v>1356.8086297721736</c:v>
                </c:pt>
                <c:pt idx="568">
                  <c:v>1353.0952568483872</c:v>
                </c:pt>
                <c:pt idx="569">
                  <c:v>1349.2897777583858</c:v>
                </c:pt>
                <c:pt idx="570">
                  <c:v>1345.3924778675998</c:v>
                </c:pt>
                <c:pt idx="571">
                  <c:v>1341.4036487998349</c:v>
                </c:pt>
                <c:pt idx="572">
                  <c:v>1337.3235883707307</c:v>
                </c:pt>
                <c:pt idx="573">
                  <c:v>1333.1526005196226</c:v>
                </c:pt>
                <c:pt idx="574">
                  <c:v>1328.8909952398756</c:v>
                </c:pt>
                <c:pt idx="575">
                  <c:v>1324.5390885077584</c:v>
                </c:pt>
                <c:pt idx="576">
                  <c:v>1320.0972022099247</c:v>
                </c:pt>
                <c:pt idx="577">
                  <c:v>1315.5656640695559</c:v>
                </c:pt>
                <c:pt idx="578">
                  <c:v>1310.944807571226</c:v>
                </c:pt>
                <c:pt idx="579">
                  <c:v>1306.2349718845428</c:v>
                </c:pt>
                <c:pt idx="580">
                  <c:v>1301.4365017866155</c:v>
                </c:pt>
                <c:pt idx="581">
                  <c:v>1296.5497475834002</c:v>
                </c:pt>
                <c:pt idx="582">
                  <c:v>1291.5750650299724</c:v>
                </c:pt>
                <c:pt idx="583">
                  <c:v>1286.5128152497732</c:v>
                </c:pt>
                <c:pt idx="584">
                  <c:v>1281.3633646528751</c:v>
                </c:pt>
                <c:pt idx="585">
                  <c:v>1276.1270848533143</c:v>
                </c:pt>
                <c:pt idx="586">
                  <c:v>1270.8043525855298</c:v>
                </c:pt>
                <c:pt idx="587">
                  <c:v>1265.395549619959</c:v>
                </c:pt>
                <c:pt idx="588">
                  <c:v>1259.9010626778252</c:v>
                </c:pt>
                <c:pt idx="589">
                  <c:v>1254.3212833451669</c:v>
                </c:pt>
                <c:pt idx="590">
                  <c:v>1248.6566079861432</c:v>
                </c:pt>
                <c:pt idx="591">
                  <c:v>1242.9074376556625</c:v>
                </c:pt>
                <c:pt idx="592">
                  <c:v>1237.074178011371</c:v>
                </c:pt>
                <c:pt idx="593">
                  <c:v>1231.1572392250437</c:v>
                </c:pt>
                <c:pt idx="594">
                  <c:v>1225.1570358934159</c:v>
                </c:pt>
                <c:pt idx="595">
                  <c:v>1219.0739869484978</c:v>
                </c:pt>
                <c:pt idx="596">
                  <c:v>1212.9085155674061</c:v>
                </c:pt>
                <c:pt idx="597">
                  <c:v>1206.6610490817568</c:v>
                </c:pt>
                <c:pt idx="598">
                  <c:v>1200.3320188866542</c:v>
                </c:pt>
                <c:pt idx="599">
                  <c:v>1193.9218603493148</c:v>
                </c:pt>
                <c:pt idx="600">
                  <c:v>1187.4310127173644</c:v>
                </c:pt>
                <c:pt idx="601">
                  <c:v>1180.8599190268453</c:v>
                </c:pt>
                <c:pt idx="602">
                  <c:v>1174.2090260099703</c:v>
                </c:pt>
                <c:pt idx="603">
                  <c:v>1167.4787840026606</c:v>
                </c:pt>
                <c:pt idx="604">
                  <c:v>1160.6696468519035</c:v>
                </c:pt>
                <c:pt idx="605">
                  <c:v>1153.7820718229659</c:v>
                </c:pt>
                <c:pt idx="606">
                  <c:v>1146.8165195064987</c:v>
                </c:pt>
                <c:pt idx="607">
                  <c:v>1139.7734537255674</c:v>
                </c:pt>
                <c:pt idx="608">
                  <c:v>1132.6533414426444</c:v>
                </c:pt>
                <c:pt idx="609">
                  <c:v>1125.4566526665956</c:v>
                </c:pt>
                <c:pt idx="610">
                  <c:v>1118.1838603596957</c:v>
                </c:pt>
                <c:pt idx="611">
                  <c:v>1110.835440344707</c:v>
                </c:pt>
                <c:pt idx="612">
                  <c:v>1103.4118712120528</c:v>
                </c:pt>
                <c:pt idx="613">
                  <c:v>1095.9136342271183</c:v>
                </c:pt>
                <c:pt idx="614">
                  <c:v>1088.3412132377121</c:v>
                </c:pt>
                <c:pt idx="615">
                  <c:v>1080.6950945817175</c:v>
                </c:pt>
                <c:pt idx="616">
                  <c:v>1072.9757669949688</c:v>
                </c:pt>
                <c:pt idx="617">
                  <c:v>1065.1837215193773</c:v>
                </c:pt>
                <c:pt idx="618">
                  <c:v>1057.3194514113432</c:v>
                </c:pt>
                <c:pt idx="619">
                  <c:v>1049.3834520504779</c:v>
                </c:pt>
                <c:pt idx="620">
                  <c:v>1041.3762208486692</c:v>
                </c:pt>
                <c:pt idx="621">
                  <c:v>1033.2982571595153</c:v>
                </c:pt>
                <c:pt idx="622">
                  <c:v>1025.1500621881576</c:v>
                </c:pt>
                <c:pt idx="623">
                  <c:v>1016.9321389015386</c:v>
                </c:pt>
                <c:pt idx="624">
                  <c:v>1008.6449919391113</c:v>
                </c:pt>
                <c:pt idx="625">
                  <c:v>1000.2891275240272</c:v>
                </c:pt>
                <c:pt idx="626">
                  <c:v>991.86505337482868</c:v>
                </c:pt>
                <c:pt idx="627">
                  <c:v>983.37327861766948</c:v>
                </c:pt>
                <c:pt idx="628">
                  <c:v>974.81431369908978</c:v>
                </c:pt>
                <c:pt idx="629">
                  <c:v>966.18867029936769</c:v>
                </c:pt>
                <c:pt idx="630">
                  <c:v>957.49686124647224</c:v>
                </c:pt>
                <c:pt idx="631">
                  <c:v>948.73940043063908</c:v>
                </c:pt>
                <c:pt idx="632">
                  <c:v>939.91680271959228</c:v>
                </c:pt>
                <c:pt idx="633">
                  <c:v>931.02958387443289</c:v>
                </c:pt>
                <c:pt idx="634">
                  <c:v>922.07826046621506</c:v>
                </c:pt>
                <c:pt idx="635">
                  <c:v>913.06334979323071</c:v>
                </c:pt>
                <c:pt idx="636">
                  <c:v>903.98536979902167</c:v>
                </c:pt>
                <c:pt idx="637">
                  <c:v>894.84483899113832</c:v>
                </c:pt>
                <c:pt idx="638">
                  <c:v>885.64227636066369</c:v>
                </c:pt>
                <c:pt idx="639">
                  <c:v>876.37820130252044</c:v>
                </c:pt>
                <c:pt idx="640">
                  <c:v>867.05313353657743</c:v>
                </c:pt>
                <c:pt idx="641">
                  <c:v>857.66759302957314</c:v>
                </c:pt>
                <c:pt idx="642">
                  <c:v>848.22209991787133</c:v>
                </c:pt>
                <c:pt idx="643">
                  <c:v>838.71717443106445</c:v>
                </c:pt>
                <c:pt idx="644">
                  <c:v>829.15333681643938</c:v>
                </c:pt>
                <c:pt idx="645">
                  <c:v>819.5311072643193</c:v>
                </c:pt>
                <c:pt idx="646">
                  <c:v>809.85100583429573</c:v>
                </c:pt>
                <c:pt idx="647">
                  <c:v>800.11355238236251</c:v>
                </c:pt>
                <c:pt idx="648">
                  <c:v>790.31926648896501</c:v>
                </c:pt>
                <c:pt idx="649">
                  <c:v>780.46866738797542</c:v>
                </c:pt>
                <c:pt idx="650">
                  <c:v>770.56227389660546</c:v>
                </c:pt>
                <c:pt idx="651">
                  <c:v>760.60060434626655</c:v>
                </c:pt>
                <c:pt idx="652">
                  <c:v>750.58417651438754</c:v>
                </c:pt>
                <c:pt idx="653">
                  <c:v>740.51350755719909</c:v>
                </c:pt>
                <c:pt idx="654">
                  <c:v>730.38911394349316</c:v>
                </c:pt>
                <c:pt idx="655">
                  <c:v>720.21151138936591</c:v>
                </c:pt>
                <c:pt idx="656">
                  <c:v>709.98121479395093</c:v>
                </c:pt>
                <c:pt idx="657">
                  <c:v>699.69873817615075</c:v>
                </c:pt>
                <c:pt idx="658">
                  <c:v>689.36459461237132</c:v>
                </c:pt>
                <c:pt idx="659">
                  <c:v>678.97929617526688</c:v>
                </c:pt>
                <c:pt idx="660">
                  <c:v>668.54335387349954</c:v>
                </c:pt>
                <c:pt idx="661">
                  <c:v>658.05727759251806</c:v>
                </c:pt>
                <c:pt idx="662">
                  <c:v>647.52157603636101</c:v>
                </c:pt>
                <c:pt idx="663">
                  <c:v>636.93675667048637</c:v>
                </c:pt>
                <c:pt idx="664">
                  <c:v>626.30332566563243</c:v>
                </c:pt>
                <c:pt idx="665">
                  <c:v>615.62178784271111</c:v>
                </c:pt>
                <c:pt idx="666">
                  <c:v>604.89264661873653</c:v>
                </c:pt>
                <c:pt idx="667">
                  <c:v>594.11640395379038</c:v>
                </c:pt>
                <c:pt idx="668">
                  <c:v>583.29356029902522</c:v>
                </c:pt>
                <c:pt idx="669">
                  <c:v>572.42461454570571</c:v>
                </c:pt>
                <c:pt idx="670">
                  <c:v>561.51006397528909</c:v>
                </c:pt>
                <c:pt idx="671">
                  <c:v>550.55040421054366</c:v>
                </c:pt>
                <c:pt idx="672">
                  <c:v>539.54612916770498</c:v>
                </c:pt>
                <c:pt idx="673">
                  <c:v>528.49773100966831</c:v>
                </c:pt>
                <c:pt idx="674">
                  <c:v>517.40570010021645</c:v>
                </c:pt>
                <c:pt idx="675">
                  <c:v>506.2705249592795</c:v>
                </c:pt>
                <c:pt idx="676">
                  <c:v>495.09269221922602</c:v>
                </c:pt>
                <c:pt idx="677">
                  <c:v>483.87268658218102</c:v>
                </c:pt>
                <c:pt idx="678">
                  <c:v>472.61099077836866</c:v>
                </c:pt>
                <c:pt idx="679">
                  <c:v>461.30808552547563</c:v>
                </c:pt>
                <c:pt idx="680">
                  <c:v>449.96444948903132</c:v>
                </c:pt>
                <c:pt idx="681">
                  <c:v>438.58055924380039</c:v>
                </c:pt>
                <c:pt idx="682">
                  <c:v>427.15688923618313</c:v>
                </c:pt>
                <c:pt idx="683">
                  <c:v>415.69391174761876</c:v>
                </c:pt>
                <c:pt idx="684">
                  <c:v>404.19209685898591</c:v>
                </c:pt>
                <c:pt idx="685">
                  <c:v>392.65191241599484</c:v>
                </c:pt>
                <c:pt idx="686">
                  <c:v>381.07382399556565</c:v>
                </c:pt>
                <c:pt idx="687">
                  <c:v>369.45829487318565</c:v>
                </c:pt>
                <c:pt idx="688">
                  <c:v>357.80578599123993</c:v>
                </c:pt>
                <c:pt idx="689">
                  <c:v>346.11675592830767</c:v>
                </c:pt>
                <c:pt idx="690">
                  <c:v>334.39166086941759</c:v>
                </c:pt>
                <c:pt idx="691">
                  <c:v>322.63095457725478</c:v>
                </c:pt>
                <c:pt idx="692">
                  <c:v>310.83508836431145</c:v>
                </c:pt>
                <c:pt idx="693">
                  <c:v>299.00451106597376</c:v>
                </c:pt>
                <c:pt idx="694">
                  <c:v>287.13966901453648</c:v>
                </c:pt>
                <c:pt idx="695">
                  <c:v>275.24100601413699</c:v>
                </c:pt>
                <c:pt idx="696">
                  <c:v>263.30896331660068</c:v>
                </c:pt>
                <c:pt idx="697">
                  <c:v>251.34397959818816</c:v>
                </c:pt>
                <c:pt idx="698">
                  <c:v>239.3464909372361</c:v>
                </c:pt>
                <c:pt idx="699">
                  <c:v>227.31693079268194</c:v>
                </c:pt>
                <c:pt idx="700">
                  <c:v>215.2557299834636</c:v>
                </c:pt>
                <c:pt idx="701">
                  <c:v>203.16331666878449</c:v>
                </c:pt>
                <c:pt idx="702">
                  <c:v>191.04011632923417</c:v>
                </c:pt>
                <c:pt idx="703">
                  <c:v>178.88655174875498</c:v>
                </c:pt>
                <c:pt idx="704">
                  <c:v>166.70304299744464</c:v>
                </c:pt>
                <c:pt idx="705">
                  <c:v>154.49000741518475</c:v>
                </c:pt>
                <c:pt idx="706">
                  <c:v>142.24785959608496</c:v>
                </c:pt>
                <c:pt idx="707">
                  <c:v>129.97701137373264</c:v>
                </c:pt>
                <c:pt idx="708">
                  <c:v>117.67787180723749</c:v>
                </c:pt>
                <c:pt idx="709">
                  <c:v>105.3508471680606</c:v>
                </c:pt>
                <c:pt idx="710">
                  <c:v>92.996340927617368</c:v>
                </c:pt>
                <c:pt idx="711">
                  <c:v>80.614753745643668</c:v>
                </c:pt>
                <c:pt idx="712">
                  <c:v>68.206483459314299</c:v>
                </c:pt>
                <c:pt idx="713">
                  <c:v>55.771925073103048</c:v>
                </c:pt>
                <c:pt idx="714">
                  <c:v>43.311470749373328</c:v>
                </c:pt>
                <c:pt idx="715">
                  <c:v>30.825509799688554</c:v>
                </c:pt>
                <c:pt idx="716">
                  <c:v>18.314428676831142</c:v>
                </c:pt>
                <c:pt idx="717">
                  <c:v>5.7786109675191106</c:v>
                </c:pt>
                <c:pt idx="718">
                  <c:v>-6.7815626141907881</c:v>
                </c:pt>
                <c:pt idx="719">
                  <c:v>-6.7941348827845758</c:v>
                </c:pt>
                <c:pt idx="720">
                  <c:v>-6.8067071751680173</c:v>
                </c:pt>
                <c:pt idx="721">
                  <c:v>-6.8192794913407386</c:v>
                </c:pt>
                <c:pt idx="722">
                  <c:v>-6.8318518313023677</c:v>
                </c:pt>
                <c:pt idx="723">
                  <c:v>-6.8444241950525324</c:v>
                </c:pt>
                <c:pt idx="724">
                  <c:v>-6.8569965825908588</c:v>
                </c:pt>
                <c:pt idx="725">
                  <c:v>-6.8695689939169746</c:v>
                </c:pt>
                <c:pt idx="726">
                  <c:v>-6.8821414290305079</c:v>
                </c:pt>
                <c:pt idx="727">
                  <c:v>-6.8947138879310845</c:v>
                </c:pt>
                <c:pt idx="728">
                  <c:v>-6.9072863706183325</c:v>
                </c:pt>
                <c:pt idx="729">
                  <c:v>-6.9198588770918796</c:v>
                </c:pt>
                <c:pt idx="730">
                  <c:v>-6.932431407351352</c:v>
                </c:pt>
                <c:pt idx="731">
                  <c:v>-6.9450039613963783</c:v>
                </c:pt>
                <c:pt idx="732">
                  <c:v>-6.9575765392265847</c:v>
                </c:pt>
                <c:pt idx="733">
                  <c:v>-6.970149140841599</c:v>
                </c:pt>
                <c:pt idx="734">
                  <c:v>-6.9827217662410481</c:v>
                </c:pt>
                <c:pt idx="735">
                  <c:v>-6.99529441542456</c:v>
                </c:pt>
                <c:pt idx="736">
                  <c:v>-7.0078670883917615</c:v>
                </c:pt>
                <c:pt idx="737">
                  <c:v>-7.0204397851422797</c:v>
                </c:pt>
                <c:pt idx="738">
                  <c:v>-7.0330125056757424</c:v>
                </c:pt>
                <c:pt idx="739">
                  <c:v>-7.0455852499917766</c:v>
                </c:pt>
                <c:pt idx="740">
                  <c:v>-7.0581580180900101</c:v>
                </c:pt>
                <c:pt idx="741">
                  <c:v>-7.0707308099700699</c:v>
                </c:pt>
                <c:pt idx="742">
                  <c:v>-7.0833036256315829</c:v>
                </c:pt>
                <c:pt idx="743">
                  <c:v>-7.095876465074177</c:v>
                </c:pt>
                <c:pt idx="744">
                  <c:v>-7.1084493282974792</c:v>
                </c:pt>
                <c:pt idx="745">
                  <c:v>-7.1210222153011165</c:v>
                </c:pt>
                <c:pt idx="746">
                  <c:v>-7.1335951260847166</c:v>
                </c:pt>
                <c:pt idx="747">
                  <c:v>-7.1461680606479074</c:v>
                </c:pt>
                <c:pt idx="748">
                  <c:v>-7.158741018990316</c:v>
                </c:pt>
                <c:pt idx="749">
                  <c:v>-7.1713140011115692</c:v>
                </c:pt>
                <c:pt idx="750">
                  <c:v>-7.183887007011295</c:v>
                </c:pt>
                <c:pt idx="751">
                  <c:v>-7.1964600366891203</c:v>
                </c:pt>
                <c:pt idx="752">
                  <c:v>-7.209033090144672</c:v>
                </c:pt>
                <c:pt idx="753">
                  <c:v>-7.221606167377578</c:v>
                </c:pt>
                <c:pt idx="754">
                  <c:v>-7.2341792683874662</c:v>
                </c:pt>
                <c:pt idx="755">
                  <c:v>-7.2467523931739635</c:v>
                </c:pt>
                <c:pt idx="756">
                  <c:v>-7.2593255417366969</c:v>
                </c:pt>
                <c:pt idx="757">
                  <c:v>-7.2718987140752942</c:v>
                </c:pt>
                <c:pt idx="758">
                  <c:v>-7.2844719101893824</c:v>
                </c:pt>
                <c:pt idx="759">
                  <c:v>-7.2970451300785895</c:v>
                </c:pt>
                <c:pt idx="760">
                  <c:v>-7.3096183737425422</c:v>
                </c:pt>
                <c:pt idx="761">
                  <c:v>-7.3221916411808676</c:v>
                </c:pt>
                <c:pt idx="762">
                  <c:v>-7.3347649323931936</c:v>
                </c:pt>
                <c:pt idx="763">
                  <c:v>-7.347338247379148</c:v>
                </c:pt>
                <c:pt idx="764">
                  <c:v>-7.3599115861383577</c:v>
                </c:pt>
                <c:pt idx="765">
                  <c:v>-7.3724849486704498</c:v>
                </c:pt>
                <c:pt idx="766">
                  <c:v>-7.385058334975052</c:v>
                </c:pt>
                <c:pt idx="767">
                  <c:v>-7.3976317450517923</c:v>
                </c:pt>
                <c:pt idx="768">
                  <c:v>-7.4102051789002976</c:v>
                </c:pt>
                <c:pt idx="769">
                  <c:v>-7.4227786365201949</c:v>
                </c:pt>
                <c:pt idx="770">
                  <c:v>-7.4353521179111119</c:v>
                </c:pt>
                <c:pt idx="771">
                  <c:v>-7.4479256230726758</c:v>
                </c:pt>
                <c:pt idx="772">
                  <c:v>-7.4604991520045143</c:v>
                </c:pt>
                <c:pt idx="773">
                  <c:v>-7.4730727047062553</c:v>
                </c:pt>
                <c:pt idx="774">
                  <c:v>-7.4856462811775257</c:v>
                </c:pt>
                <c:pt idx="775">
                  <c:v>-7.4982198814179526</c:v>
                </c:pt>
                <c:pt idx="776">
                  <c:v>-7.5107935054271637</c:v>
                </c:pt>
                <c:pt idx="777">
                  <c:v>-7.5233671532047861</c:v>
                </c:pt>
                <c:pt idx="778">
                  <c:v>-7.5359408247504476</c:v>
                </c:pt>
                <c:pt idx="779">
                  <c:v>-7.548514520063776</c:v>
                </c:pt>
                <c:pt idx="780">
                  <c:v>-7.5610882391443983</c:v>
                </c:pt>
                <c:pt idx="781">
                  <c:v>-7.5736619819919415</c:v>
                </c:pt>
                <c:pt idx="782">
                  <c:v>-7.5862357486060334</c:v>
                </c:pt>
                <c:pt idx="783">
                  <c:v>-7.598809538986302</c:v>
                </c:pt>
                <c:pt idx="784">
                  <c:v>-7.611383353132374</c:v>
                </c:pt>
                <c:pt idx="785">
                  <c:v>-7.6239571910438775</c:v>
                </c:pt>
                <c:pt idx="786">
                  <c:v>-7.6365310527204393</c:v>
                </c:pt>
                <c:pt idx="787">
                  <c:v>-7.6491049381616874</c:v>
                </c:pt>
                <c:pt idx="788">
                  <c:v>-7.6616788473672486</c:v>
                </c:pt>
                <c:pt idx="789">
                  <c:v>-7.6742527803367508</c:v>
                </c:pt>
                <c:pt idx="790">
                  <c:v>-7.6868267370698211</c:v>
                </c:pt>
                <c:pt idx="791">
                  <c:v>-7.6994007175660872</c:v>
                </c:pt>
                <c:pt idx="792">
                  <c:v>-7.7119747218251771</c:v>
                </c:pt>
                <c:pt idx="793">
                  <c:v>-7.7245487498467176</c:v>
                </c:pt>
                <c:pt idx="794">
                  <c:v>-7.7371228016303366</c:v>
                </c:pt>
                <c:pt idx="795">
                  <c:v>-7.7496968771756611</c:v>
                </c:pt>
                <c:pt idx="796">
                  <c:v>-7.762270976482319</c:v>
                </c:pt>
                <c:pt idx="797">
                  <c:v>-7.7748450995499372</c:v>
                </c:pt>
                <c:pt idx="798">
                  <c:v>-7.7874192463781435</c:v>
                </c:pt>
                <c:pt idx="799">
                  <c:v>-7.799993416966565</c:v>
                </c:pt>
                <c:pt idx="800">
                  <c:v>-7.8125676113148304</c:v>
                </c:pt>
                <c:pt idx="801">
                  <c:v>-7.8251418294225656</c:v>
                </c:pt>
                <c:pt idx="802">
                  <c:v>-7.8377160712893996</c:v>
                </c:pt>
                <c:pt idx="803">
                  <c:v>-7.8502903369149593</c:v>
                </c:pt>
                <c:pt idx="804">
                  <c:v>-7.8628646262988715</c:v>
                </c:pt>
                <c:pt idx="805">
                  <c:v>-7.8754389394407642</c:v>
                </c:pt>
                <c:pt idx="806">
                  <c:v>-7.8880132763402653</c:v>
                </c:pt>
                <c:pt idx="807">
                  <c:v>-7.9005876369970016</c:v>
                </c:pt>
                <c:pt idx="808">
                  <c:v>-7.9131620214106011</c:v>
                </c:pt>
                <c:pt idx="809">
                  <c:v>-7.9257364295806916</c:v>
                </c:pt>
                <c:pt idx="810">
                  <c:v>-7.9383108615069</c:v>
                </c:pt>
                <c:pt idx="811">
                  <c:v>-7.9508853171888543</c:v>
                </c:pt>
                <c:pt idx="812">
                  <c:v>-7.9634597966261813</c:v>
                </c:pt>
                <c:pt idx="813">
                  <c:v>-7.976034299818509</c:v>
                </c:pt>
                <c:pt idx="814">
                  <c:v>-7.9886088267654651</c:v>
                </c:pt>
                <c:pt idx="815">
                  <c:v>-8.0011833774666776</c:v>
                </c:pt>
                <c:pt idx="816">
                  <c:v>-8.0137579519217734</c:v>
                </c:pt>
                <c:pt idx="817">
                  <c:v>-8.0263325501303804</c:v>
                </c:pt>
                <c:pt idx="818">
                  <c:v>-8.0389071720921255</c:v>
                </c:pt>
                <c:pt idx="819">
                  <c:v>-8.0514818178066356</c:v>
                </c:pt>
                <c:pt idx="820">
                  <c:v>-8.0640564872735396</c:v>
                </c:pt>
                <c:pt idx="821">
                  <c:v>-8.0766311804924644</c:v>
                </c:pt>
                <c:pt idx="822">
                  <c:v>-8.089205897463037</c:v>
                </c:pt>
                <c:pt idx="823">
                  <c:v>-8.101780638184886</c:v>
                </c:pt>
                <c:pt idx="824">
                  <c:v>-8.1143554026576385</c:v>
                </c:pt>
                <c:pt idx="825">
                  <c:v>-8.1269301908809233</c:v>
                </c:pt>
                <c:pt idx="826">
                  <c:v>-8.1395050028543672</c:v>
                </c:pt>
                <c:pt idx="827">
                  <c:v>-8.1520798385775972</c:v>
                </c:pt>
                <c:pt idx="828">
                  <c:v>-8.1646546980502404</c:v>
                </c:pt>
                <c:pt idx="829">
                  <c:v>-8.1772295812719253</c:v>
                </c:pt>
                <c:pt idx="830">
                  <c:v>-8.1898044882422791</c:v>
                </c:pt>
                <c:pt idx="831">
                  <c:v>-8.2023794189609305</c:v>
                </c:pt>
                <c:pt idx="832">
                  <c:v>-8.2149543734275046</c:v>
                </c:pt>
                <c:pt idx="833">
                  <c:v>-8.2275293516416319</c:v>
                </c:pt>
                <c:pt idx="834">
                  <c:v>-8.2401043536029377</c:v>
                </c:pt>
                <c:pt idx="835">
                  <c:v>-8.2526793793110507</c:v>
                </c:pt>
                <c:pt idx="836">
                  <c:v>-8.2652544287655978</c:v>
                </c:pt>
                <c:pt idx="837">
                  <c:v>-8.2778295019662078</c:v>
                </c:pt>
                <c:pt idx="838">
                  <c:v>-8.2904045989125077</c:v>
                </c:pt>
                <c:pt idx="839">
                  <c:v>-8.3029797196041244</c:v>
                </c:pt>
                <c:pt idx="840">
                  <c:v>-8.3155548640406867</c:v>
                </c:pt>
                <c:pt idx="841">
                  <c:v>-8.3281300322218215</c:v>
                </c:pt>
                <c:pt idx="842">
                  <c:v>-8.3407052241471558</c:v>
                </c:pt>
                <c:pt idx="843">
                  <c:v>-8.3532804398163183</c:v>
                </c:pt>
                <c:pt idx="844">
                  <c:v>-8.365855679228936</c:v>
                </c:pt>
                <c:pt idx="845">
                  <c:v>-8.3784309423846359</c:v>
                </c:pt>
                <c:pt idx="846">
                  <c:v>-8.3910062292830467</c:v>
                </c:pt>
                <c:pt idx="847">
                  <c:v>-8.4035815399237954</c:v>
                </c:pt>
                <c:pt idx="848">
                  <c:v>-8.4161568743065107</c:v>
                </c:pt>
                <c:pt idx="849">
                  <c:v>-8.4287322324308196</c:v>
                </c:pt>
                <c:pt idx="850">
                  <c:v>-8.441307614296349</c:v>
                </c:pt>
                <c:pt idx="851">
                  <c:v>-8.4538830199027277</c:v>
                </c:pt>
                <c:pt idx="852">
                  <c:v>-8.4664584492495827</c:v>
                </c:pt>
                <c:pt idx="853">
                  <c:v>-8.4790339023365409</c:v>
                </c:pt>
                <c:pt idx="854">
                  <c:v>-8.491609379163231</c:v>
                </c:pt>
                <c:pt idx="855">
                  <c:v>-8.5041848797292818</c:v>
                </c:pt>
                <c:pt idx="856">
                  <c:v>-8.5167604040343186</c:v>
                </c:pt>
                <c:pt idx="857">
                  <c:v>-8.5293359520779699</c:v>
                </c:pt>
                <c:pt idx="858">
                  <c:v>-8.5419115238598629</c:v>
                </c:pt>
                <c:pt idx="859">
                  <c:v>-8.5544871193796261</c:v>
                </c:pt>
                <c:pt idx="860">
                  <c:v>-8.5670627386368867</c:v>
                </c:pt>
                <c:pt idx="861">
                  <c:v>-8.5796383816312733</c:v>
                </c:pt>
                <c:pt idx="862">
                  <c:v>-8.592214048362413</c:v>
                </c:pt>
                <c:pt idx="863">
                  <c:v>-8.6047897388299326</c:v>
                </c:pt>
                <c:pt idx="864">
                  <c:v>-8.6173654530334609</c:v>
                </c:pt>
                <c:pt idx="865">
                  <c:v>-8.6299411909726249</c:v>
                </c:pt>
                <c:pt idx="866">
                  <c:v>-8.6425169526470533</c:v>
                </c:pt>
                <c:pt idx="867">
                  <c:v>-8.6550927380563731</c:v>
                </c:pt>
                <c:pt idx="868">
                  <c:v>-8.6676685472002113</c:v>
                </c:pt>
                <c:pt idx="869">
                  <c:v>-8.6802443800781965</c:v>
                </c:pt>
                <c:pt idx="870">
                  <c:v>-8.6928202366899558</c:v>
                </c:pt>
                <c:pt idx="871">
                  <c:v>-8.7053961170351162</c:v>
                </c:pt>
                <c:pt idx="872">
                  <c:v>-8.7179720211133063</c:v>
                </c:pt>
                <c:pt idx="873">
                  <c:v>-8.7305479489241549</c:v>
                </c:pt>
                <c:pt idx="874">
                  <c:v>-8.7431239004672872</c:v>
                </c:pt>
                <c:pt idx="875">
                  <c:v>-8.7556998757423337</c:v>
                </c:pt>
                <c:pt idx="876">
                  <c:v>-8.7682758747489196</c:v>
                </c:pt>
                <c:pt idx="877">
                  <c:v>-8.7808518974866736</c:v>
                </c:pt>
                <c:pt idx="878">
                  <c:v>-8.7934279439552245</c:v>
                </c:pt>
                <c:pt idx="879">
                  <c:v>-8.8060040141541993</c:v>
                </c:pt>
                <c:pt idx="880">
                  <c:v>-8.8185801080832249</c:v>
                </c:pt>
                <c:pt idx="881">
                  <c:v>-8.83115622574193</c:v>
                </c:pt>
                <c:pt idx="882">
                  <c:v>-8.8437323671299417</c:v>
                </c:pt>
                <c:pt idx="883">
                  <c:v>-8.8563085322468869</c:v>
                </c:pt>
                <c:pt idx="884">
                  <c:v>-8.8688847210923942</c:v>
                </c:pt>
                <c:pt idx="885">
                  <c:v>-8.8814609336660926</c:v>
                </c:pt>
                <c:pt idx="886">
                  <c:v>-8.8940371699676088</c:v>
                </c:pt>
                <c:pt idx="887">
                  <c:v>-8.90661342999657</c:v>
                </c:pt>
                <c:pt idx="888">
                  <c:v>-8.9191897137526048</c:v>
                </c:pt>
                <c:pt idx="889">
                  <c:v>-8.9317660212353402</c:v>
                </c:pt>
                <c:pt idx="890">
                  <c:v>-8.944342352444405</c:v>
                </c:pt>
                <c:pt idx="891">
                  <c:v>-8.9569187073794261</c:v>
                </c:pt>
                <c:pt idx="892">
                  <c:v>-8.9694950860400304</c:v>
                </c:pt>
                <c:pt idx="893">
                  <c:v>-8.9820714884258468</c:v>
                </c:pt>
                <c:pt idx="894">
                  <c:v>-8.9946479145365021</c:v>
                </c:pt>
                <c:pt idx="895">
                  <c:v>-9.0072243643716252</c:v>
                </c:pt>
                <c:pt idx="896">
                  <c:v>-9.0198008379308448</c:v>
                </c:pt>
                <c:pt idx="897">
                  <c:v>-9.0323773352137859</c:v>
                </c:pt>
                <c:pt idx="898">
                  <c:v>-9.0449538562200793</c:v>
                </c:pt>
                <c:pt idx="899">
                  <c:v>-9.05753040094935</c:v>
                </c:pt>
                <c:pt idx="900">
                  <c:v>-9.0701069694012268</c:v>
                </c:pt>
                <c:pt idx="901">
                  <c:v>-9.0826835615753385</c:v>
                </c:pt>
                <c:pt idx="902">
                  <c:v>-9.095260177471312</c:v>
                </c:pt>
                <c:pt idx="903">
                  <c:v>-9.1078368170887742</c:v>
                </c:pt>
                <c:pt idx="904">
                  <c:v>-9.120413480427354</c:v>
                </c:pt>
                <c:pt idx="905">
                  <c:v>-9.13299016748668</c:v>
                </c:pt>
                <c:pt idx="906">
                  <c:v>-9.1455668782663775</c:v>
                </c:pt>
                <c:pt idx="907">
                  <c:v>-9.1581436127660769</c:v>
                </c:pt>
                <c:pt idx="908">
                  <c:v>-9.1707203709854053</c:v>
                </c:pt>
                <c:pt idx="909">
                  <c:v>-9.1832971529239895</c:v>
                </c:pt>
                <c:pt idx="910">
                  <c:v>-9.1958739585814584</c:v>
                </c:pt>
                <c:pt idx="911">
                  <c:v>-9.2084507879574389</c:v>
                </c:pt>
                <c:pt idx="912">
                  <c:v>-9.2210276410515579</c:v>
                </c:pt>
                <c:pt idx="913">
                  <c:v>-9.233604517863446</c:v>
                </c:pt>
                <c:pt idx="914">
                  <c:v>-9.2461814183927284</c:v>
                </c:pt>
                <c:pt idx="915">
                  <c:v>-9.2587583426390339</c:v>
                </c:pt>
                <c:pt idx="916">
                  <c:v>-9.271335290601991</c:v>
                </c:pt>
                <c:pt idx="917">
                  <c:v>-9.2839122622812269</c:v>
                </c:pt>
                <c:pt idx="918">
                  <c:v>-9.2964892576763702</c:v>
                </c:pt>
                <c:pt idx="919">
                  <c:v>-9.309066276787048</c:v>
                </c:pt>
                <c:pt idx="920">
                  <c:v>-9.3216433196128872</c:v>
                </c:pt>
                <c:pt idx="921">
                  <c:v>-9.3342203861535165</c:v>
                </c:pt>
                <c:pt idx="922">
                  <c:v>-9.3467974764085646</c:v>
                </c:pt>
                <c:pt idx="923">
                  <c:v>-9.3593745903776586</c:v>
                </c:pt>
                <c:pt idx="924">
                  <c:v>-9.3719517280604254</c:v>
                </c:pt>
                <c:pt idx="925">
                  <c:v>-9.3845288894564938</c:v>
                </c:pt>
                <c:pt idx="926">
                  <c:v>-9.3971060745654924</c:v>
                </c:pt>
                <c:pt idx="927">
                  <c:v>-9.4096832833870483</c:v>
                </c:pt>
                <c:pt idx="928">
                  <c:v>-9.4222605159207884</c:v>
                </c:pt>
                <c:pt idx="929">
                  <c:v>-9.4348377721663415</c:v>
                </c:pt>
                <c:pt idx="930">
                  <c:v>-9.4474150521233362</c:v>
                </c:pt>
                <c:pt idx="931">
                  <c:v>-9.4599923557913996</c:v>
                </c:pt>
                <c:pt idx="932">
                  <c:v>-9.4725696831701587</c:v>
                </c:pt>
                <c:pt idx="933">
                  <c:v>-9.4851470342592421</c:v>
                </c:pt>
                <c:pt idx="934">
                  <c:v>-9.4977244090582786</c:v>
                </c:pt>
                <c:pt idx="935">
                  <c:v>-9.5103018075668952</c:v>
                </c:pt>
                <c:pt idx="936">
                  <c:v>-9.5228792297847189</c:v>
                </c:pt>
                <c:pt idx="937">
                  <c:v>-9.5354566757113783</c:v>
                </c:pt>
                <c:pt idx="938">
                  <c:v>-9.5480341453465023</c:v>
                </c:pt>
                <c:pt idx="939">
                  <c:v>-9.5606116386897178</c:v>
                </c:pt>
                <c:pt idx="940">
                  <c:v>-9.5731891557406534</c:v>
                </c:pt>
                <c:pt idx="941">
                  <c:v>-9.5857666964989363</c:v>
                </c:pt>
                <c:pt idx="942">
                  <c:v>-9.5983442609641934</c:v>
                </c:pt>
                <c:pt idx="943">
                  <c:v>-9.6109218491360551</c:v>
                </c:pt>
                <c:pt idx="944">
                  <c:v>-9.6234994610141467</c:v>
                </c:pt>
                <c:pt idx="945">
                  <c:v>-9.6360770965980986</c:v>
                </c:pt>
                <c:pt idx="946">
                  <c:v>-9.6486547558875362</c:v>
                </c:pt>
                <c:pt idx="947">
                  <c:v>-9.6612324388820898</c:v>
                </c:pt>
                <c:pt idx="948">
                  <c:v>-9.6738101455813847</c:v>
                </c:pt>
                <c:pt idx="949">
                  <c:v>-9.6863878759850515</c:v>
                </c:pt>
                <c:pt idx="950">
                  <c:v>-9.6989656300927169</c:v>
                </c:pt>
                <c:pt idx="951">
                  <c:v>-9.7115434079040082</c:v>
                </c:pt>
                <c:pt idx="952">
                  <c:v>-9.7241212094185538</c:v>
                </c:pt>
                <c:pt idx="953">
                  <c:v>-9.7366990346359827</c:v>
                </c:pt>
                <c:pt idx="954">
                  <c:v>-9.7492768835559218</c:v>
                </c:pt>
                <c:pt idx="955">
                  <c:v>-9.761854756177998</c:v>
                </c:pt>
                <c:pt idx="956">
                  <c:v>-9.7744326525018401</c:v>
                </c:pt>
                <c:pt idx="957">
                  <c:v>-9.7870105725270768</c:v>
                </c:pt>
                <c:pt idx="958">
                  <c:v>-9.7995885162533352</c:v>
                </c:pt>
                <c:pt idx="959">
                  <c:v>-9.8121664836802438</c:v>
                </c:pt>
                <c:pt idx="960">
                  <c:v>-9.8247444748074297</c:v>
                </c:pt>
                <c:pt idx="961">
                  <c:v>-9.8373224896345217</c:v>
                </c:pt>
                <c:pt idx="962">
                  <c:v>-9.8499005281611485</c:v>
                </c:pt>
                <c:pt idx="963">
                  <c:v>-9.862478590386937</c:v>
                </c:pt>
                <c:pt idx="964">
                  <c:v>-9.8750566763115142</c:v>
                </c:pt>
                <c:pt idx="965">
                  <c:v>-9.8876347859345088</c:v>
                </c:pt>
                <c:pt idx="966">
                  <c:v>-9.9002129192555497</c:v>
                </c:pt>
                <c:pt idx="967">
                  <c:v>-9.9127910762742637</c:v>
                </c:pt>
                <c:pt idx="968">
                  <c:v>-9.9253692569902796</c:v>
                </c:pt>
                <c:pt idx="969">
                  <c:v>-9.9379474614032262</c:v>
                </c:pt>
                <c:pt idx="970">
                  <c:v>-9.9505256895127285</c:v>
                </c:pt>
                <c:pt idx="971">
                  <c:v>-9.9631039413184173</c:v>
                </c:pt>
                <c:pt idx="972">
                  <c:v>-9.9756822168199193</c:v>
                </c:pt>
                <c:pt idx="973">
                  <c:v>-9.9882605160168634</c:v>
                </c:pt>
                <c:pt idx="974">
                  <c:v>-10.000838838908876</c:v>
                </c:pt>
                <c:pt idx="975">
                  <c:v>-10.013417185495587</c:v>
                </c:pt>
                <c:pt idx="976">
                  <c:v>-10.025995555776623</c:v>
                </c:pt>
                <c:pt idx="977">
                  <c:v>-10.038573949751612</c:v>
                </c:pt>
                <c:pt idx="978">
                  <c:v>-10.051152367420183</c:v>
                </c:pt>
                <c:pt idx="979">
                  <c:v>-10.063730808781964</c:v>
                </c:pt>
                <c:pt idx="980">
                  <c:v>-10.07630927383658</c:v>
                </c:pt>
                <c:pt idx="981">
                  <c:v>-10.088887762583663</c:v>
                </c:pt>
                <c:pt idx="982">
                  <c:v>-10.10146627502284</c:v>
                </c:pt>
                <c:pt idx="983">
                  <c:v>-10.114044811153738</c:v>
                </c:pt>
                <c:pt idx="984">
                  <c:v>-10.126623370975985</c:v>
                </c:pt>
                <c:pt idx="985">
                  <c:v>-10.139201954489209</c:v>
                </c:pt>
                <c:pt idx="986">
                  <c:v>-10.151780561693039</c:v>
                </c:pt>
                <c:pt idx="987">
                  <c:v>-10.164359192587103</c:v>
                </c:pt>
                <c:pt idx="988">
                  <c:v>-10.176937847171027</c:v>
                </c:pt>
                <c:pt idx="989">
                  <c:v>-10.189516525444441</c:v>
                </c:pt>
                <c:pt idx="990">
                  <c:v>-10.202095227406973</c:v>
                </c:pt>
                <c:pt idx="991">
                  <c:v>-10.21467395305825</c:v>
                </c:pt>
                <c:pt idx="992">
                  <c:v>-10.227252702397902</c:v>
                </c:pt>
                <c:pt idx="993">
                  <c:v>-10.239831475425554</c:v>
                </c:pt>
                <c:pt idx="994">
                  <c:v>-10.252410272140837</c:v>
                </c:pt>
                <c:pt idx="995">
                  <c:v>-10.264989092543377</c:v>
                </c:pt>
                <c:pt idx="996">
                  <c:v>-10.277567936632803</c:v>
                </c:pt>
                <c:pt idx="997">
                  <c:v>-10.290146804408742</c:v>
                </c:pt>
                <c:pt idx="998">
                  <c:v>-10.302725695870825</c:v>
                </c:pt>
                <c:pt idx="999">
                  <c:v>-10.315304611018677</c:v>
                </c:pt>
                <c:pt idx="1000">
                  <c:v>-10.327883549851927</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35.800100000000199</c:v>
                </c:pt>
                <c:pt idx="720">
                  <c:v>35.800200000000203</c:v>
                </c:pt>
                <c:pt idx="721">
                  <c:v>35.800300000000206</c:v>
                </c:pt>
                <c:pt idx="722">
                  <c:v>35.800400000000209</c:v>
                </c:pt>
                <c:pt idx="723">
                  <c:v>35.800500000000213</c:v>
                </c:pt>
                <c:pt idx="724">
                  <c:v>35.800600000000216</c:v>
                </c:pt>
                <c:pt idx="725">
                  <c:v>35.800700000000219</c:v>
                </c:pt>
                <c:pt idx="726">
                  <c:v>35.800800000000223</c:v>
                </c:pt>
                <c:pt idx="727">
                  <c:v>35.800900000000226</c:v>
                </c:pt>
                <c:pt idx="728">
                  <c:v>35.801000000000229</c:v>
                </c:pt>
                <c:pt idx="729">
                  <c:v>35.801100000000233</c:v>
                </c:pt>
                <c:pt idx="730">
                  <c:v>35.801200000000236</c:v>
                </c:pt>
                <c:pt idx="731">
                  <c:v>35.801300000000239</c:v>
                </c:pt>
                <c:pt idx="732">
                  <c:v>35.801400000000243</c:v>
                </c:pt>
                <c:pt idx="733">
                  <c:v>35.801500000000246</c:v>
                </c:pt>
                <c:pt idx="734">
                  <c:v>35.801600000000249</c:v>
                </c:pt>
                <c:pt idx="735">
                  <c:v>35.801700000000253</c:v>
                </c:pt>
                <c:pt idx="736">
                  <c:v>35.801800000000256</c:v>
                </c:pt>
                <c:pt idx="737">
                  <c:v>35.801900000000259</c:v>
                </c:pt>
                <c:pt idx="738">
                  <c:v>35.802000000000263</c:v>
                </c:pt>
                <c:pt idx="739">
                  <c:v>35.802100000000266</c:v>
                </c:pt>
                <c:pt idx="740">
                  <c:v>35.802200000000269</c:v>
                </c:pt>
                <c:pt idx="741">
                  <c:v>35.802300000000272</c:v>
                </c:pt>
                <c:pt idx="742">
                  <c:v>35.802400000000276</c:v>
                </c:pt>
                <c:pt idx="743">
                  <c:v>35.802500000000279</c:v>
                </c:pt>
                <c:pt idx="744">
                  <c:v>35.802600000000282</c:v>
                </c:pt>
                <c:pt idx="745">
                  <c:v>35.802700000000286</c:v>
                </c:pt>
                <c:pt idx="746">
                  <c:v>35.802800000000289</c:v>
                </c:pt>
                <c:pt idx="747">
                  <c:v>35.802900000000292</c:v>
                </c:pt>
                <c:pt idx="748">
                  <c:v>35.803000000000296</c:v>
                </c:pt>
                <c:pt idx="749">
                  <c:v>35.803100000000299</c:v>
                </c:pt>
                <c:pt idx="750">
                  <c:v>35.803200000000302</c:v>
                </c:pt>
                <c:pt idx="751">
                  <c:v>35.803300000000306</c:v>
                </c:pt>
                <c:pt idx="752">
                  <c:v>35.803400000000309</c:v>
                </c:pt>
                <c:pt idx="753">
                  <c:v>35.803500000000312</c:v>
                </c:pt>
                <c:pt idx="754">
                  <c:v>35.803600000000316</c:v>
                </c:pt>
                <c:pt idx="755">
                  <c:v>35.803700000000319</c:v>
                </c:pt>
                <c:pt idx="756">
                  <c:v>35.803800000000322</c:v>
                </c:pt>
                <c:pt idx="757">
                  <c:v>35.803900000000326</c:v>
                </c:pt>
                <c:pt idx="758">
                  <c:v>35.804000000000329</c:v>
                </c:pt>
                <c:pt idx="759">
                  <c:v>35.804100000000332</c:v>
                </c:pt>
                <c:pt idx="760">
                  <c:v>35.804200000000336</c:v>
                </c:pt>
                <c:pt idx="761">
                  <c:v>35.804300000000339</c:v>
                </c:pt>
                <c:pt idx="762">
                  <c:v>35.804400000000342</c:v>
                </c:pt>
                <c:pt idx="763">
                  <c:v>35.804500000000345</c:v>
                </c:pt>
                <c:pt idx="764">
                  <c:v>35.804600000000349</c:v>
                </c:pt>
                <c:pt idx="765">
                  <c:v>35.804700000000352</c:v>
                </c:pt>
                <c:pt idx="766">
                  <c:v>35.804800000000355</c:v>
                </c:pt>
                <c:pt idx="767">
                  <c:v>35.804900000000359</c:v>
                </c:pt>
                <c:pt idx="768">
                  <c:v>35.805000000000362</c:v>
                </c:pt>
                <c:pt idx="769">
                  <c:v>35.805100000000365</c:v>
                </c:pt>
                <c:pt idx="770">
                  <c:v>35.805200000000369</c:v>
                </c:pt>
                <c:pt idx="771">
                  <c:v>35.805300000000372</c:v>
                </c:pt>
                <c:pt idx="772">
                  <c:v>35.805400000000375</c:v>
                </c:pt>
                <c:pt idx="773">
                  <c:v>35.805500000000379</c:v>
                </c:pt>
                <c:pt idx="774">
                  <c:v>35.805600000000382</c:v>
                </c:pt>
                <c:pt idx="775">
                  <c:v>35.805700000000385</c:v>
                </c:pt>
                <c:pt idx="776">
                  <c:v>35.805800000000389</c:v>
                </c:pt>
                <c:pt idx="777">
                  <c:v>35.805900000000392</c:v>
                </c:pt>
                <c:pt idx="778">
                  <c:v>35.806000000000395</c:v>
                </c:pt>
                <c:pt idx="779">
                  <c:v>35.806100000000399</c:v>
                </c:pt>
                <c:pt idx="780">
                  <c:v>35.806200000000402</c:v>
                </c:pt>
                <c:pt idx="781">
                  <c:v>35.806300000000405</c:v>
                </c:pt>
                <c:pt idx="782">
                  <c:v>35.806400000000409</c:v>
                </c:pt>
                <c:pt idx="783">
                  <c:v>35.806500000000412</c:v>
                </c:pt>
                <c:pt idx="784">
                  <c:v>35.806600000000415</c:v>
                </c:pt>
                <c:pt idx="785">
                  <c:v>35.806700000000419</c:v>
                </c:pt>
                <c:pt idx="786">
                  <c:v>35.806800000000422</c:v>
                </c:pt>
                <c:pt idx="787">
                  <c:v>35.806900000000425</c:v>
                </c:pt>
                <c:pt idx="788">
                  <c:v>35.807000000000428</c:v>
                </c:pt>
                <c:pt idx="789">
                  <c:v>35.807100000000432</c:v>
                </c:pt>
                <c:pt idx="790">
                  <c:v>35.807200000000435</c:v>
                </c:pt>
                <c:pt idx="791">
                  <c:v>35.807300000000438</c:v>
                </c:pt>
                <c:pt idx="792">
                  <c:v>35.807400000000442</c:v>
                </c:pt>
                <c:pt idx="793">
                  <c:v>35.807500000000445</c:v>
                </c:pt>
                <c:pt idx="794">
                  <c:v>35.807600000000448</c:v>
                </c:pt>
                <c:pt idx="795">
                  <c:v>35.807700000000452</c:v>
                </c:pt>
                <c:pt idx="796">
                  <c:v>35.807800000000455</c:v>
                </c:pt>
                <c:pt idx="797">
                  <c:v>35.807900000000458</c:v>
                </c:pt>
                <c:pt idx="798">
                  <c:v>35.808000000000462</c:v>
                </c:pt>
                <c:pt idx="799">
                  <c:v>35.808100000000465</c:v>
                </c:pt>
                <c:pt idx="800">
                  <c:v>35.808200000000468</c:v>
                </c:pt>
                <c:pt idx="801">
                  <c:v>35.808300000000472</c:v>
                </c:pt>
                <c:pt idx="802">
                  <c:v>35.808400000000475</c:v>
                </c:pt>
                <c:pt idx="803">
                  <c:v>35.808500000000478</c:v>
                </c:pt>
                <c:pt idx="804">
                  <c:v>35.808600000000482</c:v>
                </c:pt>
                <c:pt idx="805">
                  <c:v>35.808700000000485</c:v>
                </c:pt>
                <c:pt idx="806">
                  <c:v>35.808800000000488</c:v>
                </c:pt>
                <c:pt idx="807">
                  <c:v>35.808900000000492</c:v>
                </c:pt>
                <c:pt idx="808">
                  <c:v>35.809000000000495</c:v>
                </c:pt>
                <c:pt idx="809">
                  <c:v>35.809100000000498</c:v>
                </c:pt>
                <c:pt idx="810">
                  <c:v>35.809200000000502</c:v>
                </c:pt>
                <c:pt idx="811">
                  <c:v>35.809300000000505</c:v>
                </c:pt>
                <c:pt idx="812">
                  <c:v>35.809400000000508</c:v>
                </c:pt>
                <c:pt idx="813">
                  <c:v>35.809500000000511</c:v>
                </c:pt>
                <c:pt idx="814">
                  <c:v>35.809600000000515</c:v>
                </c:pt>
                <c:pt idx="815">
                  <c:v>35.809700000000518</c:v>
                </c:pt>
                <c:pt idx="816">
                  <c:v>35.809800000000521</c:v>
                </c:pt>
                <c:pt idx="817">
                  <c:v>35.809900000000525</c:v>
                </c:pt>
                <c:pt idx="818">
                  <c:v>35.810000000000528</c:v>
                </c:pt>
                <c:pt idx="819">
                  <c:v>35.810100000000531</c:v>
                </c:pt>
                <c:pt idx="820">
                  <c:v>35.810200000000535</c:v>
                </c:pt>
                <c:pt idx="821">
                  <c:v>35.810300000000538</c:v>
                </c:pt>
                <c:pt idx="822">
                  <c:v>35.810400000000541</c:v>
                </c:pt>
                <c:pt idx="823">
                  <c:v>35.810500000000545</c:v>
                </c:pt>
                <c:pt idx="824">
                  <c:v>35.810600000000548</c:v>
                </c:pt>
                <c:pt idx="825">
                  <c:v>35.810700000000551</c:v>
                </c:pt>
                <c:pt idx="826">
                  <c:v>35.810800000000555</c:v>
                </c:pt>
                <c:pt idx="827">
                  <c:v>35.810900000000558</c:v>
                </c:pt>
                <c:pt idx="828">
                  <c:v>35.811000000000561</c:v>
                </c:pt>
                <c:pt idx="829">
                  <c:v>35.811100000000565</c:v>
                </c:pt>
                <c:pt idx="830">
                  <c:v>35.811200000000568</c:v>
                </c:pt>
                <c:pt idx="831">
                  <c:v>35.811300000000571</c:v>
                </c:pt>
                <c:pt idx="832">
                  <c:v>35.811400000000575</c:v>
                </c:pt>
                <c:pt idx="833">
                  <c:v>35.811500000000578</c:v>
                </c:pt>
                <c:pt idx="834">
                  <c:v>35.811600000000581</c:v>
                </c:pt>
                <c:pt idx="835">
                  <c:v>35.811700000000585</c:v>
                </c:pt>
                <c:pt idx="836">
                  <c:v>35.811800000000588</c:v>
                </c:pt>
                <c:pt idx="837">
                  <c:v>35.811900000000591</c:v>
                </c:pt>
                <c:pt idx="838">
                  <c:v>35.812000000000594</c:v>
                </c:pt>
                <c:pt idx="839">
                  <c:v>35.812100000000598</c:v>
                </c:pt>
                <c:pt idx="840">
                  <c:v>35.812200000000601</c:v>
                </c:pt>
                <c:pt idx="841">
                  <c:v>35.812300000000604</c:v>
                </c:pt>
                <c:pt idx="842">
                  <c:v>35.812400000000608</c:v>
                </c:pt>
                <c:pt idx="843">
                  <c:v>35.812500000000611</c:v>
                </c:pt>
                <c:pt idx="844">
                  <c:v>35.812600000000614</c:v>
                </c:pt>
                <c:pt idx="845">
                  <c:v>35.812700000000618</c:v>
                </c:pt>
                <c:pt idx="846">
                  <c:v>35.812800000000621</c:v>
                </c:pt>
                <c:pt idx="847">
                  <c:v>35.812900000000624</c:v>
                </c:pt>
                <c:pt idx="848">
                  <c:v>35.813000000000628</c:v>
                </c:pt>
                <c:pt idx="849">
                  <c:v>35.813100000000631</c:v>
                </c:pt>
                <c:pt idx="850">
                  <c:v>35.813200000000634</c:v>
                </c:pt>
                <c:pt idx="851">
                  <c:v>35.813300000000638</c:v>
                </c:pt>
                <c:pt idx="852">
                  <c:v>35.813400000000641</c:v>
                </c:pt>
                <c:pt idx="853">
                  <c:v>35.813500000000644</c:v>
                </c:pt>
                <c:pt idx="854">
                  <c:v>35.813600000000648</c:v>
                </c:pt>
                <c:pt idx="855">
                  <c:v>35.813700000000651</c:v>
                </c:pt>
                <c:pt idx="856">
                  <c:v>35.813800000000654</c:v>
                </c:pt>
                <c:pt idx="857">
                  <c:v>35.813900000000658</c:v>
                </c:pt>
                <c:pt idx="858">
                  <c:v>35.814000000000661</c:v>
                </c:pt>
                <c:pt idx="859">
                  <c:v>35.814100000000664</c:v>
                </c:pt>
                <c:pt idx="860">
                  <c:v>35.814200000000668</c:v>
                </c:pt>
                <c:pt idx="861">
                  <c:v>35.814300000000671</c:v>
                </c:pt>
                <c:pt idx="862">
                  <c:v>35.814400000000674</c:v>
                </c:pt>
                <c:pt idx="863">
                  <c:v>35.814500000000677</c:v>
                </c:pt>
                <c:pt idx="864">
                  <c:v>35.814600000000681</c:v>
                </c:pt>
                <c:pt idx="865">
                  <c:v>35.814700000000684</c:v>
                </c:pt>
                <c:pt idx="866">
                  <c:v>35.814800000000687</c:v>
                </c:pt>
                <c:pt idx="867">
                  <c:v>35.814900000000691</c:v>
                </c:pt>
                <c:pt idx="868">
                  <c:v>35.815000000000694</c:v>
                </c:pt>
                <c:pt idx="869">
                  <c:v>35.815100000000697</c:v>
                </c:pt>
                <c:pt idx="870">
                  <c:v>35.815200000000701</c:v>
                </c:pt>
                <c:pt idx="871">
                  <c:v>35.815300000000704</c:v>
                </c:pt>
                <c:pt idx="872">
                  <c:v>35.815400000000707</c:v>
                </c:pt>
                <c:pt idx="873">
                  <c:v>35.815500000000711</c:v>
                </c:pt>
                <c:pt idx="874">
                  <c:v>35.815600000000714</c:v>
                </c:pt>
                <c:pt idx="875">
                  <c:v>35.815700000000717</c:v>
                </c:pt>
                <c:pt idx="876">
                  <c:v>35.815800000000721</c:v>
                </c:pt>
                <c:pt idx="877">
                  <c:v>35.815900000000724</c:v>
                </c:pt>
                <c:pt idx="878">
                  <c:v>35.816000000000727</c:v>
                </c:pt>
                <c:pt idx="879">
                  <c:v>35.816100000000731</c:v>
                </c:pt>
                <c:pt idx="880">
                  <c:v>35.816200000000734</c:v>
                </c:pt>
                <c:pt idx="881">
                  <c:v>35.816300000000737</c:v>
                </c:pt>
                <c:pt idx="882">
                  <c:v>35.816400000000741</c:v>
                </c:pt>
                <c:pt idx="883">
                  <c:v>35.816500000000744</c:v>
                </c:pt>
                <c:pt idx="884">
                  <c:v>35.816600000000747</c:v>
                </c:pt>
                <c:pt idx="885">
                  <c:v>35.81670000000075</c:v>
                </c:pt>
                <c:pt idx="886">
                  <c:v>35.816800000000754</c:v>
                </c:pt>
                <c:pt idx="887">
                  <c:v>35.816900000000757</c:v>
                </c:pt>
                <c:pt idx="888">
                  <c:v>35.81700000000076</c:v>
                </c:pt>
                <c:pt idx="889">
                  <c:v>35.817100000000764</c:v>
                </c:pt>
                <c:pt idx="890">
                  <c:v>35.817200000000767</c:v>
                </c:pt>
                <c:pt idx="891">
                  <c:v>35.81730000000077</c:v>
                </c:pt>
                <c:pt idx="892">
                  <c:v>35.817400000000774</c:v>
                </c:pt>
                <c:pt idx="893">
                  <c:v>35.817500000000777</c:v>
                </c:pt>
                <c:pt idx="894">
                  <c:v>35.81760000000078</c:v>
                </c:pt>
                <c:pt idx="895">
                  <c:v>35.817700000000784</c:v>
                </c:pt>
                <c:pt idx="896">
                  <c:v>35.817800000000787</c:v>
                </c:pt>
                <c:pt idx="897">
                  <c:v>35.81790000000079</c:v>
                </c:pt>
                <c:pt idx="898">
                  <c:v>35.818000000000794</c:v>
                </c:pt>
                <c:pt idx="899">
                  <c:v>35.818100000000797</c:v>
                </c:pt>
                <c:pt idx="900">
                  <c:v>35.8182000000008</c:v>
                </c:pt>
                <c:pt idx="901">
                  <c:v>35.818300000000804</c:v>
                </c:pt>
                <c:pt idx="902">
                  <c:v>35.818400000000807</c:v>
                </c:pt>
                <c:pt idx="903">
                  <c:v>35.81850000000081</c:v>
                </c:pt>
                <c:pt idx="904">
                  <c:v>35.818600000000814</c:v>
                </c:pt>
                <c:pt idx="905">
                  <c:v>35.818700000000817</c:v>
                </c:pt>
                <c:pt idx="906">
                  <c:v>35.81880000000082</c:v>
                </c:pt>
                <c:pt idx="907">
                  <c:v>35.818900000000824</c:v>
                </c:pt>
                <c:pt idx="908">
                  <c:v>35.819000000000827</c:v>
                </c:pt>
                <c:pt idx="909">
                  <c:v>35.81910000000083</c:v>
                </c:pt>
                <c:pt idx="910">
                  <c:v>35.819200000000833</c:v>
                </c:pt>
                <c:pt idx="911">
                  <c:v>35.819300000000837</c:v>
                </c:pt>
                <c:pt idx="912">
                  <c:v>35.81940000000084</c:v>
                </c:pt>
                <c:pt idx="913">
                  <c:v>35.819500000000843</c:v>
                </c:pt>
                <c:pt idx="914">
                  <c:v>35.819600000000847</c:v>
                </c:pt>
                <c:pt idx="915">
                  <c:v>35.81970000000085</c:v>
                </c:pt>
                <c:pt idx="916">
                  <c:v>35.819800000000853</c:v>
                </c:pt>
                <c:pt idx="917">
                  <c:v>35.819900000000857</c:v>
                </c:pt>
                <c:pt idx="918">
                  <c:v>35.82000000000086</c:v>
                </c:pt>
                <c:pt idx="919">
                  <c:v>35.820100000000863</c:v>
                </c:pt>
                <c:pt idx="920">
                  <c:v>35.820200000000867</c:v>
                </c:pt>
                <c:pt idx="921">
                  <c:v>35.82030000000087</c:v>
                </c:pt>
                <c:pt idx="922">
                  <c:v>35.820400000000873</c:v>
                </c:pt>
                <c:pt idx="923">
                  <c:v>35.820500000000877</c:v>
                </c:pt>
                <c:pt idx="924">
                  <c:v>35.82060000000088</c:v>
                </c:pt>
                <c:pt idx="925">
                  <c:v>35.820700000000883</c:v>
                </c:pt>
                <c:pt idx="926">
                  <c:v>35.820800000000887</c:v>
                </c:pt>
                <c:pt idx="927">
                  <c:v>35.82090000000089</c:v>
                </c:pt>
                <c:pt idx="928">
                  <c:v>35.821000000000893</c:v>
                </c:pt>
                <c:pt idx="929">
                  <c:v>35.821100000000897</c:v>
                </c:pt>
                <c:pt idx="930">
                  <c:v>35.8212000000009</c:v>
                </c:pt>
                <c:pt idx="931">
                  <c:v>35.821300000000903</c:v>
                </c:pt>
                <c:pt idx="932">
                  <c:v>35.821400000000907</c:v>
                </c:pt>
                <c:pt idx="933">
                  <c:v>35.82150000000091</c:v>
                </c:pt>
                <c:pt idx="934">
                  <c:v>35.821600000000913</c:v>
                </c:pt>
                <c:pt idx="935">
                  <c:v>35.821700000000916</c:v>
                </c:pt>
                <c:pt idx="936">
                  <c:v>35.82180000000092</c:v>
                </c:pt>
                <c:pt idx="937">
                  <c:v>35.821900000000923</c:v>
                </c:pt>
                <c:pt idx="938">
                  <c:v>35.822000000000926</c:v>
                </c:pt>
                <c:pt idx="939">
                  <c:v>35.82210000000093</c:v>
                </c:pt>
                <c:pt idx="940">
                  <c:v>35.822200000000933</c:v>
                </c:pt>
                <c:pt idx="941">
                  <c:v>35.822300000000936</c:v>
                </c:pt>
                <c:pt idx="942">
                  <c:v>35.82240000000094</c:v>
                </c:pt>
                <c:pt idx="943">
                  <c:v>35.822500000000943</c:v>
                </c:pt>
                <c:pt idx="944">
                  <c:v>35.822600000000946</c:v>
                </c:pt>
                <c:pt idx="945">
                  <c:v>35.82270000000095</c:v>
                </c:pt>
                <c:pt idx="946">
                  <c:v>35.822800000000953</c:v>
                </c:pt>
                <c:pt idx="947">
                  <c:v>35.822900000000956</c:v>
                </c:pt>
                <c:pt idx="948">
                  <c:v>35.82300000000096</c:v>
                </c:pt>
                <c:pt idx="949">
                  <c:v>35.823100000000963</c:v>
                </c:pt>
                <c:pt idx="950">
                  <c:v>35.823200000000966</c:v>
                </c:pt>
                <c:pt idx="951">
                  <c:v>35.82330000000097</c:v>
                </c:pt>
                <c:pt idx="952">
                  <c:v>35.823400000000973</c:v>
                </c:pt>
                <c:pt idx="953">
                  <c:v>35.823500000000976</c:v>
                </c:pt>
                <c:pt idx="954">
                  <c:v>35.82360000000098</c:v>
                </c:pt>
                <c:pt idx="955">
                  <c:v>35.823700000000983</c:v>
                </c:pt>
                <c:pt idx="956">
                  <c:v>35.823800000000986</c:v>
                </c:pt>
                <c:pt idx="957">
                  <c:v>35.82390000000099</c:v>
                </c:pt>
                <c:pt idx="958">
                  <c:v>35.824000000000993</c:v>
                </c:pt>
                <c:pt idx="959">
                  <c:v>35.824100000000996</c:v>
                </c:pt>
                <c:pt idx="960">
                  <c:v>35.824200000000999</c:v>
                </c:pt>
                <c:pt idx="961">
                  <c:v>35.824300000001003</c:v>
                </c:pt>
                <c:pt idx="962">
                  <c:v>35.824400000001006</c:v>
                </c:pt>
                <c:pt idx="963">
                  <c:v>35.824500000001009</c:v>
                </c:pt>
                <c:pt idx="964">
                  <c:v>35.824600000001013</c:v>
                </c:pt>
                <c:pt idx="965">
                  <c:v>35.824700000001016</c:v>
                </c:pt>
                <c:pt idx="966">
                  <c:v>35.824800000001019</c:v>
                </c:pt>
                <c:pt idx="967">
                  <c:v>35.824900000001023</c:v>
                </c:pt>
                <c:pt idx="968">
                  <c:v>35.825000000001026</c:v>
                </c:pt>
                <c:pt idx="969">
                  <c:v>35.825100000001029</c:v>
                </c:pt>
                <c:pt idx="970">
                  <c:v>35.825200000001033</c:v>
                </c:pt>
                <c:pt idx="971">
                  <c:v>35.825300000001036</c:v>
                </c:pt>
                <c:pt idx="972">
                  <c:v>35.825400000001039</c:v>
                </c:pt>
                <c:pt idx="973">
                  <c:v>35.825500000001043</c:v>
                </c:pt>
                <c:pt idx="974">
                  <c:v>35.825600000001046</c:v>
                </c:pt>
                <c:pt idx="975">
                  <c:v>35.825700000001049</c:v>
                </c:pt>
                <c:pt idx="976">
                  <c:v>35.825800000001053</c:v>
                </c:pt>
                <c:pt idx="977">
                  <c:v>35.825900000001056</c:v>
                </c:pt>
                <c:pt idx="978">
                  <c:v>35.826000000001059</c:v>
                </c:pt>
                <c:pt idx="979">
                  <c:v>35.826100000001063</c:v>
                </c:pt>
                <c:pt idx="980">
                  <c:v>35.826200000001066</c:v>
                </c:pt>
                <c:pt idx="981">
                  <c:v>35.826300000001069</c:v>
                </c:pt>
                <c:pt idx="982">
                  <c:v>35.826400000001072</c:v>
                </c:pt>
                <c:pt idx="983">
                  <c:v>35.826500000001076</c:v>
                </c:pt>
                <c:pt idx="984">
                  <c:v>35.826600000001079</c:v>
                </c:pt>
                <c:pt idx="985">
                  <c:v>35.826700000001082</c:v>
                </c:pt>
                <c:pt idx="986">
                  <c:v>35.826800000001086</c:v>
                </c:pt>
                <c:pt idx="987">
                  <c:v>35.826900000001089</c:v>
                </c:pt>
                <c:pt idx="988">
                  <c:v>35.827000000001092</c:v>
                </c:pt>
                <c:pt idx="989">
                  <c:v>35.827100000001096</c:v>
                </c:pt>
                <c:pt idx="990">
                  <c:v>35.827200000001099</c:v>
                </c:pt>
                <c:pt idx="991">
                  <c:v>35.827300000001102</c:v>
                </c:pt>
                <c:pt idx="992">
                  <c:v>35.827400000001106</c:v>
                </c:pt>
                <c:pt idx="993">
                  <c:v>35.827500000001109</c:v>
                </c:pt>
                <c:pt idx="994">
                  <c:v>35.827600000001112</c:v>
                </c:pt>
                <c:pt idx="995">
                  <c:v>35.827700000001116</c:v>
                </c:pt>
                <c:pt idx="996">
                  <c:v>35.827800000001119</c:v>
                </c:pt>
                <c:pt idx="997">
                  <c:v>35.827900000001122</c:v>
                </c:pt>
                <c:pt idx="998">
                  <c:v>35.828000000001126</c:v>
                </c:pt>
                <c:pt idx="999">
                  <c:v>35.828100000001129</c:v>
                </c:pt>
                <c:pt idx="1000">
                  <c:v>35.828200000001132</c:v>
                </c:pt>
              </c:numCache>
            </c:numRef>
          </c:xVal>
          <c:yVal>
            <c:numRef>
              <c:f>Calculs!$K$4:$K$1004</c:f>
              <c:numCache>
                <c:formatCode>0.00</c:formatCode>
                <c:ptCount val="1001"/>
                <c:pt idx="0">
                  <c:v>0</c:v>
                </c:pt>
                <c:pt idx="1">
                  <c:v>6.8158011024989312E-6</c:v>
                </c:pt>
                <c:pt idx="2">
                  <c:v>1.0146639636617392E-3</c:v>
                </c:pt>
                <c:pt idx="3">
                  <c:v>4.9988855250675431E-3</c:v>
                </c:pt>
                <c:pt idx="4">
                  <c:v>1.3936191054571544E-2</c:v>
                </c:pt>
                <c:pt idx="5">
                  <c:v>2.9805237587798149E-2</c:v>
                </c:pt>
                <c:pt idx="6">
                  <c:v>5.4086653680871032E-2</c:v>
                </c:pt>
                <c:pt idx="7">
                  <c:v>8.7261849014639709E-2</c:v>
                </c:pt>
                <c:pt idx="8">
                  <c:v>0.12931211141550331</c:v>
                </c:pt>
                <c:pt idx="9">
                  <c:v>0.18021863305817598</c:v>
                </c:pt>
                <c:pt idx="10">
                  <c:v>0.23996251081243741</c:v>
                </c:pt>
                <c:pt idx="11">
                  <c:v>0.30852474659351542</c:v>
                </c:pt>
                <c:pt idx="12">
                  <c:v>0.38588624771607272</c:v>
                </c:pt>
                <c:pt idx="13">
                  <c:v>0.47202782725176878</c:v>
                </c:pt>
                <c:pt idx="14">
                  <c:v>0.56693020439036834</c:v>
                </c:pt>
                <c:pt idx="15">
                  <c:v>0.67057400480436691</c:v>
                </c:pt>
                <c:pt idx="16">
                  <c:v>0.78293976101710383</c:v>
                </c:pt>
                <c:pt idx="17">
                  <c:v>0.9040079127743329</c:v>
                </c:pt>
                <c:pt idx="18">
                  <c:v>1.033758807419221</c:v>
                </c:pt>
                <c:pt idx="19">
                  <c:v>1.1721727002707432</c:v>
                </c:pt>
                <c:pt idx="20">
                  <c:v>1.3192297550054444</c:v>
                </c:pt>
                <c:pt idx="21">
                  <c:v>1.4749100440425362</c:v>
                </c:pt>
                <c:pt idx="22">
                  <c:v>1.6391935489322984</c:v>
                </c:pt>
                <c:pt idx="23">
                  <c:v>1.8120601607477511</c:v>
                </c:pt>
                <c:pt idx="24">
                  <c:v>1.9934896804795699</c:v>
                </c:pt>
                <c:pt idx="25">
                  <c:v>2.1834618194342066</c:v>
                </c:pt>
                <c:pt idx="26">
                  <c:v>2.3819561996351881</c:v>
                </c:pt>
                <c:pt idx="27">
                  <c:v>2.5889523542275579</c:v>
                </c:pt>
                <c:pt idx="28">
                  <c:v>2.8044297278854273</c:v>
                </c:pt>
                <c:pt idx="29">
                  <c:v>3.0283676772226049</c:v>
                </c:pt>
                <c:pt idx="30">
                  <c:v>3.26074547120627</c:v>
                </c:pt>
                <c:pt idx="31">
                  <c:v>3.5015422915736552</c:v>
                </c:pt>
                <c:pt idx="32">
                  <c:v>3.7507372332517055</c:v>
                </c:pt>
                <c:pt idx="33">
                  <c:v>4.0083093047796812</c:v>
                </c:pt>
                <c:pt idx="34">
                  <c:v>4.2742337010814717</c:v>
                </c:pt>
                <c:pt idx="35">
                  <c:v>4.5484854049669261</c:v>
                </c:pt>
                <c:pt idx="36">
                  <c:v>4.8310429168443738</c:v>
                </c:pt>
                <c:pt idx="37">
                  <c:v>5.1218846574311359</c:v>
                </c:pt>
                <c:pt idx="38">
                  <c:v>5.4209889697491516</c:v>
                </c:pt>
                <c:pt idx="39">
                  <c:v>5.7283341192522652</c:v>
                </c:pt>
                <c:pt idx="40">
                  <c:v>6.0438982939804093</c:v>
                </c:pt>
                <c:pt idx="41">
                  <c:v>6.3676596047381508</c:v>
                </c:pt>
                <c:pt idx="42">
                  <c:v>6.6995960852954006</c:v>
                </c:pt>
                <c:pt idx="43">
                  <c:v>7.0396856926083373</c:v>
                </c:pt>
                <c:pt idx="44">
                  <c:v>7.3879063070588487</c:v>
                </c:pt>
                <c:pt idx="45">
                  <c:v>7.744235732710953</c:v>
                </c:pt>
                <c:pt idx="46">
                  <c:v>8.1086516975828804</c:v>
                </c:pt>
                <c:pt idx="47">
                  <c:v>8.48113185393359</c:v>
                </c:pt>
                <c:pt idx="48">
                  <c:v>8.861653778562669</c:v>
                </c:pt>
                <c:pt idx="49">
                  <c:v>9.2501949731226407</c:v>
                </c:pt>
                <c:pt idx="50">
                  <c:v>9.6467328644428214</c:v>
                </c:pt>
                <c:pt idx="51">
                  <c:v>10.05124743837848</c:v>
                </c:pt>
                <c:pt idx="52">
                  <c:v>10.463723877355719</c:v>
                </c:pt>
                <c:pt idx="53">
                  <c:v>10.884149932220319</c:v>
                </c:pt>
                <c:pt idx="54">
                  <c:v>11.312513290285395</c:v>
                </c:pt>
                <c:pt idx="55">
                  <c:v>11.748801575453523</c:v>
                </c:pt>
                <c:pt idx="56">
                  <c:v>12.193002348346042</c:v>
                </c:pt>
                <c:pt idx="57">
                  <c:v>12.645103106439137</c:v>
                </c:pt>
                <c:pt idx="58">
                  <c:v>13.105091284206402</c:v>
                </c:pt>
                <c:pt idx="59">
                  <c:v>13.572954253267554</c:v>
                </c:pt>
                <c:pt idx="60">
                  <c:v>14.048679322543032</c:v>
                </c:pt>
                <c:pt idx="61">
                  <c:v>14.532253738414216</c:v>
                </c:pt>
                <c:pt idx="62">
                  <c:v>15.02366468488902</c:v>
                </c:pt>
                <c:pt idx="63">
                  <c:v>15.522899283772656</c:v>
                </c:pt>
                <c:pt idx="64">
                  <c:v>16.029944594843336</c:v>
                </c:pt>
                <c:pt idx="65">
                  <c:v>16.544787616032753</c:v>
                </c:pt>
                <c:pt idx="66">
                  <c:v>17.067415283611115</c:v>
                </c:pt>
                <c:pt idx="67">
                  <c:v>17.597814472376633</c:v>
                </c:pt>
                <c:pt idx="68">
                  <c:v>18.135971995849228</c:v>
                </c:pt>
                <c:pt idx="69">
                  <c:v>18.681874606468387</c:v>
                </c:pt>
                <c:pt idx="70">
                  <c:v>19.235508995794969</c:v>
                </c:pt>
                <c:pt idx="71">
                  <c:v>19.796861794716875</c:v>
                </c:pt>
                <c:pt idx="72">
                  <c:v>20.365919573658445</c:v>
                </c:pt>
                <c:pt idx="73">
                  <c:v>20.942668842793459</c:v>
                </c:pt>
                <c:pt idx="74">
                  <c:v>21.527096052261648</c:v>
                </c:pt>
                <c:pt idx="75">
                  <c:v>22.119187592388609</c:v>
                </c:pt>
                <c:pt idx="76">
                  <c:v>22.718929793909041</c:v>
                </c:pt>
                <c:pt idx="77">
                  <c:v>23.326308928193164</c:v>
                </c:pt>
                <c:pt idx="78">
                  <c:v>23.9413112074763</c:v>
                </c:pt>
                <c:pt idx="79">
                  <c:v>24.563922785091489</c:v>
                </c:pt>
                <c:pt idx="80">
                  <c:v>25.194129755705056</c:v>
                </c:pt>
                <c:pt idx="81">
                  <c:v>25.831918155555105</c:v>
                </c:pt>
                <c:pt idx="82">
                  <c:v>26.477273962692802</c:v>
                </c:pt>
                <c:pt idx="83">
                  <c:v>27.130183097226418</c:v>
                </c:pt>
                <c:pt idx="84">
                  <c:v>27.790631421568072</c:v>
                </c:pt>
                <c:pt idx="85">
                  <c:v>28.458604740683079</c:v>
                </c:pt>
                <c:pt idx="86">
                  <c:v>29.134088802341861</c:v>
                </c:pt>
                <c:pt idx="87">
                  <c:v>29.817069297374378</c:v>
                </c:pt>
                <c:pt idx="88">
                  <c:v>30.507531859926988</c:v>
                </c:pt>
                <c:pt idx="89">
                  <c:v>31.205462067721704</c:v>
                </c:pt>
                <c:pt idx="90">
                  <c:v>31.910845442317793</c:v>
                </c:pt>
                <c:pt idx="91">
                  <c:v>32.62366744937566</c:v>
                </c:pt>
                <c:pt idx="92">
                  <c:v>33.343913498922987</c:v>
                </c:pt>
                <c:pt idx="93">
                  <c:v>34.071568945623035</c:v>
                </c:pt>
                <c:pt idx="94">
                  <c:v>34.806619089045121</c:v>
                </c:pt>
                <c:pt idx="95">
                  <c:v>35.549049173937171</c:v>
                </c:pt>
                <c:pt idx="96">
                  <c:v>36.298844390500363</c:v>
                </c:pt>
                <c:pt idx="97">
                  <c:v>37.055989874665741</c:v>
                </c:pt>
                <c:pt idx="98">
                  <c:v>37.820470708372845</c:v>
                </c:pt>
                <c:pt idx="99">
                  <c:v>38.592271919850226</c:v>
                </c:pt>
                <c:pt idx="100">
                  <c:v>39.371378483897907</c:v>
                </c:pt>
                <c:pt idx="101">
                  <c:v>40.157774108690624</c:v>
                </c:pt>
                <c:pt idx="102">
                  <c:v>40.951440021396799</c:v>
                </c:pt>
                <c:pt idx="103">
                  <c:v>41.752356180623842</c:v>
                </c:pt>
                <c:pt idx="104">
                  <c:v>42.560502490107623</c:v>
                </c:pt>
                <c:pt idx="105">
                  <c:v>43.375858799116223</c:v>
                </c:pt>
                <c:pt idx="106">
                  <c:v>44.198404902855216</c:v>
                </c:pt>
                <c:pt idx="107">
                  <c:v>45.028120542874383</c:v>
                </c:pt>
                <c:pt idx="108">
                  <c:v>45.864985407475821</c:v>
                </c:pt>
                <c:pt idx="109">
                  <c:v>46.708979132123432</c:v>
                </c:pt>
                <c:pt idx="110">
                  <c:v>47.560081299853721</c:v>
                </c:pt>
                <c:pt idx="111">
                  <c:v>48.418271441687864</c:v>
                </c:pt>
                <c:pt idx="112">
                  <c:v>49.283529037044985</c:v>
                </c:pt>
                <c:pt idx="113">
                  <c:v>50.15583351415669</c:v>
                </c:pt>
                <c:pt idx="114">
                  <c:v>51.035164250482659</c:v>
                </c:pt>
                <c:pt idx="115">
                  <c:v>51.921500573127425</c:v>
                </c:pt>
                <c:pt idx="116">
                  <c:v>52.81482175925818</c:v>
                </c:pt>
                <c:pt idx="117">
                  <c:v>53.715107036523605</c:v>
                </c:pt>
                <c:pt idx="118">
                  <c:v>54.622335583473728</c:v>
                </c:pt>
                <c:pt idx="119">
                  <c:v>55.536486529980699</c:v>
                </c:pt>
                <c:pt idx="120">
                  <c:v>56.457538957660475</c:v>
                </c:pt>
                <c:pt idx="121">
                  <c:v>57.385471900295421</c:v>
                </c:pt>
                <c:pt idx="122">
                  <c:v>58.320264344257701</c:v>
                </c:pt>
                <c:pt idx="123">
                  <c:v>59.261895228933511</c:v>
                </c:pt>
                <c:pt idx="124">
                  <c:v>60.210343447148048</c:v>
                </c:pt>
                <c:pt idx="125">
                  <c:v>61.165587845591219</c:v>
                </c:pt>
                <c:pt idx="126">
                  <c:v>62.127607225244056</c:v>
                </c:pt>
                <c:pt idx="127">
                  <c:v>63.096380341805776</c:v>
                </c:pt>
                <c:pt idx="128">
                  <c:v>64.071885906121452</c:v>
                </c:pt>
                <c:pt idx="129">
                  <c:v>65.054102584610291</c:v>
                </c:pt>
                <c:pt idx="130">
                  <c:v>66.043008999694493</c:v>
                </c:pt>
                <c:pt idx="131">
                  <c:v>67.038583730228552</c:v>
                </c:pt>
                <c:pt idx="132">
                  <c:v>68.04080531192912</c:v>
                </c:pt>
                <c:pt idx="133">
                  <c:v>69.04965223780529</c:v>
                </c:pt>
                <c:pt idx="134">
                  <c:v>70.065102958589293</c:v>
                </c:pt>
                <c:pt idx="135">
                  <c:v>71.087135883167605</c:v>
                </c:pt>
                <c:pt idx="136">
                  <c:v>72.115729379012379</c:v>
                </c:pt>
                <c:pt idx="137">
                  <c:v>73.15086177261324</c:v>
                </c:pt>
                <c:pt idx="138">
                  <c:v>74.192511349909296</c:v>
                </c:pt>
                <c:pt idx="139">
                  <c:v>75.24065635672153</c:v>
                </c:pt>
                <c:pt idx="140">
                  <c:v>76.295274999185267</c:v>
                </c:pt>
                <c:pt idx="141">
                  <c:v>77.356345444182949</c:v>
                </c:pt>
                <c:pt idx="142">
                  <c:v>78.423845819777057</c:v>
                </c:pt>
                <c:pt idx="143">
                  <c:v>79.497754215643084</c:v>
                </c:pt>
                <c:pt idx="144">
                  <c:v>80.578048683502743</c:v>
                </c:pt>
                <c:pt idx="145">
                  <c:v>81.664707237557124</c:v>
                </c:pt>
                <c:pt idx="146">
                  <c:v>82.757707854919971</c:v>
                </c:pt>
                <c:pt idx="147">
                  <c:v>83.857028476050957</c:v>
                </c:pt>
                <c:pt idx="148">
                  <c:v>84.962647005188884</c:v>
                </c:pt>
                <c:pt idx="149">
                  <c:v>86.074541310784923</c:v>
                </c:pt>
                <c:pt idx="150">
                  <c:v>87.192689225935709</c:v>
                </c:pt>
                <c:pt idx="151">
                  <c:v>88.317068961453813</c:v>
                </c:pt>
                <c:pt idx="152">
                  <c:v>89.447659519146569</c:v>
                </c:pt>
                <c:pt idx="153">
                  <c:v>90.584440279702392</c:v>
                </c:pt>
                <c:pt idx="154">
                  <c:v>91.72739059035041</c:v>
                </c:pt>
                <c:pt idx="155">
                  <c:v>92.876489765256835</c:v>
                </c:pt>
                <c:pt idx="156">
                  <c:v>94.031717085921301</c:v>
                </c:pt>
                <c:pt idx="157">
                  <c:v>95.193051801573034</c:v>
                </c:pt>
                <c:pt idx="158">
                  <c:v>96.360473129566984</c:v>
                </c:pt>
                <c:pt idx="159">
                  <c:v>97.533960255779689</c:v>
                </c:pt>
                <c:pt idx="160">
                  <c:v>98.713492335005057</c:v>
                </c:pt>
                <c:pt idx="161">
                  <c:v>99.899048491349888</c:v>
                </c:pt>
                <c:pt idx="162">
                  <c:v>101.09060781862915</c:v>
                </c:pt>
                <c:pt idx="163">
                  <c:v>102.28814938076106</c:v>
                </c:pt>
                <c:pt idx="164">
                  <c:v>103.49165221216182</c:v>
                </c:pt>
                <c:pt idx="165">
                  <c:v>104.70109531814016</c:v>
                </c:pt>
                <c:pt idx="166">
                  <c:v>105.91645767529138</c:v>
                </c:pt>
                <c:pt idx="167">
                  <c:v>107.13771823189123</c:v>
                </c:pt>
                <c:pt idx="168">
                  <c:v>108.36485590828927</c:v>
                </c:pt>
                <c:pt idx="169">
                  <c:v>109.59784959730196</c:v>
                </c:pt>
                <c:pt idx="170">
                  <c:v>110.83667816460523</c:v>
                </c:pt>
                <c:pt idx="171">
                  <c:v>112.08132044912669</c:v>
                </c:pt>
                <c:pt idx="172">
                  <c:v>113.33175526343732</c:v>
                </c:pt>
                <c:pt idx="173">
                  <c:v>114.58796139414265</c:v>
                </c:pt>
                <c:pt idx="174">
                  <c:v>115.84991760227362</c:v>
                </c:pt>
                <c:pt idx="175">
                  <c:v>117.11760262367662</c:v>
                </c:pt>
                <c:pt idx="176">
                  <c:v>118.3909951694032</c:v>
                </c:pt>
                <c:pt idx="177">
                  <c:v>119.67007392609918</c:v>
                </c:pt>
                <c:pt idx="178">
                  <c:v>120.95481755639308</c:v>
                </c:pt>
                <c:pt idx="179">
                  <c:v>122.24520469928399</c:v>
                </c:pt>
                <c:pt idx="180">
                  <c:v>123.5412139705288</c:v>
                </c:pt>
                <c:pt idx="181">
                  <c:v>124.84282396302883</c:v>
                </c:pt>
                <c:pt idx="182">
                  <c:v>126.15001324721565</c:v>
                </c:pt>
                <c:pt idx="183">
                  <c:v>127.46276037143636</c:v>
                </c:pt>
                <c:pt idx="184">
                  <c:v>128.78104386233801</c:v>
                </c:pt>
                <c:pt idx="185">
                  <c:v>130.10484222525142</c:v>
                </c:pt>
                <c:pt idx="186">
                  <c:v>131.43413394457409</c:v>
                </c:pt>
                <c:pt idx="187">
                  <c:v>132.76889748415255</c:v>
                </c:pt>
                <c:pt idx="188">
                  <c:v>134.10911128766364</c:v>
                </c:pt>
                <c:pt idx="189">
                  <c:v>135.45475377899521</c:v>
                </c:pt>
                <c:pt idx="190">
                  <c:v>136.80580336262588</c:v>
                </c:pt>
                <c:pt idx="191">
                  <c:v>138.16223842400396</c:v>
                </c:pt>
                <c:pt idx="192">
                  <c:v>139.52403732992548</c:v>
                </c:pt>
                <c:pt idx="193">
                  <c:v>140.89117842891139</c:v>
                </c:pt>
                <c:pt idx="194">
                  <c:v>142.26364005158376</c:v>
                </c:pt>
                <c:pt idx="195">
                  <c:v>143.64140051104121</c:v>
                </c:pt>
                <c:pt idx="196">
                  <c:v>145.02443810323317</c:v>
                </c:pt>
                <c:pt idx="197">
                  <c:v>146.41273110733334</c:v>
                </c:pt>
                <c:pt idx="198">
                  <c:v>147.80625778611221</c:v>
                </c:pt>
                <c:pt idx="199">
                  <c:v>149.20499638630838</c:v>
                </c:pt>
                <c:pt idx="200">
                  <c:v>150.6089251389991</c:v>
                </c:pt>
                <c:pt idx="201">
                  <c:v>152.01802225996957</c:v>
                </c:pt>
                <c:pt idx="202">
                  <c:v>153.43226595008136</c:v>
                </c:pt>
                <c:pt idx="203">
                  <c:v>154.85163439563968</c:v>
                </c:pt>
                <c:pt idx="204">
                  <c:v>156.27610576875958</c:v>
                </c:pt>
                <c:pt idx="205">
                  <c:v>157.70565822773102</c:v>
                </c:pt>
                <c:pt idx="206">
                  <c:v>159.14026991738291</c:v>
                </c:pt>
                <c:pt idx="207">
                  <c:v>160.57991896944594</c:v>
                </c:pt>
                <c:pt idx="208">
                  <c:v>162.02458350291434</c:v>
                </c:pt>
                <c:pt idx="209">
                  <c:v>163.47424162440635</c:v>
                </c:pt>
                <c:pt idx="210">
                  <c:v>164.92887142852368</c:v>
                </c:pt>
                <c:pt idx="211">
                  <c:v>166.38845099820966</c:v>
                </c:pt>
                <c:pt idx="212">
                  <c:v>167.85295840510622</c:v>
                </c:pt>
                <c:pt idx="213">
                  <c:v>169.3223717099097</c:v>
                </c:pt>
                <c:pt idx="214">
                  <c:v>170.79666896272528</c:v>
                </c:pt>
                <c:pt idx="215">
                  <c:v>172.2758282034203</c:v>
                </c:pt>
                <c:pt idx="216">
                  <c:v>173.7598274619763</c:v>
                </c:pt>
                <c:pt idx="217">
                  <c:v>175.24864475883973</c:v>
                </c:pt>
                <c:pt idx="218">
                  <c:v>176.74225810527133</c:v>
                </c:pt>
                <c:pt idx="219">
                  <c:v>178.24064550369437</c:v>
                </c:pt>
                <c:pt idx="220">
                  <c:v>179.74378494804134</c:v>
                </c:pt>
                <c:pt idx="221">
                  <c:v>181.25165442409954</c:v>
                </c:pt>
                <c:pt idx="222">
                  <c:v>182.76423190985514</c:v>
                </c:pt>
                <c:pt idx="223">
                  <c:v>184.28149537583602</c:v>
                </c:pt>
                <c:pt idx="224">
                  <c:v>185.80342278545308</c:v>
                </c:pt>
                <c:pt idx="225">
                  <c:v>187.32999209534034</c:v>
                </c:pt>
                <c:pt idx="226">
                  <c:v>188.86118125569359</c:v>
                </c:pt>
                <c:pt idx="227">
                  <c:v>190.39696821060747</c:v>
                </c:pt>
                <c:pt idx="228">
                  <c:v>191.9373308984114</c:v>
                </c:pt>
                <c:pt idx="229">
                  <c:v>193.4822472520039</c:v>
                </c:pt>
                <c:pt idx="230">
                  <c:v>195.03169519918549</c:v>
                </c:pt>
                <c:pt idx="231">
                  <c:v>196.58565266299019</c:v>
                </c:pt>
                <c:pt idx="232">
                  <c:v>198.1440975620155</c:v>
                </c:pt>
                <c:pt idx="233">
                  <c:v>199.70700781075089</c:v>
                </c:pt>
                <c:pt idx="234">
                  <c:v>201.27436131990493</c:v>
                </c:pt>
                <c:pt idx="235">
                  <c:v>202.84613599673071</c:v>
                </c:pt>
                <c:pt idx="236">
                  <c:v>204.42230974534996</c:v>
                </c:pt>
                <c:pt idx="237">
                  <c:v>206.00286046707552</c:v>
                </c:pt>
                <c:pt idx="238">
                  <c:v>207.58776606073229</c:v>
                </c:pt>
                <c:pt idx="239">
                  <c:v>209.17700442297672</c:v>
                </c:pt>
                <c:pt idx="240">
                  <c:v>210.77055344861469</c:v>
                </c:pt>
                <c:pt idx="241">
                  <c:v>212.36839103091785</c:v>
                </c:pt>
                <c:pt idx="242">
                  <c:v>213.97049506193829</c:v>
                </c:pt>
                <c:pt idx="243">
                  <c:v>215.5768434328219</c:v>
                </c:pt>
                <c:pt idx="244">
                  <c:v>217.18741403411985</c:v>
                </c:pt>
                <c:pt idx="245">
                  <c:v>218.80218475609863</c:v>
                </c:pt>
                <c:pt idx="246">
                  <c:v>220.4211334890484</c:v>
                </c:pt>
                <c:pt idx="247">
                  <c:v>222.04423812358991</c:v>
                </c:pt>
                <c:pt idx="248">
                  <c:v>223.67147655097952</c:v>
                </c:pt>
                <c:pt idx="249">
                  <c:v>225.3028266634129</c:v>
                </c:pt>
                <c:pt idx="250">
                  <c:v>226.93826635432683</c:v>
                </c:pt>
                <c:pt idx="251">
                  <c:v>228.5777717415167</c:v>
                </c:pt>
                <c:pt idx="252">
                  <c:v>230.22131539081062</c:v>
                </c:pt>
                <c:pt idx="253">
                  <c:v>231.86886809579477</c:v>
                </c:pt>
                <c:pt idx="254">
                  <c:v>233.52040065703846</c:v>
                </c:pt>
                <c:pt idx="255">
                  <c:v>235.17588388250601</c:v>
                </c:pt>
                <c:pt idx="256">
                  <c:v>236.83528858796566</c:v>
                </c:pt>
                <c:pt idx="257">
                  <c:v>238.49858559739559</c:v>
                </c:pt>
                <c:pt idx="258">
                  <c:v>240.16574574338713</c:v>
                </c:pt>
                <c:pt idx="259">
                  <c:v>241.83673986754496</c:v>
                </c:pt>
                <c:pt idx="260">
                  <c:v>243.51153882088445</c:v>
                </c:pt>
                <c:pt idx="261">
                  <c:v>245.1901134642261</c:v>
                </c:pt>
                <c:pt idx="262">
                  <c:v>246.872434668587</c:v>
                </c:pt>
                <c:pt idx="263">
                  <c:v>248.55847331556933</c:v>
                </c:pt>
                <c:pt idx="264">
                  <c:v>250.248200297746</c:v>
                </c:pt>
                <c:pt idx="265">
                  <c:v>251.94158651904334</c:v>
                </c:pt>
                <c:pt idx="266">
                  <c:v>253.63860289512073</c:v>
                </c:pt>
                <c:pt idx="267">
                  <c:v>255.33922035374735</c:v>
                </c:pt>
                <c:pt idx="268">
                  <c:v>257.04340983517602</c:v>
                </c:pt>
                <c:pt idx="269">
                  <c:v>258.75114229251386</c:v>
                </c:pt>
                <c:pt idx="270">
                  <c:v>260.4623886920902</c:v>
                </c:pt>
                <c:pt idx="271">
                  <c:v>262.17712001382142</c:v>
                </c:pt>
                <c:pt idx="272">
                  <c:v>263.89530725157283</c:v>
                </c:pt>
                <c:pt idx="273">
                  <c:v>265.6169214135175</c:v>
                </c:pt>
                <c:pt idx="274">
                  <c:v>267.34193352249207</c:v>
                </c:pt>
                <c:pt idx="275">
                  <c:v>269.07031461634972</c:v>
                </c:pt>
                <c:pt idx="276">
                  <c:v>270.80203574831006</c:v>
                </c:pt>
                <c:pt idx="277">
                  <c:v>272.53706798730587</c:v>
                </c:pt>
                <c:pt idx="278">
                  <c:v>274.27538241832718</c:v>
                </c:pt>
                <c:pt idx="279">
                  <c:v>276.01695014276197</c:v>
                </c:pt>
                <c:pt idx="280">
                  <c:v>277.76174227873406</c:v>
                </c:pt>
                <c:pt idx="281">
                  <c:v>279.50972996143804</c:v>
                </c:pt>
                <c:pt idx="282">
                  <c:v>281.26088434347099</c:v>
                </c:pt>
                <c:pt idx="283">
                  <c:v>283.01517659516134</c:v>
                </c:pt>
                <c:pt idx="284">
                  <c:v>284.77257790489472</c:v>
                </c:pt>
                <c:pt idx="285">
                  <c:v>286.53305947943676</c:v>
                </c:pt>
                <c:pt idx="286">
                  <c:v>288.29659254425275</c:v>
                </c:pt>
                <c:pt idx="287">
                  <c:v>290.06314834382448</c:v>
                </c:pt>
                <c:pt idx="288">
                  <c:v>291.8326981419641</c:v>
                </c:pt>
                <c:pt idx="289">
                  <c:v>293.60521322212463</c:v>
                </c:pt>
                <c:pt idx="290">
                  <c:v>295.38066488770789</c:v>
                </c:pt>
                <c:pt idx="291">
                  <c:v>297.15902446236902</c:v>
                </c:pt>
                <c:pt idx="292">
                  <c:v>298.94026329031823</c:v>
                </c:pt>
                <c:pt idx="293">
                  <c:v>300.72435273661966</c:v>
                </c:pt>
                <c:pt idx="294">
                  <c:v>302.5112641874868</c:v>
                </c:pt>
                <c:pt idx="295">
                  <c:v>304.30096905057525</c:v>
                </c:pt>
                <c:pt idx="296">
                  <c:v>306.09343875527242</c:v>
                </c:pt>
                <c:pt idx="297">
                  <c:v>307.88864475298419</c:v>
                </c:pt>
                <c:pt idx="298">
                  <c:v>309.68653902881954</c:v>
                </c:pt>
                <c:pt idx="299">
                  <c:v>311.48703462730384</c:v>
                </c:pt>
                <c:pt idx="300">
                  <c:v>313.29002517959941</c:v>
                </c:pt>
                <c:pt idx="301">
                  <c:v>315.0954044176608</c:v>
                </c:pt>
                <c:pt idx="302">
                  <c:v>316.90306617642699</c:v>
                </c:pt>
                <c:pt idx="303">
                  <c:v>318.71290439597681</c:v>
                </c:pt>
                <c:pt idx="304">
                  <c:v>320.52481312364716</c:v>
                </c:pt>
                <c:pt idx="305">
                  <c:v>322.33868651611465</c:v>
                </c:pt>
                <c:pt idx="306">
                  <c:v>324.15441884143996</c:v>
                </c:pt>
                <c:pt idx="307">
                  <c:v>325.97190448107568</c:v>
                </c:pt>
                <c:pt idx="308">
                  <c:v>327.7910379318372</c:v>
                </c:pt>
                <c:pt idx="309">
                  <c:v>329.61171380783691</c:v>
                </c:pt>
                <c:pt idx="310">
                  <c:v>331.43382684238179</c:v>
                </c:pt>
                <c:pt idx="311">
                  <c:v>333.25727188983433</c:v>
                </c:pt>
                <c:pt idx="312">
                  <c:v>335.08194392743701</c:v>
                </c:pt>
                <c:pt idx="313">
                  <c:v>336.90773805710018</c:v>
                </c:pt>
                <c:pt idx="314">
                  <c:v>338.73454950715393</c:v>
                </c:pt>
                <c:pt idx="315">
                  <c:v>340.56227363406327</c:v>
                </c:pt>
                <c:pt idx="316">
                  <c:v>342.39080592410761</c:v>
                </c:pt>
                <c:pt idx="317">
                  <c:v>344.22004199502368</c:v>
                </c:pt>
                <c:pt idx="318">
                  <c:v>346.04987759761303</c:v>
                </c:pt>
                <c:pt idx="319">
                  <c:v>347.88020861731331</c:v>
                </c:pt>
                <c:pt idx="320">
                  <c:v>349.71093107573398</c:v>
                </c:pt>
                <c:pt idx="321">
                  <c:v>351.54194887936637</c:v>
                </c:pt>
                <c:pt idx="322">
                  <c:v>353.3731815586504</c:v>
                </c:pt>
                <c:pt idx="323">
                  <c:v>355.20455650078401</c:v>
                </c:pt>
                <c:pt idx="324">
                  <c:v>357.03600119173421</c:v>
                </c:pt>
                <c:pt idx="325">
                  <c:v>358.86744321686359</c:v>
                </c:pt>
                <c:pt idx="326">
                  <c:v>360.69881026154013</c:v>
                </c:pt>
                <c:pt idx="327">
                  <c:v>362.53003011172962</c:v>
                </c:pt>
                <c:pt idx="328">
                  <c:v>364.36103065457144</c:v>
                </c:pt>
                <c:pt idx="329">
                  <c:v>366.19173987893748</c:v>
                </c:pt>
                <c:pt idx="330">
                  <c:v>368.02208587597414</c:v>
                </c:pt>
                <c:pt idx="331">
                  <c:v>369.85199683962787</c:v>
                </c:pt>
                <c:pt idx="332">
                  <c:v>371.68140106715418</c:v>
                </c:pt>
                <c:pt idx="333">
                  <c:v>373.51022695960978</c:v>
                </c:pt>
                <c:pt idx="334">
                  <c:v>375.33840302232892</c:v>
                </c:pt>
                <c:pt idx="335">
                  <c:v>377.16585786538303</c:v>
                </c:pt>
                <c:pt idx="336">
                  <c:v>378.99252020402429</c:v>
                </c:pt>
                <c:pt idx="337">
                  <c:v>380.81831885911299</c:v>
                </c:pt>
                <c:pt idx="338">
                  <c:v>382.64318275752919</c:v>
                </c:pt>
                <c:pt idx="339">
                  <c:v>384.46704093256801</c:v>
                </c:pt>
                <c:pt idx="340">
                  <c:v>386.28982252431962</c:v>
                </c:pt>
                <c:pt idx="341">
                  <c:v>388.11145678003294</c:v>
                </c:pt>
                <c:pt idx="342">
                  <c:v>389.93187305446429</c:v>
                </c:pt>
                <c:pt idx="343">
                  <c:v>391.75100081021003</c:v>
                </c:pt>
                <c:pt idx="344">
                  <c:v>393.56876961802419</c:v>
                </c:pt>
                <c:pt idx="345">
                  <c:v>395.38510915712038</c:v>
                </c:pt>
                <c:pt idx="346">
                  <c:v>397.1999492154589</c:v>
                </c:pt>
                <c:pt idx="347">
                  <c:v>399.01321969001833</c:v>
                </c:pt>
                <c:pt idx="348">
                  <c:v>400.82485142223686</c:v>
                </c:pt>
                <c:pt idx="349">
                  <c:v>402.63477703209844</c:v>
                </c:pt>
                <c:pt idx="350">
                  <c:v>404.44293008043405</c:v>
                </c:pt>
                <c:pt idx="351">
                  <c:v>406.24924423252725</c:v>
                </c:pt>
                <c:pt idx="352">
                  <c:v>408.05365325827097</c:v>
                </c:pt>
                <c:pt idx="353">
                  <c:v>409.85609103231076</c:v>
                </c:pt>
                <c:pt idx="354">
                  <c:v>411.65649153417553</c:v>
                </c:pt>
                <c:pt idx="355">
                  <c:v>413.45478884839497</c:v>
                </c:pt>
                <c:pt idx="356">
                  <c:v>415.25091716460474</c:v>
                </c:pt>
                <c:pt idx="357">
                  <c:v>417.04481077763842</c:v>
                </c:pt>
                <c:pt idx="358">
                  <c:v>418.83640408760721</c:v>
                </c:pt>
                <c:pt idx="359">
                  <c:v>420.62563159996722</c:v>
                </c:pt>
                <c:pt idx="360">
                  <c:v>422.41244529304026</c:v>
                </c:pt>
                <c:pt idx="361">
                  <c:v>424.19683195549652</c:v>
                </c:pt>
                <c:pt idx="362">
                  <c:v>425.97879575924941</c:v>
                </c:pt>
                <c:pt idx="363">
                  <c:v>427.75834086238825</c:v>
                </c:pt>
                <c:pt idx="364">
                  <c:v>429.53547140923843</c:v>
                </c:pt>
                <c:pt idx="365">
                  <c:v>431.31019153042092</c:v>
                </c:pt>
                <c:pt idx="366">
                  <c:v>433.08250534291182</c:v>
                </c:pt>
                <c:pt idx="367">
                  <c:v>434.8524169501012</c:v>
                </c:pt>
                <c:pt idx="368">
                  <c:v>436.61993044185203</c:v>
                </c:pt>
                <c:pt idx="369">
                  <c:v>438.38504989455845</c:v>
                </c:pt>
                <c:pt idx="370">
                  <c:v>440.1477793712038</c:v>
                </c:pt>
                <c:pt idx="371">
                  <c:v>441.90812292141857</c:v>
                </c:pt>
                <c:pt idx="372">
                  <c:v>443.66608458153763</c:v>
                </c:pt>
                <c:pt idx="373">
                  <c:v>445.42166837465754</c:v>
                </c:pt>
                <c:pt idx="374">
                  <c:v>447.17487831069315</c:v>
                </c:pt>
                <c:pt idx="375">
                  <c:v>448.92571838643437</c:v>
                </c:pt>
                <c:pt idx="376">
                  <c:v>450.67419258560221</c:v>
                </c:pt>
                <c:pt idx="377">
                  <c:v>452.42030487890469</c:v>
                </c:pt>
                <c:pt idx="378">
                  <c:v>454.1640592240924</c:v>
                </c:pt>
                <c:pt idx="379">
                  <c:v>455.90545956601397</c:v>
                </c:pt>
                <c:pt idx="380">
                  <c:v>457.64450983667092</c:v>
                </c:pt>
                <c:pt idx="381">
                  <c:v>459.3812139552723</c:v>
                </c:pt>
                <c:pt idx="382">
                  <c:v>461.1155758282892</c:v>
                </c:pt>
                <c:pt idx="383">
                  <c:v>462.84759934950887</c:v>
                </c:pt>
                <c:pt idx="384">
                  <c:v>464.57728840008843</c:v>
                </c:pt>
                <c:pt idx="385">
                  <c:v>466.30464684860851</c:v>
                </c:pt>
                <c:pt idx="386">
                  <c:v>468.02967855112644</c:v>
                </c:pt>
                <c:pt idx="387">
                  <c:v>469.75238735122917</c:v>
                </c:pt>
                <c:pt idx="388">
                  <c:v>471.47277708008602</c:v>
                </c:pt>
                <c:pt idx="389">
                  <c:v>473.19085155650095</c:v>
                </c:pt>
                <c:pt idx="390">
                  <c:v>474.90661458696474</c:v>
                </c:pt>
                <c:pt idx="391">
                  <c:v>476.62006996570688</c:v>
                </c:pt>
                <c:pt idx="392">
                  <c:v>478.331221474747</c:v>
                </c:pt>
                <c:pt idx="393">
                  <c:v>480.04007288394615</c:v>
                </c:pt>
                <c:pt idx="394">
                  <c:v>481.74662795105797</c:v>
                </c:pt>
                <c:pt idx="395">
                  <c:v>483.45089042177915</c:v>
                </c:pt>
                <c:pt idx="396">
                  <c:v>485.15286402980018</c:v>
                </c:pt>
                <c:pt idx="397">
                  <c:v>486.85255249685531</c:v>
                </c:pt>
                <c:pt idx="398">
                  <c:v>488.54995953277256</c:v>
                </c:pt>
                <c:pt idx="399">
                  <c:v>490.24508883552346</c:v>
                </c:pt>
                <c:pt idx="400">
                  <c:v>491.93794409127236</c:v>
                </c:pt>
                <c:pt idx="401">
                  <c:v>508.74170869813679</c:v>
                </c:pt>
                <c:pt idx="402">
                  <c:v>525.32043421578862</c:v>
                </c:pt>
                <c:pt idx="403">
                  <c:v>541.67769313597285</c:v>
                </c:pt>
                <c:pt idx="404">
                  <c:v>557.81694627271884</c:v>
                </c:pt>
                <c:pt idx="405">
                  <c:v>573.74154726872325</c:v>
                </c:pt>
                <c:pt idx="406">
                  <c:v>589.45474687242347</c:v>
                </c:pt>
                <c:pt idx="407">
                  <c:v>604.95969699966679</c:v>
                </c:pt>
                <c:pt idx="408">
                  <c:v>620.25945459289983</c:v>
                </c:pt>
                <c:pt idx="409">
                  <c:v>635.35698528990451</c:v>
                </c:pt>
                <c:pt idx="410">
                  <c:v>650.25516691327471</c:v>
                </c:pt>
                <c:pt idx="411">
                  <c:v>664.95679279106696</c:v>
                </c:pt>
                <c:pt idx="412">
                  <c:v>679.46457491835042</c:v>
                </c:pt>
                <c:pt idx="413">
                  <c:v>693.78114696873206</c:v>
                </c:pt>
                <c:pt idx="414">
                  <c:v>707.90906716433108</c:v>
                </c:pt>
                <c:pt idx="415">
                  <c:v>721.85082101211958</c:v>
                </c:pt>
                <c:pt idx="416">
                  <c:v>735.60882391403356</c:v>
                </c:pt>
                <c:pt idx="417">
                  <c:v>749.18542365777955</c:v>
                </c:pt>
                <c:pt idx="418">
                  <c:v>762.58290279482071</c:v>
                </c:pt>
                <c:pt idx="419">
                  <c:v>775.80348091161773</c:v>
                </c:pt>
                <c:pt idx="420">
                  <c:v>788.84931679981707</c:v>
                </c:pt>
                <c:pt idx="421">
                  <c:v>801.72251053072819</c:v>
                </c:pt>
                <c:pt idx="422">
                  <c:v>814.42510543910043</c:v>
                </c:pt>
                <c:pt idx="423">
                  <c:v>826.95909002090661</c:v>
                </c:pt>
                <c:pt idx="424">
                  <c:v>839.32639974955487</c:v>
                </c:pt>
                <c:pt idx="425">
                  <c:v>851.52891881468611</c:v>
                </c:pt>
                <c:pt idx="426">
                  <c:v>863.56848178746645</c:v>
                </c:pt>
                <c:pt idx="427">
                  <c:v>875.44687521605545</c:v>
                </c:pt>
                <c:pt idx="428">
                  <c:v>887.16583915471449</c:v>
                </c:pt>
                <c:pt idx="429">
                  <c:v>898.72706862982056</c:v>
                </c:pt>
                <c:pt idx="430">
                  <c:v>910.1322150458617</c:v>
                </c:pt>
                <c:pt idx="431">
                  <c:v>921.38288753431664</c:v>
                </c:pt>
                <c:pt idx="432">
                  <c:v>932.48065424815627</c:v>
                </c:pt>
                <c:pt idx="433">
                  <c:v>943.42704360455195</c:v>
                </c:pt>
                <c:pt idx="434">
                  <c:v>954.22354547823136</c:v>
                </c:pt>
                <c:pt idx="435">
                  <c:v>964.87161234778898</c:v>
                </c:pt>
                <c:pt idx="436">
                  <c:v>975.37266039713097</c:v>
                </c:pt>
                <c:pt idx="437">
                  <c:v>985.72807057411683</c:v>
                </c:pt>
                <c:pt idx="438">
                  <c:v>995.9391896083489</c:v>
                </c:pt>
                <c:pt idx="439">
                  <c:v>1006.0073309899566</c:v>
                </c:pt>
                <c:pt idx="440">
                  <c:v>1015.9337759111237</c:v>
                </c:pt>
                <c:pt idx="441">
                  <c:v>1025.719774172017</c:v>
                </c:pt>
                <c:pt idx="442">
                  <c:v>1035.3665450526839</c:v>
                </c:pt>
                <c:pt idx="443">
                  <c:v>1044.875278152412</c:v>
                </c:pt>
                <c:pt idx="444">
                  <c:v>1054.2471341979578</c:v>
                </c:pt>
                <c:pt idx="445">
                  <c:v>1063.4832458219901</c:v>
                </c:pt>
                <c:pt idx="446">
                  <c:v>1072.5847183130143</c:v>
                </c:pt>
                <c:pt idx="447">
                  <c:v>1081.552630337992</c:v>
                </c:pt>
                <c:pt idx="448">
                  <c:v>1090.3880346387982</c:v>
                </c:pt>
                <c:pt idx="449">
                  <c:v>1099.0919587036096</c:v>
                </c:pt>
                <c:pt idx="450">
                  <c:v>1107.6654054142596</c:v>
                </c:pt>
                <c:pt idx="451">
                  <c:v>1116.1093536705466</c:v>
                </c:pt>
                <c:pt idx="452">
                  <c:v>1124.4247589924344</c:v>
                </c:pt>
                <c:pt idx="453">
                  <c:v>1132.6125541010347</c:v>
                </c:pt>
                <c:pt idx="454">
                  <c:v>1140.6736494792249</c:v>
                </c:pt>
                <c:pt idx="455">
                  <c:v>1148.6089339127091</c:v>
                </c:pt>
                <c:pt idx="456">
                  <c:v>1156.4192750122916</c:v>
                </c:pt>
                <c:pt idx="457">
                  <c:v>1164.1055197181008</c:v>
                </c:pt>
                <c:pt idx="458">
                  <c:v>1171.6684947864621</c:v>
                </c:pt>
                <c:pt idx="459">
                  <c:v>1179.1090072600871</c:v>
                </c:pt>
                <c:pt idx="460">
                  <c:v>1186.4278449222165</c:v>
                </c:pt>
                <c:pt idx="461">
                  <c:v>1193.6257767353268</c:v>
                </c:pt>
                <c:pt idx="462">
                  <c:v>1200.7035532649761</c:v>
                </c:pt>
                <c:pt idx="463">
                  <c:v>1207.6619070893473</c:v>
                </c:pt>
                <c:pt idx="464">
                  <c:v>1214.5015531950157</c:v>
                </c:pt>
                <c:pt idx="465">
                  <c:v>1221.223189359446</c:v>
                </c:pt>
                <c:pt idx="466">
                  <c:v>1227.8274965207022</c:v>
                </c:pt>
                <c:pt idx="467">
                  <c:v>1234.3151391348322</c:v>
                </c:pt>
                <c:pt idx="468">
                  <c:v>1240.6867655213678</c:v>
                </c:pt>
                <c:pt idx="469">
                  <c:v>1246.9430081973626</c:v>
                </c:pt>
                <c:pt idx="470">
                  <c:v>1253.0844842003723</c:v>
                </c:pt>
                <c:pt idx="471">
                  <c:v>1259.1117954007639</c:v>
                </c:pt>
                <c:pt idx="472">
                  <c:v>1265.0255288037229</c:v>
                </c:pt>
                <c:pt idx="473">
                  <c:v>1270.8262568413163</c:v>
                </c:pt>
                <c:pt idx="474">
                  <c:v>1276.5145376549481</c:v>
                </c:pt>
                <c:pt idx="475">
                  <c:v>1282.0909153685357</c:v>
                </c:pt>
                <c:pt idx="476">
                  <c:v>1287.5559203527191</c:v>
                </c:pt>
                <c:pt idx="477">
                  <c:v>1292.9100694804038</c:v>
                </c:pt>
                <c:pt idx="478">
                  <c:v>1298.1538663739252</c:v>
                </c:pt>
                <c:pt idx="479">
                  <c:v>1303.2878016441125</c:v>
                </c:pt>
                <c:pt idx="480">
                  <c:v>1308.3123531215192</c:v>
                </c:pt>
                <c:pt idx="481">
                  <c:v>1313.2279860800759</c:v>
                </c:pt>
                <c:pt idx="482">
                  <c:v>1318.0351534534157</c:v>
                </c:pt>
                <c:pt idx="483">
                  <c:v>1322.7342960441085</c:v>
                </c:pt>
                <c:pt idx="484">
                  <c:v>1327.3258427260391</c:v>
                </c:pt>
                <c:pt idx="485">
                  <c:v>1331.8102106401502</c:v>
                </c:pt>
                <c:pt idx="486">
                  <c:v>1336.1878053837709</c:v>
                </c:pt>
                <c:pt idx="487">
                  <c:v>1340.4590211937407</c:v>
                </c:pt>
                <c:pt idx="488">
                  <c:v>1344.6242411235373</c:v>
                </c:pt>
                <c:pt idx="489">
                  <c:v>1348.6838372146121</c:v>
                </c:pt>
                <c:pt idx="490">
                  <c:v>1352.6381706621301</c:v>
                </c:pt>
                <c:pt idx="491">
                  <c:v>1356.4875919753163</c:v>
                </c:pt>
                <c:pt idx="492">
                  <c:v>1360.2324411326028</c:v>
                </c:pt>
                <c:pt idx="493">
                  <c:v>1363.8730477317736</c:v>
                </c:pt>
                <c:pt idx="494">
                  <c:v>1367.4097311353069</c:v>
                </c:pt>
                <c:pt idx="495">
                  <c:v>1370.8428006111189</c:v>
                </c:pt>
                <c:pt idx="496">
                  <c:v>1374.1725554689144</c:v>
                </c:pt>
                <c:pt idx="497">
                  <c:v>1377.3992851923631</c:v>
                </c:pt>
                <c:pt idx="498">
                  <c:v>1380.5232695673267</c:v>
                </c:pt>
                <c:pt idx="499">
                  <c:v>1383.5447788063821</c:v>
                </c:pt>
                <c:pt idx="500">
                  <c:v>1386.4640736698959</c:v>
                </c:pt>
                <c:pt idx="501">
                  <c:v>1389.281405583939</c:v>
                </c:pt>
                <c:pt idx="502">
                  <c:v>1391.9970167553495</c:v>
                </c:pt>
                <c:pt idx="503">
                  <c:v>1394.6111402842989</c:v>
                </c:pt>
                <c:pt idx="504">
                  <c:v>1397.1240002747543</c:v>
                </c:pt>
                <c:pt idx="505">
                  <c:v>1399.5358119432899</c:v>
                </c:pt>
                <c:pt idx="506">
                  <c:v>1401.8467817267717</c:v>
                </c:pt>
                <c:pt idx="507">
                  <c:v>1404.0571073895258</c:v>
                </c:pt>
                <c:pt idx="508">
                  <c:v>1406.1669781307037</c:v>
                </c:pt>
                <c:pt idx="509">
                  <c:v>1408.1765746926978</c:v>
                </c:pt>
                <c:pt idx="510">
                  <c:v>1410.0860694716116</c:v>
                </c:pt>
                <c:pt idx="511">
                  <c:v>1411.8956266309951</c:v>
                </c:pt>
                <c:pt idx="512">
                  <c:v>1413.6054022202916</c:v>
                </c:pt>
                <c:pt idx="513">
                  <c:v>1415.2155442997348</c:v>
                </c:pt>
                <c:pt idx="514">
                  <c:v>1416.7261930737914</c:v>
                </c:pt>
                <c:pt idx="515">
                  <c:v>1418.137481035656</c:v>
                </c:pt>
                <c:pt idx="516">
                  <c:v>1419.4495331258038</c:v>
                </c:pt>
                <c:pt idx="517">
                  <c:v>1420.6624669081712</c:v>
                </c:pt>
                <c:pt idx="518">
                  <c:v>1421.7763927681699</c:v>
                </c:pt>
                <c:pt idx="519">
                  <c:v>1422.791414137426</c:v>
                </c:pt>
                <c:pt idx="520">
                  <c:v>1423.7076277508202</c:v>
                </c:pt>
                <c:pt idx="521">
                  <c:v>1424.525123942039</c:v>
                </c:pt>
                <c:pt idx="522">
                  <c:v>1425.2439869842974</c:v>
                </c:pt>
                <c:pt idx="523">
                  <c:v>1425.8642954830227</c:v>
                </c:pt>
                <c:pt idx="524">
                  <c:v>1426.3861228269077</c:v>
                </c:pt>
                <c:pt idx="525">
                  <c:v>1426.8095377026211</c:v>
                </c:pt>
                <c:pt idx="526">
                  <c:v>1427.1346046764331</c:v>
                </c:pt>
                <c:pt idx="527">
                  <c:v>1427.36138484295</c:v>
                </c:pt>
                <c:pt idx="528">
                  <c:v>1427.4899365371464</c:v>
                </c:pt>
                <c:pt idx="529">
                  <c:v>1427.5203161012212</c:v>
                </c:pt>
                <c:pt idx="530">
                  <c:v>1427.4525786930656</c:v>
                </c:pt>
                <c:pt idx="531">
                  <c:v>1427.2867791190511</c:v>
                </c:pt>
                <c:pt idx="532">
                  <c:v>1427.0229726711766</c:v>
                </c:pt>
                <c:pt idx="533">
                  <c:v>1426.6612159478925</c:v>
                </c:pt>
                <c:pt idx="534">
                  <c:v>1426.2015676393048</c:v>
                </c:pt>
                <c:pt idx="535">
                  <c:v>1425.6440892606629</c:v>
                </c:pt>
                <c:pt idx="536">
                  <c:v>1424.9888458224182</c:v>
                </c:pt>
                <c:pt idx="537">
                  <c:v>1424.2359064299444</c:v>
                </c:pt>
                <c:pt idx="538">
                  <c:v>1423.3853448105212</c:v>
                </c:pt>
                <c:pt idx="539">
                  <c:v>1422.4372397689165</c:v>
                </c:pt>
                <c:pt idx="540">
                  <c:v>1421.3916755756338</c:v>
                </c:pt>
                <c:pt idx="541">
                  <c:v>1420.2487422936156</c:v>
                </c:pt>
                <c:pt idx="542">
                  <c:v>1419.0085360500375</c:v>
                </c:pt>
                <c:pt idx="543">
                  <c:v>1417.6711592600197</c:v>
                </c:pt>
                <c:pt idx="544">
                  <c:v>1416.2367208088176</c:v>
                </c:pt>
                <c:pt idx="545">
                  <c:v>1414.7053361985118</c:v>
                </c:pt>
                <c:pt idx="546">
                  <c:v>1413.077127664556</c:v>
                </c:pt>
                <c:pt idx="547">
                  <c:v>1411.3522242668337</c:v>
                </c:pt>
                <c:pt idx="548">
                  <c:v>1409.5307619591961</c:v>
                </c:pt>
                <c:pt idx="549">
                  <c:v>1407.6128836408323</c:v>
                </c:pt>
                <c:pt idx="550">
                  <c:v>1405.5987391922722</c:v>
                </c:pt>
                <c:pt idx="551">
                  <c:v>1403.4884854983536</c:v>
                </c:pt>
                <c:pt idx="552">
                  <c:v>1401.2822864600785</c:v>
                </c:pt>
                <c:pt idx="553">
                  <c:v>1398.9803129969557</c:v>
                </c:pt>
                <c:pt idx="554">
                  <c:v>1396.5827430411439</c:v>
                </c:pt>
                <c:pt idx="555">
                  <c:v>1394.089761524483</c:v>
                </c:pt>
                <c:pt idx="556">
                  <c:v>1391.5015603593147</c:v>
                </c:pt>
                <c:pt idx="557">
                  <c:v>1388.8183384138381</c:v>
                </c:pt>
                <c:pt idx="558">
                  <c:v>1386.0403014826225</c:v>
                </c:pt>
                <c:pt idx="559">
                  <c:v>1383.1676622527946</c:v>
                </c:pt>
                <c:pt idx="560">
                  <c:v>1380.2006402663362</c:v>
                </c:pt>
                <c:pt idx="561">
                  <c:v>1377.139461878859</c:v>
                </c:pt>
                <c:pt idx="562">
                  <c:v>1373.9843602151655</c:v>
                </c:pt>
                <c:pt idx="563">
                  <c:v>1370.7355751218606</c:v>
                </c:pt>
                <c:pt idx="564">
                  <c:v>1367.3933531172431</c:v>
                </c:pt>
                <c:pt idx="565">
                  <c:v>1363.957947338668</c:v>
                </c:pt>
                <c:pt idx="566">
                  <c:v>1360.4296174875526</c:v>
                </c:pt>
                <c:pt idx="567">
                  <c:v>1356.8086297721736</c:v>
                </c:pt>
                <c:pt idx="568">
                  <c:v>1353.0952568483872</c:v>
                </c:pt>
                <c:pt idx="569">
                  <c:v>1349.2897777583858</c:v>
                </c:pt>
                <c:pt idx="570">
                  <c:v>1345.3924778675998</c:v>
                </c:pt>
                <c:pt idx="571">
                  <c:v>1341.4036487998349</c:v>
                </c:pt>
                <c:pt idx="572">
                  <c:v>1337.3235883707307</c:v>
                </c:pt>
                <c:pt idx="573">
                  <c:v>1333.1526005196226</c:v>
                </c:pt>
                <c:pt idx="574">
                  <c:v>1328.8909952398756</c:v>
                </c:pt>
                <c:pt idx="575">
                  <c:v>1324.5390885077584</c:v>
                </c:pt>
                <c:pt idx="576">
                  <c:v>1320.0972022099247</c:v>
                </c:pt>
                <c:pt idx="577">
                  <c:v>1315.5656640695559</c:v>
                </c:pt>
                <c:pt idx="578">
                  <c:v>1310.944807571226</c:v>
                </c:pt>
                <c:pt idx="579">
                  <c:v>1306.2349718845428</c:v>
                </c:pt>
                <c:pt idx="580">
                  <c:v>1301.4365017866155</c:v>
                </c:pt>
                <c:pt idx="581">
                  <c:v>1296.5497475834002</c:v>
                </c:pt>
                <c:pt idx="582">
                  <c:v>1291.5750650299724</c:v>
                </c:pt>
                <c:pt idx="583">
                  <c:v>1286.5128152497732</c:v>
                </c:pt>
                <c:pt idx="584">
                  <c:v>1281.3633646528751</c:v>
                </c:pt>
                <c:pt idx="585">
                  <c:v>1276.1270848533143</c:v>
                </c:pt>
                <c:pt idx="586">
                  <c:v>1270.8043525855298</c:v>
                </c:pt>
                <c:pt idx="587">
                  <c:v>1265.395549619959</c:v>
                </c:pt>
                <c:pt idx="588">
                  <c:v>1259.9010626778252</c:v>
                </c:pt>
                <c:pt idx="589">
                  <c:v>1254.3212833451669</c:v>
                </c:pt>
                <c:pt idx="590">
                  <c:v>1248.6566079861432</c:v>
                </c:pt>
                <c:pt idx="591">
                  <c:v>1242.9074376556625</c:v>
                </c:pt>
                <c:pt idx="592">
                  <c:v>1237.074178011371</c:v>
                </c:pt>
                <c:pt idx="593">
                  <c:v>1231.1572392250437</c:v>
                </c:pt>
                <c:pt idx="594">
                  <c:v>1225.1570358934159</c:v>
                </c:pt>
                <c:pt idx="595">
                  <c:v>1219.0739869484978</c:v>
                </c:pt>
                <c:pt idx="596">
                  <c:v>1212.9085155674061</c:v>
                </c:pt>
                <c:pt idx="597">
                  <c:v>1206.6610490817568</c:v>
                </c:pt>
                <c:pt idx="598">
                  <c:v>1200.3320188866542</c:v>
                </c:pt>
                <c:pt idx="599">
                  <c:v>1193.9218603493148</c:v>
                </c:pt>
                <c:pt idx="600">
                  <c:v>1187.4310127173644</c:v>
                </c:pt>
                <c:pt idx="601">
                  <c:v>1180.8599190268453</c:v>
                </c:pt>
                <c:pt idx="602">
                  <c:v>1174.2090260099703</c:v>
                </c:pt>
                <c:pt idx="603">
                  <c:v>1167.4787840026606</c:v>
                </c:pt>
                <c:pt idx="604">
                  <c:v>1160.6696468519035</c:v>
                </c:pt>
                <c:pt idx="605">
                  <c:v>1153.7820718229659</c:v>
                </c:pt>
                <c:pt idx="606">
                  <c:v>1146.8165195064987</c:v>
                </c:pt>
                <c:pt idx="607">
                  <c:v>1139.7734537255674</c:v>
                </c:pt>
                <c:pt idx="608">
                  <c:v>1132.6533414426444</c:v>
                </c:pt>
                <c:pt idx="609">
                  <c:v>1125.4566526665956</c:v>
                </c:pt>
                <c:pt idx="610">
                  <c:v>1118.1838603596957</c:v>
                </c:pt>
                <c:pt idx="611">
                  <c:v>1110.835440344707</c:v>
                </c:pt>
                <c:pt idx="612">
                  <c:v>1103.4118712120528</c:v>
                </c:pt>
                <c:pt idx="613">
                  <c:v>1095.9136342271183</c:v>
                </c:pt>
                <c:pt idx="614">
                  <c:v>1088.3412132377121</c:v>
                </c:pt>
                <c:pt idx="615">
                  <c:v>1080.6950945817175</c:v>
                </c:pt>
                <c:pt idx="616">
                  <c:v>1072.9757669949688</c:v>
                </c:pt>
                <c:pt idx="617">
                  <c:v>1065.1837215193773</c:v>
                </c:pt>
                <c:pt idx="618">
                  <c:v>1057.3194514113432</c:v>
                </c:pt>
                <c:pt idx="619">
                  <c:v>1049.3834520504779</c:v>
                </c:pt>
                <c:pt idx="620">
                  <c:v>1041.3762208486692</c:v>
                </c:pt>
                <c:pt idx="621">
                  <c:v>1033.2982571595153</c:v>
                </c:pt>
                <c:pt idx="622">
                  <c:v>1025.1500621881576</c:v>
                </c:pt>
                <c:pt idx="623">
                  <c:v>1016.9321389015386</c:v>
                </c:pt>
                <c:pt idx="624">
                  <c:v>1008.6449919391113</c:v>
                </c:pt>
                <c:pt idx="625">
                  <c:v>1000.2891275240272</c:v>
                </c:pt>
                <c:pt idx="626">
                  <c:v>991.86505337482868</c:v>
                </c:pt>
                <c:pt idx="627">
                  <c:v>983.37327861766948</c:v>
                </c:pt>
                <c:pt idx="628">
                  <c:v>974.81431369908978</c:v>
                </c:pt>
                <c:pt idx="629">
                  <c:v>966.18867029936769</c:v>
                </c:pt>
                <c:pt idx="630">
                  <c:v>957.49686124647224</c:v>
                </c:pt>
                <c:pt idx="631">
                  <c:v>948.73940043063908</c:v>
                </c:pt>
                <c:pt idx="632">
                  <c:v>939.91680271959228</c:v>
                </c:pt>
                <c:pt idx="633">
                  <c:v>931.02958387443289</c:v>
                </c:pt>
                <c:pt idx="634">
                  <c:v>922.07826046621506</c:v>
                </c:pt>
                <c:pt idx="635">
                  <c:v>913.06334979323071</c:v>
                </c:pt>
                <c:pt idx="636">
                  <c:v>903.98536979902167</c:v>
                </c:pt>
                <c:pt idx="637">
                  <c:v>894.84483899113832</c:v>
                </c:pt>
                <c:pt idx="638">
                  <c:v>885.64227636066369</c:v>
                </c:pt>
                <c:pt idx="639">
                  <c:v>876.37820130252044</c:v>
                </c:pt>
                <c:pt idx="640">
                  <c:v>867.05313353657743</c:v>
                </c:pt>
                <c:pt idx="641">
                  <c:v>857.66759302957314</c:v>
                </c:pt>
                <c:pt idx="642">
                  <c:v>848.22209991787133</c:v>
                </c:pt>
                <c:pt idx="643">
                  <c:v>838.71717443106445</c:v>
                </c:pt>
                <c:pt idx="644">
                  <c:v>829.15333681643938</c:v>
                </c:pt>
                <c:pt idx="645">
                  <c:v>819.5311072643193</c:v>
                </c:pt>
                <c:pt idx="646">
                  <c:v>809.85100583429573</c:v>
                </c:pt>
                <c:pt idx="647">
                  <c:v>800.11355238236251</c:v>
                </c:pt>
                <c:pt idx="648">
                  <c:v>790.31926648896501</c:v>
                </c:pt>
                <c:pt idx="649">
                  <c:v>780.46866738797542</c:v>
                </c:pt>
                <c:pt idx="650">
                  <c:v>770.56227389660546</c:v>
                </c:pt>
                <c:pt idx="651">
                  <c:v>760.60060434626655</c:v>
                </c:pt>
                <c:pt idx="652">
                  <c:v>750.58417651438754</c:v>
                </c:pt>
                <c:pt idx="653">
                  <c:v>740.51350755719909</c:v>
                </c:pt>
                <c:pt idx="654">
                  <c:v>730.38911394349316</c:v>
                </c:pt>
                <c:pt idx="655">
                  <c:v>720.21151138936591</c:v>
                </c:pt>
                <c:pt idx="656">
                  <c:v>709.98121479395093</c:v>
                </c:pt>
                <c:pt idx="657">
                  <c:v>699.69873817615075</c:v>
                </c:pt>
                <c:pt idx="658">
                  <c:v>689.36459461237132</c:v>
                </c:pt>
                <c:pt idx="659">
                  <c:v>678.97929617526688</c:v>
                </c:pt>
                <c:pt idx="660">
                  <c:v>668.54335387349954</c:v>
                </c:pt>
                <c:pt idx="661">
                  <c:v>658.05727759251806</c:v>
                </c:pt>
                <c:pt idx="662">
                  <c:v>647.52157603636101</c:v>
                </c:pt>
                <c:pt idx="663">
                  <c:v>636.93675667048637</c:v>
                </c:pt>
                <c:pt idx="664">
                  <c:v>626.30332566563243</c:v>
                </c:pt>
                <c:pt idx="665">
                  <c:v>615.62178784271111</c:v>
                </c:pt>
                <c:pt idx="666">
                  <c:v>604.89264661873653</c:v>
                </c:pt>
                <c:pt idx="667">
                  <c:v>594.11640395379038</c:v>
                </c:pt>
                <c:pt idx="668">
                  <c:v>583.29356029902522</c:v>
                </c:pt>
                <c:pt idx="669">
                  <c:v>572.42461454570571</c:v>
                </c:pt>
                <c:pt idx="670">
                  <c:v>561.51006397528909</c:v>
                </c:pt>
                <c:pt idx="671">
                  <c:v>550.55040421054366</c:v>
                </c:pt>
                <c:pt idx="672">
                  <c:v>539.54612916770498</c:v>
                </c:pt>
                <c:pt idx="673">
                  <c:v>528.49773100966831</c:v>
                </c:pt>
                <c:pt idx="674">
                  <c:v>517.40570010021645</c:v>
                </c:pt>
                <c:pt idx="675">
                  <c:v>506.2705249592795</c:v>
                </c:pt>
                <c:pt idx="676">
                  <c:v>495.09269221922602</c:v>
                </c:pt>
                <c:pt idx="677">
                  <c:v>483.87268658218102</c:v>
                </c:pt>
                <c:pt idx="678">
                  <c:v>472.61099077836866</c:v>
                </c:pt>
                <c:pt idx="679">
                  <c:v>461.30808552547563</c:v>
                </c:pt>
                <c:pt idx="680">
                  <c:v>449.96444948903132</c:v>
                </c:pt>
                <c:pt idx="681">
                  <c:v>438.58055924380039</c:v>
                </c:pt>
                <c:pt idx="682">
                  <c:v>427.15688923618313</c:v>
                </c:pt>
                <c:pt idx="683">
                  <c:v>415.69391174761876</c:v>
                </c:pt>
                <c:pt idx="684">
                  <c:v>404.19209685898591</c:v>
                </c:pt>
                <c:pt idx="685">
                  <c:v>392.65191241599484</c:v>
                </c:pt>
                <c:pt idx="686">
                  <c:v>381.07382399556565</c:v>
                </c:pt>
                <c:pt idx="687">
                  <c:v>369.45829487318565</c:v>
                </c:pt>
                <c:pt idx="688">
                  <c:v>357.80578599123993</c:v>
                </c:pt>
                <c:pt idx="689">
                  <c:v>346.11675592830767</c:v>
                </c:pt>
                <c:pt idx="690">
                  <c:v>334.39166086941759</c:v>
                </c:pt>
                <c:pt idx="691">
                  <c:v>322.63095457725478</c:v>
                </c:pt>
                <c:pt idx="692">
                  <c:v>310.83508836431145</c:v>
                </c:pt>
                <c:pt idx="693">
                  <c:v>299.00451106597376</c:v>
                </c:pt>
                <c:pt idx="694">
                  <c:v>287.13966901453648</c:v>
                </c:pt>
                <c:pt idx="695">
                  <c:v>275.24100601413699</c:v>
                </c:pt>
                <c:pt idx="696">
                  <c:v>263.30896331660068</c:v>
                </c:pt>
                <c:pt idx="697">
                  <c:v>251.34397959818816</c:v>
                </c:pt>
                <c:pt idx="698">
                  <c:v>239.3464909372361</c:v>
                </c:pt>
                <c:pt idx="699">
                  <c:v>227.31693079268194</c:v>
                </c:pt>
                <c:pt idx="700">
                  <c:v>215.2557299834636</c:v>
                </c:pt>
                <c:pt idx="701">
                  <c:v>203.16331666878449</c:v>
                </c:pt>
                <c:pt idx="702">
                  <c:v>191.04011632923417</c:v>
                </c:pt>
                <c:pt idx="703">
                  <c:v>178.88655174875498</c:v>
                </c:pt>
                <c:pt idx="704">
                  <c:v>166.70304299744464</c:v>
                </c:pt>
                <c:pt idx="705">
                  <c:v>154.49000741518475</c:v>
                </c:pt>
                <c:pt idx="706">
                  <c:v>142.24785959608496</c:v>
                </c:pt>
                <c:pt idx="707">
                  <c:v>129.97701137373264</c:v>
                </c:pt>
                <c:pt idx="708">
                  <c:v>117.67787180723749</c:v>
                </c:pt>
                <c:pt idx="709">
                  <c:v>105.3508471680606</c:v>
                </c:pt>
                <c:pt idx="710">
                  <c:v>92.996340927617368</c:v>
                </c:pt>
                <c:pt idx="711">
                  <c:v>80.614753745643668</c:v>
                </c:pt>
                <c:pt idx="712">
                  <c:v>68.206483459314299</c:v>
                </c:pt>
                <c:pt idx="713">
                  <c:v>55.771925073103048</c:v>
                </c:pt>
                <c:pt idx="714">
                  <c:v>43.311470749373328</c:v>
                </c:pt>
                <c:pt idx="715">
                  <c:v>30.825509799688554</c:v>
                </c:pt>
                <c:pt idx="716">
                  <c:v>18.314428676831142</c:v>
                </c:pt>
                <c:pt idx="717">
                  <c:v>5.7786109675191106</c:v>
                </c:pt>
                <c:pt idx="718">
                  <c:v>-6.7815626141907881</c:v>
                </c:pt>
                <c:pt idx="719">
                  <c:v>-6.7941348827845758</c:v>
                </c:pt>
                <c:pt idx="720">
                  <c:v>-6.8067071751680173</c:v>
                </c:pt>
                <c:pt idx="721">
                  <c:v>-6.8192794913407386</c:v>
                </c:pt>
                <c:pt idx="722">
                  <c:v>-6.8318518313023677</c:v>
                </c:pt>
                <c:pt idx="723">
                  <c:v>-6.8444241950525324</c:v>
                </c:pt>
                <c:pt idx="724">
                  <c:v>-6.8569965825908588</c:v>
                </c:pt>
                <c:pt idx="725">
                  <c:v>-6.8695689939169746</c:v>
                </c:pt>
                <c:pt idx="726">
                  <c:v>-6.8821414290305079</c:v>
                </c:pt>
                <c:pt idx="727">
                  <c:v>-6.8947138879310845</c:v>
                </c:pt>
                <c:pt idx="728">
                  <c:v>-6.9072863706183325</c:v>
                </c:pt>
                <c:pt idx="729">
                  <c:v>-6.9198588770918796</c:v>
                </c:pt>
                <c:pt idx="730">
                  <c:v>-6.932431407351352</c:v>
                </c:pt>
                <c:pt idx="731">
                  <c:v>-6.9450039613963783</c:v>
                </c:pt>
                <c:pt idx="732">
                  <c:v>-6.9575765392265847</c:v>
                </c:pt>
                <c:pt idx="733">
                  <c:v>-6.970149140841599</c:v>
                </c:pt>
                <c:pt idx="734">
                  <c:v>-6.9827217662410481</c:v>
                </c:pt>
                <c:pt idx="735">
                  <c:v>-6.99529441542456</c:v>
                </c:pt>
                <c:pt idx="736">
                  <c:v>-7.0078670883917615</c:v>
                </c:pt>
                <c:pt idx="737">
                  <c:v>-7.0204397851422797</c:v>
                </c:pt>
                <c:pt idx="738">
                  <c:v>-7.0330125056757424</c:v>
                </c:pt>
                <c:pt idx="739">
                  <c:v>-7.0455852499917766</c:v>
                </c:pt>
                <c:pt idx="740">
                  <c:v>-7.0581580180900101</c:v>
                </c:pt>
                <c:pt idx="741">
                  <c:v>-7.0707308099700699</c:v>
                </c:pt>
                <c:pt idx="742">
                  <c:v>-7.0833036256315829</c:v>
                </c:pt>
                <c:pt idx="743">
                  <c:v>-7.095876465074177</c:v>
                </c:pt>
                <c:pt idx="744">
                  <c:v>-7.1084493282974792</c:v>
                </c:pt>
                <c:pt idx="745">
                  <c:v>-7.1210222153011165</c:v>
                </c:pt>
                <c:pt idx="746">
                  <c:v>-7.1335951260847166</c:v>
                </c:pt>
                <c:pt idx="747">
                  <c:v>-7.1461680606479074</c:v>
                </c:pt>
                <c:pt idx="748">
                  <c:v>-7.158741018990316</c:v>
                </c:pt>
                <c:pt idx="749">
                  <c:v>-7.1713140011115692</c:v>
                </c:pt>
                <c:pt idx="750">
                  <c:v>-7.183887007011295</c:v>
                </c:pt>
                <c:pt idx="751">
                  <c:v>-7.1964600366891203</c:v>
                </c:pt>
                <c:pt idx="752">
                  <c:v>-7.209033090144672</c:v>
                </c:pt>
                <c:pt idx="753">
                  <c:v>-7.221606167377578</c:v>
                </c:pt>
                <c:pt idx="754">
                  <c:v>-7.2341792683874662</c:v>
                </c:pt>
                <c:pt idx="755">
                  <c:v>-7.2467523931739635</c:v>
                </c:pt>
                <c:pt idx="756">
                  <c:v>-7.2593255417366969</c:v>
                </c:pt>
                <c:pt idx="757">
                  <c:v>-7.2718987140752942</c:v>
                </c:pt>
                <c:pt idx="758">
                  <c:v>-7.2844719101893824</c:v>
                </c:pt>
                <c:pt idx="759">
                  <c:v>-7.2970451300785895</c:v>
                </c:pt>
                <c:pt idx="760">
                  <c:v>-7.3096183737425422</c:v>
                </c:pt>
                <c:pt idx="761">
                  <c:v>-7.3221916411808676</c:v>
                </c:pt>
                <c:pt idx="762">
                  <c:v>-7.3347649323931936</c:v>
                </c:pt>
                <c:pt idx="763">
                  <c:v>-7.347338247379148</c:v>
                </c:pt>
                <c:pt idx="764">
                  <c:v>-7.3599115861383577</c:v>
                </c:pt>
                <c:pt idx="765">
                  <c:v>-7.3724849486704498</c:v>
                </c:pt>
                <c:pt idx="766">
                  <c:v>-7.385058334975052</c:v>
                </c:pt>
                <c:pt idx="767">
                  <c:v>-7.3976317450517923</c:v>
                </c:pt>
                <c:pt idx="768">
                  <c:v>-7.4102051789002976</c:v>
                </c:pt>
                <c:pt idx="769">
                  <c:v>-7.4227786365201949</c:v>
                </c:pt>
                <c:pt idx="770">
                  <c:v>-7.4353521179111119</c:v>
                </c:pt>
                <c:pt idx="771">
                  <c:v>-7.4479256230726758</c:v>
                </c:pt>
                <c:pt idx="772">
                  <c:v>-7.4604991520045143</c:v>
                </c:pt>
                <c:pt idx="773">
                  <c:v>-7.4730727047062553</c:v>
                </c:pt>
                <c:pt idx="774">
                  <c:v>-7.4856462811775257</c:v>
                </c:pt>
                <c:pt idx="775">
                  <c:v>-7.4982198814179526</c:v>
                </c:pt>
                <c:pt idx="776">
                  <c:v>-7.5107935054271637</c:v>
                </c:pt>
                <c:pt idx="777">
                  <c:v>-7.5233671532047861</c:v>
                </c:pt>
                <c:pt idx="778">
                  <c:v>-7.5359408247504476</c:v>
                </c:pt>
                <c:pt idx="779">
                  <c:v>-7.548514520063776</c:v>
                </c:pt>
                <c:pt idx="780">
                  <c:v>-7.5610882391443983</c:v>
                </c:pt>
                <c:pt idx="781">
                  <c:v>-7.5736619819919415</c:v>
                </c:pt>
                <c:pt idx="782">
                  <c:v>-7.5862357486060334</c:v>
                </c:pt>
                <c:pt idx="783">
                  <c:v>-7.598809538986302</c:v>
                </c:pt>
                <c:pt idx="784">
                  <c:v>-7.611383353132374</c:v>
                </c:pt>
                <c:pt idx="785">
                  <c:v>-7.6239571910438775</c:v>
                </c:pt>
                <c:pt idx="786">
                  <c:v>-7.6365310527204393</c:v>
                </c:pt>
                <c:pt idx="787">
                  <c:v>-7.6491049381616874</c:v>
                </c:pt>
                <c:pt idx="788">
                  <c:v>-7.6616788473672486</c:v>
                </c:pt>
                <c:pt idx="789">
                  <c:v>-7.6742527803367508</c:v>
                </c:pt>
                <c:pt idx="790">
                  <c:v>-7.6868267370698211</c:v>
                </c:pt>
                <c:pt idx="791">
                  <c:v>-7.6994007175660872</c:v>
                </c:pt>
                <c:pt idx="792">
                  <c:v>-7.7119747218251771</c:v>
                </c:pt>
                <c:pt idx="793">
                  <c:v>-7.7245487498467176</c:v>
                </c:pt>
                <c:pt idx="794">
                  <c:v>-7.7371228016303366</c:v>
                </c:pt>
                <c:pt idx="795">
                  <c:v>-7.7496968771756611</c:v>
                </c:pt>
                <c:pt idx="796">
                  <c:v>-7.762270976482319</c:v>
                </c:pt>
                <c:pt idx="797">
                  <c:v>-7.7748450995499372</c:v>
                </c:pt>
                <c:pt idx="798">
                  <c:v>-7.7874192463781435</c:v>
                </c:pt>
                <c:pt idx="799">
                  <c:v>-7.799993416966565</c:v>
                </c:pt>
                <c:pt idx="800">
                  <c:v>-7.8125676113148304</c:v>
                </c:pt>
                <c:pt idx="801">
                  <c:v>-7.8251418294225656</c:v>
                </c:pt>
                <c:pt idx="802">
                  <c:v>-7.8377160712893996</c:v>
                </c:pt>
                <c:pt idx="803">
                  <c:v>-7.8502903369149593</c:v>
                </c:pt>
                <c:pt idx="804">
                  <c:v>-7.8628646262988715</c:v>
                </c:pt>
                <c:pt idx="805">
                  <c:v>-7.8754389394407642</c:v>
                </c:pt>
                <c:pt idx="806">
                  <c:v>-7.8880132763402653</c:v>
                </c:pt>
                <c:pt idx="807">
                  <c:v>-7.9005876369970016</c:v>
                </c:pt>
                <c:pt idx="808">
                  <c:v>-7.9131620214106011</c:v>
                </c:pt>
                <c:pt idx="809">
                  <c:v>-7.9257364295806916</c:v>
                </c:pt>
                <c:pt idx="810">
                  <c:v>-7.9383108615069</c:v>
                </c:pt>
                <c:pt idx="811">
                  <c:v>-7.9508853171888543</c:v>
                </c:pt>
                <c:pt idx="812">
                  <c:v>-7.9634597966261813</c:v>
                </c:pt>
                <c:pt idx="813">
                  <c:v>-7.976034299818509</c:v>
                </c:pt>
                <c:pt idx="814">
                  <c:v>-7.9886088267654651</c:v>
                </c:pt>
                <c:pt idx="815">
                  <c:v>-8.0011833774666776</c:v>
                </c:pt>
                <c:pt idx="816">
                  <c:v>-8.0137579519217734</c:v>
                </c:pt>
                <c:pt idx="817">
                  <c:v>-8.0263325501303804</c:v>
                </c:pt>
                <c:pt idx="818">
                  <c:v>-8.0389071720921255</c:v>
                </c:pt>
                <c:pt idx="819">
                  <c:v>-8.0514818178066356</c:v>
                </c:pt>
                <c:pt idx="820">
                  <c:v>-8.0640564872735396</c:v>
                </c:pt>
                <c:pt idx="821">
                  <c:v>-8.0766311804924644</c:v>
                </c:pt>
                <c:pt idx="822">
                  <c:v>-8.089205897463037</c:v>
                </c:pt>
                <c:pt idx="823">
                  <c:v>-8.101780638184886</c:v>
                </c:pt>
                <c:pt idx="824">
                  <c:v>-8.1143554026576385</c:v>
                </c:pt>
                <c:pt idx="825">
                  <c:v>-8.1269301908809233</c:v>
                </c:pt>
                <c:pt idx="826">
                  <c:v>-8.1395050028543672</c:v>
                </c:pt>
                <c:pt idx="827">
                  <c:v>-8.1520798385775972</c:v>
                </c:pt>
                <c:pt idx="828">
                  <c:v>-8.1646546980502404</c:v>
                </c:pt>
                <c:pt idx="829">
                  <c:v>-8.1772295812719253</c:v>
                </c:pt>
                <c:pt idx="830">
                  <c:v>-8.1898044882422791</c:v>
                </c:pt>
                <c:pt idx="831">
                  <c:v>-8.2023794189609305</c:v>
                </c:pt>
                <c:pt idx="832">
                  <c:v>-8.2149543734275046</c:v>
                </c:pt>
                <c:pt idx="833">
                  <c:v>-8.2275293516416319</c:v>
                </c:pt>
                <c:pt idx="834">
                  <c:v>-8.2401043536029377</c:v>
                </c:pt>
                <c:pt idx="835">
                  <c:v>-8.2526793793110507</c:v>
                </c:pt>
                <c:pt idx="836">
                  <c:v>-8.2652544287655978</c:v>
                </c:pt>
                <c:pt idx="837">
                  <c:v>-8.2778295019662078</c:v>
                </c:pt>
                <c:pt idx="838">
                  <c:v>-8.2904045989125077</c:v>
                </c:pt>
                <c:pt idx="839">
                  <c:v>-8.3029797196041244</c:v>
                </c:pt>
                <c:pt idx="840">
                  <c:v>-8.3155548640406867</c:v>
                </c:pt>
                <c:pt idx="841">
                  <c:v>-8.3281300322218215</c:v>
                </c:pt>
                <c:pt idx="842">
                  <c:v>-8.3407052241471558</c:v>
                </c:pt>
                <c:pt idx="843">
                  <c:v>-8.3532804398163183</c:v>
                </c:pt>
                <c:pt idx="844">
                  <c:v>-8.365855679228936</c:v>
                </c:pt>
                <c:pt idx="845">
                  <c:v>-8.3784309423846359</c:v>
                </c:pt>
                <c:pt idx="846">
                  <c:v>-8.3910062292830467</c:v>
                </c:pt>
                <c:pt idx="847">
                  <c:v>-8.4035815399237954</c:v>
                </c:pt>
                <c:pt idx="848">
                  <c:v>-8.4161568743065107</c:v>
                </c:pt>
                <c:pt idx="849">
                  <c:v>-8.4287322324308196</c:v>
                </c:pt>
                <c:pt idx="850">
                  <c:v>-8.441307614296349</c:v>
                </c:pt>
                <c:pt idx="851">
                  <c:v>-8.4538830199027277</c:v>
                </c:pt>
                <c:pt idx="852">
                  <c:v>-8.4664584492495827</c:v>
                </c:pt>
                <c:pt idx="853">
                  <c:v>-8.4790339023365409</c:v>
                </c:pt>
                <c:pt idx="854">
                  <c:v>-8.491609379163231</c:v>
                </c:pt>
                <c:pt idx="855">
                  <c:v>-8.5041848797292818</c:v>
                </c:pt>
                <c:pt idx="856">
                  <c:v>-8.5167604040343186</c:v>
                </c:pt>
                <c:pt idx="857">
                  <c:v>-8.5293359520779699</c:v>
                </c:pt>
                <c:pt idx="858">
                  <c:v>-8.5419115238598629</c:v>
                </c:pt>
                <c:pt idx="859">
                  <c:v>-8.5544871193796261</c:v>
                </c:pt>
                <c:pt idx="860">
                  <c:v>-8.5670627386368867</c:v>
                </c:pt>
                <c:pt idx="861">
                  <c:v>-8.5796383816312733</c:v>
                </c:pt>
                <c:pt idx="862">
                  <c:v>-8.592214048362413</c:v>
                </c:pt>
                <c:pt idx="863">
                  <c:v>-8.6047897388299326</c:v>
                </c:pt>
                <c:pt idx="864">
                  <c:v>-8.6173654530334609</c:v>
                </c:pt>
                <c:pt idx="865">
                  <c:v>-8.6299411909726249</c:v>
                </c:pt>
                <c:pt idx="866">
                  <c:v>-8.6425169526470533</c:v>
                </c:pt>
                <c:pt idx="867">
                  <c:v>-8.6550927380563731</c:v>
                </c:pt>
                <c:pt idx="868">
                  <c:v>-8.6676685472002113</c:v>
                </c:pt>
                <c:pt idx="869">
                  <c:v>-8.6802443800781965</c:v>
                </c:pt>
                <c:pt idx="870">
                  <c:v>-8.6928202366899558</c:v>
                </c:pt>
                <c:pt idx="871">
                  <c:v>-8.7053961170351162</c:v>
                </c:pt>
                <c:pt idx="872">
                  <c:v>-8.7179720211133063</c:v>
                </c:pt>
                <c:pt idx="873">
                  <c:v>-8.7305479489241549</c:v>
                </c:pt>
                <c:pt idx="874">
                  <c:v>-8.7431239004672872</c:v>
                </c:pt>
                <c:pt idx="875">
                  <c:v>-8.7556998757423337</c:v>
                </c:pt>
                <c:pt idx="876">
                  <c:v>-8.7682758747489196</c:v>
                </c:pt>
                <c:pt idx="877">
                  <c:v>-8.7808518974866736</c:v>
                </c:pt>
                <c:pt idx="878">
                  <c:v>-8.7934279439552245</c:v>
                </c:pt>
                <c:pt idx="879">
                  <c:v>-8.8060040141541993</c:v>
                </c:pt>
                <c:pt idx="880">
                  <c:v>-8.8185801080832249</c:v>
                </c:pt>
                <c:pt idx="881">
                  <c:v>-8.83115622574193</c:v>
                </c:pt>
                <c:pt idx="882">
                  <c:v>-8.8437323671299417</c:v>
                </c:pt>
                <c:pt idx="883">
                  <c:v>-8.8563085322468869</c:v>
                </c:pt>
                <c:pt idx="884">
                  <c:v>-8.8688847210923942</c:v>
                </c:pt>
                <c:pt idx="885">
                  <c:v>-8.8814609336660926</c:v>
                </c:pt>
                <c:pt idx="886">
                  <c:v>-8.8940371699676088</c:v>
                </c:pt>
                <c:pt idx="887">
                  <c:v>-8.90661342999657</c:v>
                </c:pt>
                <c:pt idx="888">
                  <c:v>-8.9191897137526048</c:v>
                </c:pt>
                <c:pt idx="889">
                  <c:v>-8.9317660212353402</c:v>
                </c:pt>
                <c:pt idx="890">
                  <c:v>-8.944342352444405</c:v>
                </c:pt>
                <c:pt idx="891">
                  <c:v>-8.9569187073794261</c:v>
                </c:pt>
                <c:pt idx="892">
                  <c:v>-8.9694950860400304</c:v>
                </c:pt>
                <c:pt idx="893">
                  <c:v>-8.9820714884258468</c:v>
                </c:pt>
                <c:pt idx="894">
                  <c:v>-8.9946479145365021</c:v>
                </c:pt>
                <c:pt idx="895">
                  <c:v>-9.0072243643716252</c:v>
                </c:pt>
                <c:pt idx="896">
                  <c:v>-9.0198008379308448</c:v>
                </c:pt>
                <c:pt idx="897">
                  <c:v>-9.0323773352137859</c:v>
                </c:pt>
                <c:pt idx="898">
                  <c:v>-9.0449538562200793</c:v>
                </c:pt>
                <c:pt idx="899">
                  <c:v>-9.05753040094935</c:v>
                </c:pt>
                <c:pt idx="900">
                  <c:v>-9.0701069694012268</c:v>
                </c:pt>
                <c:pt idx="901">
                  <c:v>-9.0826835615753385</c:v>
                </c:pt>
                <c:pt idx="902">
                  <c:v>-9.095260177471312</c:v>
                </c:pt>
                <c:pt idx="903">
                  <c:v>-9.1078368170887742</c:v>
                </c:pt>
                <c:pt idx="904">
                  <c:v>-9.120413480427354</c:v>
                </c:pt>
                <c:pt idx="905">
                  <c:v>-9.13299016748668</c:v>
                </c:pt>
                <c:pt idx="906">
                  <c:v>-9.1455668782663775</c:v>
                </c:pt>
                <c:pt idx="907">
                  <c:v>-9.1581436127660769</c:v>
                </c:pt>
                <c:pt idx="908">
                  <c:v>-9.1707203709854053</c:v>
                </c:pt>
                <c:pt idx="909">
                  <c:v>-9.1832971529239895</c:v>
                </c:pt>
                <c:pt idx="910">
                  <c:v>-9.1958739585814584</c:v>
                </c:pt>
                <c:pt idx="911">
                  <c:v>-9.2084507879574389</c:v>
                </c:pt>
                <c:pt idx="912">
                  <c:v>-9.2210276410515579</c:v>
                </c:pt>
                <c:pt idx="913">
                  <c:v>-9.233604517863446</c:v>
                </c:pt>
                <c:pt idx="914">
                  <c:v>-9.2461814183927284</c:v>
                </c:pt>
                <c:pt idx="915">
                  <c:v>-9.2587583426390339</c:v>
                </c:pt>
                <c:pt idx="916">
                  <c:v>-9.271335290601991</c:v>
                </c:pt>
                <c:pt idx="917">
                  <c:v>-9.2839122622812269</c:v>
                </c:pt>
                <c:pt idx="918">
                  <c:v>-9.2964892576763702</c:v>
                </c:pt>
                <c:pt idx="919">
                  <c:v>-9.309066276787048</c:v>
                </c:pt>
                <c:pt idx="920">
                  <c:v>-9.3216433196128872</c:v>
                </c:pt>
                <c:pt idx="921">
                  <c:v>-9.3342203861535165</c:v>
                </c:pt>
                <c:pt idx="922">
                  <c:v>-9.3467974764085646</c:v>
                </c:pt>
                <c:pt idx="923">
                  <c:v>-9.3593745903776586</c:v>
                </c:pt>
                <c:pt idx="924">
                  <c:v>-9.3719517280604254</c:v>
                </c:pt>
                <c:pt idx="925">
                  <c:v>-9.3845288894564938</c:v>
                </c:pt>
                <c:pt idx="926">
                  <c:v>-9.3971060745654924</c:v>
                </c:pt>
                <c:pt idx="927">
                  <c:v>-9.4096832833870483</c:v>
                </c:pt>
                <c:pt idx="928">
                  <c:v>-9.4222605159207884</c:v>
                </c:pt>
                <c:pt idx="929">
                  <c:v>-9.4348377721663415</c:v>
                </c:pt>
                <c:pt idx="930">
                  <c:v>-9.4474150521233362</c:v>
                </c:pt>
                <c:pt idx="931">
                  <c:v>-9.4599923557913996</c:v>
                </c:pt>
                <c:pt idx="932">
                  <c:v>-9.4725696831701587</c:v>
                </c:pt>
                <c:pt idx="933">
                  <c:v>-9.4851470342592421</c:v>
                </c:pt>
                <c:pt idx="934">
                  <c:v>-9.4977244090582786</c:v>
                </c:pt>
                <c:pt idx="935">
                  <c:v>-9.5103018075668952</c:v>
                </c:pt>
                <c:pt idx="936">
                  <c:v>-9.5228792297847189</c:v>
                </c:pt>
                <c:pt idx="937">
                  <c:v>-9.5354566757113783</c:v>
                </c:pt>
                <c:pt idx="938">
                  <c:v>-9.5480341453465023</c:v>
                </c:pt>
                <c:pt idx="939">
                  <c:v>-9.5606116386897178</c:v>
                </c:pt>
                <c:pt idx="940">
                  <c:v>-9.5731891557406534</c:v>
                </c:pt>
                <c:pt idx="941">
                  <c:v>-9.5857666964989363</c:v>
                </c:pt>
                <c:pt idx="942">
                  <c:v>-9.5983442609641934</c:v>
                </c:pt>
                <c:pt idx="943">
                  <c:v>-9.6109218491360551</c:v>
                </c:pt>
                <c:pt idx="944">
                  <c:v>-9.6234994610141467</c:v>
                </c:pt>
                <c:pt idx="945">
                  <c:v>-9.6360770965980986</c:v>
                </c:pt>
                <c:pt idx="946">
                  <c:v>-9.6486547558875362</c:v>
                </c:pt>
                <c:pt idx="947">
                  <c:v>-9.6612324388820898</c:v>
                </c:pt>
                <c:pt idx="948">
                  <c:v>-9.6738101455813847</c:v>
                </c:pt>
                <c:pt idx="949">
                  <c:v>-9.6863878759850515</c:v>
                </c:pt>
                <c:pt idx="950">
                  <c:v>-9.6989656300927169</c:v>
                </c:pt>
                <c:pt idx="951">
                  <c:v>-9.7115434079040082</c:v>
                </c:pt>
                <c:pt idx="952">
                  <c:v>-9.7241212094185538</c:v>
                </c:pt>
                <c:pt idx="953">
                  <c:v>-9.7366990346359827</c:v>
                </c:pt>
                <c:pt idx="954">
                  <c:v>-9.7492768835559218</c:v>
                </c:pt>
                <c:pt idx="955">
                  <c:v>-9.761854756177998</c:v>
                </c:pt>
                <c:pt idx="956">
                  <c:v>-9.7744326525018401</c:v>
                </c:pt>
                <c:pt idx="957">
                  <c:v>-9.7870105725270768</c:v>
                </c:pt>
                <c:pt idx="958">
                  <c:v>-9.7995885162533352</c:v>
                </c:pt>
                <c:pt idx="959">
                  <c:v>-9.8121664836802438</c:v>
                </c:pt>
                <c:pt idx="960">
                  <c:v>-9.8247444748074297</c:v>
                </c:pt>
                <c:pt idx="961">
                  <c:v>-9.8373224896345217</c:v>
                </c:pt>
                <c:pt idx="962">
                  <c:v>-9.8499005281611485</c:v>
                </c:pt>
                <c:pt idx="963">
                  <c:v>-9.862478590386937</c:v>
                </c:pt>
                <c:pt idx="964">
                  <c:v>-9.8750566763115142</c:v>
                </c:pt>
                <c:pt idx="965">
                  <c:v>-9.8876347859345088</c:v>
                </c:pt>
                <c:pt idx="966">
                  <c:v>-9.9002129192555497</c:v>
                </c:pt>
                <c:pt idx="967">
                  <c:v>-9.9127910762742637</c:v>
                </c:pt>
                <c:pt idx="968">
                  <c:v>-9.9253692569902796</c:v>
                </c:pt>
                <c:pt idx="969">
                  <c:v>-9.9379474614032262</c:v>
                </c:pt>
                <c:pt idx="970">
                  <c:v>-9.9505256895127285</c:v>
                </c:pt>
                <c:pt idx="971">
                  <c:v>-9.9631039413184173</c:v>
                </c:pt>
                <c:pt idx="972">
                  <c:v>-9.9756822168199193</c:v>
                </c:pt>
                <c:pt idx="973">
                  <c:v>-9.9882605160168634</c:v>
                </c:pt>
                <c:pt idx="974">
                  <c:v>-10.000838838908876</c:v>
                </c:pt>
                <c:pt idx="975">
                  <c:v>-10.013417185495587</c:v>
                </c:pt>
                <c:pt idx="976">
                  <c:v>-10.025995555776623</c:v>
                </c:pt>
                <c:pt idx="977">
                  <c:v>-10.038573949751612</c:v>
                </c:pt>
                <c:pt idx="978">
                  <c:v>-10.051152367420183</c:v>
                </c:pt>
                <c:pt idx="979">
                  <c:v>-10.063730808781964</c:v>
                </c:pt>
                <c:pt idx="980">
                  <c:v>-10.07630927383658</c:v>
                </c:pt>
                <c:pt idx="981">
                  <c:v>-10.088887762583663</c:v>
                </c:pt>
                <c:pt idx="982">
                  <c:v>-10.10146627502284</c:v>
                </c:pt>
                <c:pt idx="983">
                  <c:v>-10.114044811153738</c:v>
                </c:pt>
                <c:pt idx="984">
                  <c:v>-10.126623370975985</c:v>
                </c:pt>
                <c:pt idx="985">
                  <c:v>-10.139201954489209</c:v>
                </c:pt>
                <c:pt idx="986">
                  <c:v>-10.151780561693039</c:v>
                </c:pt>
                <c:pt idx="987">
                  <c:v>-10.164359192587103</c:v>
                </c:pt>
                <c:pt idx="988">
                  <c:v>-10.176937847171027</c:v>
                </c:pt>
                <c:pt idx="989">
                  <c:v>-10.189516525444441</c:v>
                </c:pt>
                <c:pt idx="990">
                  <c:v>-10.202095227406973</c:v>
                </c:pt>
                <c:pt idx="991">
                  <c:v>-10.21467395305825</c:v>
                </c:pt>
                <c:pt idx="992">
                  <c:v>-10.227252702397902</c:v>
                </c:pt>
                <c:pt idx="993">
                  <c:v>-10.239831475425554</c:v>
                </c:pt>
                <c:pt idx="994">
                  <c:v>-10.252410272140837</c:v>
                </c:pt>
                <c:pt idx="995">
                  <c:v>-10.264989092543377</c:v>
                </c:pt>
                <c:pt idx="996">
                  <c:v>-10.277567936632803</c:v>
                </c:pt>
                <c:pt idx="997">
                  <c:v>-10.290146804408742</c:v>
                </c:pt>
                <c:pt idx="998">
                  <c:v>-10.302725695870825</c:v>
                </c:pt>
                <c:pt idx="999">
                  <c:v>-10.315304611018677</c:v>
                </c:pt>
                <c:pt idx="1000">
                  <c:v>-10.327883549851927</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15.6</c:v>
                </c:pt>
                <c:pt idx="1">
                  <c:v>63.633793290912585</c:v>
                </c:pt>
                <c:pt idx="2">
                  <c:v>111.66758658182518</c:v>
                </c:pt>
                <c:pt idx="3">
                  <c:v>110.37771380503757</c:v>
                </c:pt>
                <c:pt idx="4">
                  <c:v>111.66758658182518</c:v>
                </c:pt>
                <c:pt idx="5">
                  <c:v>106.79771380503756</c:v>
                </c:pt>
                <c:pt idx="6">
                  <c:v>111.66758658182518</c:v>
                </c:pt>
              </c:numCache>
            </c:numRef>
          </c:xVal>
          <c:yVal>
            <c:numRef>
              <c:f>Trajecto!$C$132:$C$138</c:f>
              <c:numCache>
                <c:formatCode>0</c:formatCode>
                <c:ptCount val="7"/>
                <c:pt idx="0">
                  <c:v>1419.4495331258038</c:v>
                </c:pt>
                <c:pt idx="1">
                  <c:v>709.72476656290189</c:v>
                </c:pt>
                <c:pt idx="2">
                  <c:v>0</c:v>
                </c:pt>
                <c:pt idx="3">
                  <c:v>65.450126521603067</c:v>
                </c:pt>
                <c:pt idx="4">
                  <c:v>0</c:v>
                </c:pt>
                <c:pt idx="5">
                  <c:v>26.078921955831735</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3.2</c:v>
                </c:pt>
                <c:pt idx="1">
                  <c:v>17.016490878034723</c:v>
                </c:pt>
                <c:pt idx="2">
                  <c:v>30.832981756069447</c:v>
                </c:pt>
                <c:pt idx="3">
                  <c:v>29.684733593606232</c:v>
                </c:pt>
                <c:pt idx="4">
                  <c:v>30.832981756069447</c:v>
                </c:pt>
                <c:pt idx="5">
                  <c:v>25.461229918532624</c:v>
                </c:pt>
                <c:pt idx="6">
                  <c:v>30.832981756069447</c:v>
                </c:pt>
              </c:numCache>
            </c:numRef>
          </c:xVal>
          <c:yVal>
            <c:numRef>
              <c:f>Trajecto!$C$149:$C$155</c:f>
              <c:numCache>
                <c:formatCode>0</c:formatCode>
                <c:ptCount val="7"/>
                <c:pt idx="0">
                  <c:v>349.71093107573398</c:v>
                </c:pt>
                <c:pt idx="1">
                  <c:v>174.85546553786699</c:v>
                </c:pt>
                <c:pt idx="2">
                  <c:v>0</c:v>
                </c:pt>
                <c:pt idx="3">
                  <c:v>271.00257950257958</c:v>
                </c:pt>
                <c:pt idx="4">
                  <c:v>0</c:v>
                </c:pt>
                <c:pt idx="5">
                  <c:v>120.07273334214247</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35.800100000000199</c:v>
                </c:pt>
                <c:pt idx="720">
                  <c:v>35.800200000000203</c:v>
                </c:pt>
                <c:pt idx="721">
                  <c:v>35.800300000000206</c:v>
                </c:pt>
                <c:pt idx="722">
                  <c:v>35.800400000000209</c:v>
                </c:pt>
                <c:pt idx="723">
                  <c:v>35.800500000000213</c:v>
                </c:pt>
                <c:pt idx="724">
                  <c:v>35.800600000000216</c:v>
                </c:pt>
                <c:pt idx="725">
                  <c:v>35.800700000000219</c:v>
                </c:pt>
                <c:pt idx="726">
                  <c:v>35.800800000000223</c:v>
                </c:pt>
                <c:pt idx="727">
                  <c:v>35.800900000000226</c:v>
                </c:pt>
                <c:pt idx="728">
                  <c:v>35.801000000000229</c:v>
                </c:pt>
                <c:pt idx="729">
                  <c:v>35.801100000000233</c:v>
                </c:pt>
                <c:pt idx="730">
                  <c:v>35.801200000000236</c:v>
                </c:pt>
                <c:pt idx="731">
                  <c:v>35.801300000000239</c:v>
                </c:pt>
                <c:pt idx="732">
                  <c:v>35.801400000000243</c:v>
                </c:pt>
                <c:pt idx="733">
                  <c:v>35.801500000000246</c:v>
                </c:pt>
                <c:pt idx="734">
                  <c:v>35.801600000000249</c:v>
                </c:pt>
                <c:pt idx="735">
                  <c:v>35.801700000000253</c:v>
                </c:pt>
                <c:pt idx="736">
                  <c:v>35.801800000000256</c:v>
                </c:pt>
                <c:pt idx="737">
                  <c:v>35.801900000000259</c:v>
                </c:pt>
                <c:pt idx="738">
                  <c:v>35.802000000000263</c:v>
                </c:pt>
                <c:pt idx="739">
                  <c:v>35.802100000000266</c:v>
                </c:pt>
                <c:pt idx="740">
                  <c:v>35.802200000000269</c:v>
                </c:pt>
                <c:pt idx="741">
                  <c:v>35.802300000000272</c:v>
                </c:pt>
                <c:pt idx="742">
                  <c:v>35.802400000000276</c:v>
                </c:pt>
                <c:pt idx="743">
                  <c:v>35.802500000000279</c:v>
                </c:pt>
                <c:pt idx="744">
                  <c:v>35.802600000000282</c:v>
                </c:pt>
                <c:pt idx="745">
                  <c:v>35.802700000000286</c:v>
                </c:pt>
                <c:pt idx="746">
                  <c:v>35.802800000000289</c:v>
                </c:pt>
                <c:pt idx="747">
                  <c:v>35.802900000000292</c:v>
                </c:pt>
                <c:pt idx="748">
                  <c:v>35.803000000000296</c:v>
                </c:pt>
                <c:pt idx="749">
                  <c:v>35.803100000000299</c:v>
                </c:pt>
                <c:pt idx="750">
                  <c:v>35.803200000000302</c:v>
                </c:pt>
                <c:pt idx="751">
                  <c:v>35.803300000000306</c:v>
                </c:pt>
                <c:pt idx="752">
                  <c:v>35.803400000000309</c:v>
                </c:pt>
                <c:pt idx="753">
                  <c:v>35.803500000000312</c:v>
                </c:pt>
                <c:pt idx="754">
                  <c:v>35.803600000000316</c:v>
                </c:pt>
                <c:pt idx="755">
                  <c:v>35.803700000000319</c:v>
                </c:pt>
                <c:pt idx="756">
                  <c:v>35.803800000000322</c:v>
                </c:pt>
                <c:pt idx="757">
                  <c:v>35.803900000000326</c:v>
                </c:pt>
                <c:pt idx="758">
                  <c:v>35.804000000000329</c:v>
                </c:pt>
                <c:pt idx="759">
                  <c:v>35.804100000000332</c:v>
                </c:pt>
                <c:pt idx="760">
                  <c:v>35.804200000000336</c:v>
                </c:pt>
                <c:pt idx="761">
                  <c:v>35.804300000000339</c:v>
                </c:pt>
                <c:pt idx="762">
                  <c:v>35.804400000000342</c:v>
                </c:pt>
                <c:pt idx="763">
                  <c:v>35.804500000000345</c:v>
                </c:pt>
                <c:pt idx="764">
                  <c:v>35.804600000000349</c:v>
                </c:pt>
                <c:pt idx="765">
                  <c:v>35.804700000000352</c:v>
                </c:pt>
                <c:pt idx="766">
                  <c:v>35.804800000000355</c:v>
                </c:pt>
                <c:pt idx="767">
                  <c:v>35.804900000000359</c:v>
                </c:pt>
                <c:pt idx="768">
                  <c:v>35.805000000000362</c:v>
                </c:pt>
                <c:pt idx="769">
                  <c:v>35.805100000000365</c:v>
                </c:pt>
                <c:pt idx="770">
                  <c:v>35.805200000000369</c:v>
                </c:pt>
                <c:pt idx="771">
                  <c:v>35.805300000000372</c:v>
                </c:pt>
                <c:pt idx="772">
                  <c:v>35.805400000000375</c:v>
                </c:pt>
                <c:pt idx="773">
                  <c:v>35.805500000000379</c:v>
                </c:pt>
                <c:pt idx="774">
                  <c:v>35.805600000000382</c:v>
                </c:pt>
                <c:pt idx="775">
                  <c:v>35.805700000000385</c:v>
                </c:pt>
                <c:pt idx="776">
                  <c:v>35.805800000000389</c:v>
                </c:pt>
                <c:pt idx="777">
                  <c:v>35.805900000000392</c:v>
                </c:pt>
                <c:pt idx="778">
                  <c:v>35.806000000000395</c:v>
                </c:pt>
                <c:pt idx="779">
                  <c:v>35.806100000000399</c:v>
                </c:pt>
                <c:pt idx="780">
                  <c:v>35.806200000000402</c:v>
                </c:pt>
                <c:pt idx="781">
                  <c:v>35.806300000000405</c:v>
                </c:pt>
                <c:pt idx="782">
                  <c:v>35.806400000000409</c:v>
                </c:pt>
                <c:pt idx="783">
                  <c:v>35.806500000000412</c:v>
                </c:pt>
                <c:pt idx="784">
                  <c:v>35.806600000000415</c:v>
                </c:pt>
                <c:pt idx="785">
                  <c:v>35.806700000000419</c:v>
                </c:pt>
                <c:pt idx="786">
                  <c:v>35.806800000000422</c:v>
                </c:pt>
                <c:pt idx="787">
                  <c:v>35.806900000000425</c:v>
                </c:pt>
                <c:pt idx="788">
                  <c:v>35.807000000000428</c:v>
                </c:pt>
                <c:pt idx="789">
                  <c:v>35.807100000000432</c:v>
                </c:pt>
                <c:pt idx="790">
                  <c:v>35.807200000000435</c:v>
                </c:pt>
                <c:pt idx="791">
                  <c:v>35.807300000000438</c:v>
                </c:pt>
                <c:pt idx="792">
                  <c:v>35.807400000000442</c:v>
                </c:pt>
                <c:pt idx="793">
                  <c:v>35.807500000000445</c:v>
                </c:pt>
                <c:pt idx="794">
                  <c:v>35.807600000000448</c:v>
                </c:pt>
                <c:pt idx="795">
                  <c:v>35.807700000000452</c:v>
                </c:pt>
                <c:pt idx="796">
                  <c:v>35.807800000000455</c:v>
                </c:pt>
                <c:pt idx="797">
                  <c:v>35.807900000000458</c:v>
                </c:pt>
                <c:pt idx="798">
                  <c:v>35.808000000000462</c:v>
                </c:pt>
                <c:pt idx="799">
                  <c:v>35.808100000000465</c:v>
                </c:pt>
                <c:pt idx="800">
                  <c:v>35.808200000000468</c:v>
                </c:pt>
                <c:pt idx="801">
                  <c:v>35.808300000000472</c:v>
                </c:pt>
                <c:pt idx="802">
                  <c:v>35.808400000000475</c:v>
                </c:pt>
                <c:pt idx="803">
                  <c:v>35.808500000000478</c:v>
                </c:pt>
                <c:pt idx="804">
                  <c:v>35.808600000000482</c:v>
                </c:pt>
                <c:pt idx="805">
                  <c:v>35.808700000000485</c:v>
                </c:pt>
                <c:pt idx="806">
                  <c:v>35.808800000000488</c:v>
                </c:pt>
                <c:pt idx="807">
                  <c:v>35.808900000000492</c:v>
                </c:pt>
                <c:pt idx="808">
                  <c:v>35.809000000000495</c:v>
                </c:pt>
                <c:pt idx="809">
                  <c:v>35.809100000000498</c:v>
                </c:pt>
                <c:pt idx="810">
                  <c:v>35.809200000000502</c:v>
                </c:pt>
                <c:pt idx="811">
                  <c:v>35.809300000000505</c:v>
                </c:pt>
                <c:pt idx="812">
                  <c:v>35.809400000000508</c:v>
                </c:pt>
                <c:pt idx="813">
                  <c:v>35.809500000000511</c:v>
                </c:pt>
                <c:pt idx="814">
                  <c:v>35.809600000000515</c:v>
                </c:pt>
                <c:pt idx="815">
                  <c:v>35.809700000000518</c:v>
                </c:pt>
                <c:pt idx="816">
                  <c:v>35.809800000000521</c:v>
                </c:pt>
                <c:pt idx="817">
                  <c:v>35.809900000000525</c:v>
                </c:pt>
                <c:pt idx="818">
                  <c:v>35.810000000000528</c:v>
                </c:pt>
                <c:pt idx="819">
                  <c:v>35.810100000000531</c:v>
                </c:pt>
                <c:pt idx="820">
                  <c:v>35.810200000000535</c:v>
                </c:pt>
                <c:pt idx="821">
                  <c:v>35.810300000000538</c:v>
                </c:pt>
                <c:pt idx="822">
                  <c:v>35.810400000000541</c:v>
                </c:pt>
                <c:pt idx="823">
                  <c:v>35.810500000000545</c:v>
                </c:pt>
                <c:pt idx="824">
                  <c:v>35.810600000000548</c:v>
                </c:pt>
                <c:pt idx="825">
                  <c:v>35.810700000000551</c:v>
                </c:pt>
                <c:pt idx="826">
                  <c:v>35.810800000000555</c:v>
                </c:pt>
                <c:pt idx="827">
                  <c:v>35.810900000000558</c:v>
                </c:pt>
                <c:pt idx="828">
                  <c:v>35.811000000000561</c:v>
                </c:pt>
                <c:pt idx="829">
                  <c:v>35.811100000000565</c:v>
                </c:pt>
                <c:pt idx="830">
                  <c:v>35.811200000000568</c:v>
                </c:pt>
                <c:pt idx="831">
                  <c:v>35.811300000000571</c:v>
                </c:pt>
                <c:pt idx="832">
                  <c:v>35.811400000000575</c:v>
                </c:pt>
                <c:pt idx="833">
                  <c:v>35.811500000000578</c:v>
                </c:pt>
                <c:pt idx="834">
                  <c:v>35.811600000000581</c:v>
                </c:pt>
                <c:pt idx="835">
                  <c:v>35.811700000000585</c:v>
                </c:pt>
                <c:pt idx="836">
                  <c:v>35.811800000000588</c:v>
                </c:pt>
                <c:pt idx="837">
                  <c:v>35.811900000000591</c:v>
                </c:pt>
                <c:pt idx="838">
                  <c:v>35.812000000000594</c:v>
                </c:pt>
                <c:pt idx="839">
                  <c:v>35.812100000000598</c:v>
                </c:pt>
                <c:pt idx="840">
                  <c:v>35.812200000000601</c:v>
                </c:pt>
                <c:pt idx="841">
                  <c:v>35.812300000000604</c:v>
                </c:pt>
                <c:pt idx="842">
                  <c:v>35.812400000000608</c:v>
                </c:pt>
                <c:pt idx="843">
                  <c:v>35.812500000000611</c:v>
                </c:pt>
                <c:pt idx="844">
                  <c:v>35.812600000000614</c:v>
                </c:pt>
                <c:pt idx="845">
                  <c:v>35.812700000000618</c:v>
                </c:pt>
                <c:pt idx="846">
                  <c:v>35.812800000000621</c:v>
                </c:pt>
                <c:pt idx="847">
                  <c:v>35.812900000000624</c:v>
                </c:pt>
                <c:pt idx="848">
                  <c:v>35.813000000000628</c:v>
                </c:pt>
                <c:pt idx="849">
                  <c:v>35.813100000000631</c:v>
                </c:pt>
                <c:pt idx="850">
                  <c:v>35.813200000000634</c:v>
                </c:pt>
                <c:pt idx="851">
                  <c:v>35.813300000000638</c:v>
                </c:pt>
                <c:pt idx="852">
                  <c:v>35.813400000000641</c:v>
                </c:pt>
                <c:pt idx="853">
                  <c:v>35.813500000000644</c:v>
                </c:pt>
                <c:pt idx="854">
                  <c:v>35.813600000000648</c:v>
                </c:pt>
                <c:pt idx="855">
                  <c:v>35.813700000000651</c:v>
                </c:pt>
                <c:pt idx="856">
                  <c:v>35.813800000000654</c:v>
                </c:pt>
                <c:pt idx="857">
                  <c:v>35.813900000000658</c:v>
                </c:pt>
                <c:pt idx="858">
                  <c:v>35.814000000000661</c:v>
                </c:pt>
                <c:pt idx="859">
                  <c:v>35.814100000000664</c:v>
                </c:pt>
                <c:pt idx="860">
                  <c:v>35.814200000000668</c:v>
                </c:pt>
                <c:pt idx="861">
                  <c:v>35.814300000000671</c:v>
                </c:pt>
                <c:pt idx="862">
                  <c:v>35.814400000000674</c:v>
                </c:pt>
                <c:pt idx="863">
                  <c:v>35.814500000000677</c:v>
                </c:pt>
                <c:pt idx="864">
                  <c:v>35.814600000000681</c:v>
                </c:pt>
                <c:pt idx="865">
                  <c:v>35.814700000000684</c:v>
                </c:pt>
                <c:pt idx="866">
                  <c:v>35.814800000000687</c:v>
                </c:pt>
                <c:pt idx="867">
                  <c:v>35.814900000000691</c:v>
                </c:pt>
                <c:pt idx="868">
                  <c:v>35.815000000000694</c:v>
                </c:pt>
                <c:pt idx="869">
                  <c:v>35.815100000000697</c:v>
                </c:pt>
                <c:pt idx="870">
                  <c:v>35.815200000000701</c:v>
                </c:pt>
                <c:pt idx="871">
                  <c:v>35.815300000000704</c:v>
                </c:pt>
                <c:pt idx="872">
                  <c:v>35.815400000000707</c:v>
                </c:pt>
                <c:pt idx="873">
                  <c:v>35.815500000000711</c:v>
                </c:pt>
                <c:pt idx="874">
                  <c:v>35.815600000000714</c:v>
                </c:pt>
                <c:pt idx="875">
                  <c:v>35.815700000000717</c:v>
                </c:pt>
                <c:pt idx="876">
                  <c:v>35.815800000000721</c:v>
                </c:pt>
                <c:pt idx="877">
                  <c:v>35.815900000000724</c:v>
                </c:pt>
                <c:pt idx="878">
                  <c:v>35.816000000000727</c:v>
                </c:pt>
                <c:pt idx="879">
                  <c:v>35.816100000000731</c:v>
                </c:pt>
                <c:pt idx="880">
                  <c:v>35.816200000000734</c:v>
                </c:pt>
                <c:pt idx="881">
                  <c:v>35.816300000000737</c:v>
                </c:pt>
                <c:pt idx="882">
                  <c:v>35.816400000000741</c:v>
                </c:pt>
                <c:pt idx="883">
                  <c:v>35.816500000000744</c:v>
                </c:pt>
                <c:pt idx="884">
                  <c:v>35.816600000000747</c:v>
                </c:pt>
                <c:pt idx="885">
                  <c:v>35.81670000000075</c:v>
                </c:pt>
                <c:pt idx="886">
                  <c:v>35.816800000000754</c:v>
                </c:pt>
                <c:pt idx="887">
                  <c:v>35.816900000000757</c:v>
                </c:pt>
                <c:pt idx="888">
                  <c:v>35.81700000000076</c:v>
                </c:pt>
                <c:pt idx="889">
                  <c:v>35.817100000000764</c:v>
                </c:pt>
                <c:pt idx="890">
                  <c:v>35.817200000000767</c:v>
                </c:pt>
                <c:pt idx="891">
                  <c:v>35.81730000000077</c:v>
                </c:pt>
                <c:pt idx="892">
                  <c:v>35.817400000000774</c:v>
                </c:pt>
                <c:pt idx="893">
                  <c:v>35.817500000000777</c:v>
                </c:pt>
                <c:pt idx="894">
                  <c:v>35.81760000000078</c:v>
                </c:pt>
                <c:pt idx="895">
                  <c:v>35.817700000000784</c:v>
                </c:pt>
                <c:pt idx="896">
                  <c:v>35.817800000000787</c:v>
                </c:pt>
                <c:pt idx="897">
                  <c:v>35.81790000000079</c:v>
                </c:pt>
                <c:pt idx="898">
                  <c:v>35.818000000000794</c:v>
                </c:pt>
                <c:pt idx="899">
                  <c:v>35.818100000000797</c:v>
                </c:pt>
                <c:pt idx="900">
                  <c:v>35.8182000000008</c:v>
                </c:pt>
                <c:pt idx="901">
                  <c:v>35.818300000000804</c:v>
                </c:pt>
                <c:pt idx="902">
                  <c:v>35.818400000000807</c:v>
                </c:pt>
                <c:pt idx="903">
                  <c:v>35.81850000000081</c:v>
                </c:pt>
                <c:pt idx="904">
                  <c:v>35.818600000000814</c:v>
                </c:pt>
                <c:pt idx="905">
                  <c:v>35.818700000000817</c:v>
                </c:pt>
                <c:pt idx="906">
                  <c:v>35.81880000000082</c:v>
                </c:pt>
                <c:pt idx="907">
                  <c:v>35.818900000000824</c:v>
                </c:pt>
                <c:pt idx="908">
                  <c:v>35.819000000000827</c:v>
                </c:pt>
                <c:pt idx="909">
                  <c:v>35.81910000000083</c:v>
                </c:pt>
                <c:pt idx="910">
                  <c:v>35.819200000000833</c:v>
                </c:pt>
                <c:pt idx="911">
                  <c:v>35.819300000000837</c:v>
                </c:pt>
                <c:pt idx="912">
                  <c:v>35.81940000000084</c:v>
                </c:pt>
                <c:pt idx="913">
                  <c:v>35.819500000000843</c:v>
                </c:pt>
                <c:pt idx="914">
                  <c:v>35.819600000000847</c:v>
                </c:pt>
                <c:pt idx="915">
                  <c:v>35.81970000000085</c:v>
                </c:pt>
                <c:pt idx="916">
                  <c:v>35.819800000000853</c:v>
                </c:pt>
                <c:pt idx="917">
                  <c:v>35.819900000000857</c:v>
                </c:pt>
                <c:pt idx="918">
                  <c:v>35.82000000000086</c:v>
                </c:pt>
                <c:pt idx="919">
                  <c:v>35.820100000000863</c:v>
                </c:pt>
                <c:pt idx="920">
                  <c:v>35.820200000000867</c:v>
                </c:pt>
                <c:pt idx="921">
                  <c:v>35.82030000000087</c:v>
                </c:pt>
                <c:pt idx="922">
                  <c:v>35.820400000000873</c:v>
                </c:pt>
                <c:pt idx="923">
                  <c:v>35.820500000000877</c:v>
                </c:pt>
                <c:pt idx="924">
                  <c:v>35.82060000000088</c:v>
                </c:pt>
                <c:pt idx="925">
                  <c:v>35.820700000000883</c:v>
                </c:pt>
                <c:pt idx="926">
                  <c:v>35.820800000000887</c:v>
                </c:pt>
                <c:pt idx="927">
                  <c:v>35.82090000000089</c:v>
                </c:pt>
                <c:pt idx="928">
                  <c:v>35.821000000000893</c:v>
                </c:pt>
                <c:pt idx="929">
                  <c:v>35.821100000000897</c:v>
                </c:pt>
                <c:pt idx="930">
                  <c:v>35.8212000000009</c:v>
                </c:pt>
                <c:pt idx="931">
                  <c:v>35.821300000000903</c:v>
                </c:pt>
                <c:pt idx="932">
                  <c:v>35.821400000000907</c:v>
                </c:pt>
                <c:pt idx="933">
                  <c:v>35.82150000000091</c:v>
                </c:pt>
                <c:pt idx="934">
                  <c:v>35.821600000000913</c:v>
                </c:pt>
                <c:pt idx="935">
                  <c:v>35.821700000000916</c:v>
                </c:pt>
                <c:pt idx="936">
                  <c:v>35.82180000000092</c:v>
                </c:pt>
                <c:pt idx="937">
                  <c:v>35.821900000000923</c:v>
                </c:pt>
                <c:pt idx="938">
                  <c:v>35.822000000000926</c:v>
                </c:pt>
                <c:pt idx="939">
                  <c:v>35.82210000000093</c:v>
                </c:pt>
                <c:pt idx="940">
                  <c:v>35.822200000000933</c:v>
                </c:pt>
                <c:pt idx="941">
                  <c:v>35.822300000000936</c:v>
                </c:pt>
                <c:pt idx="942">
                  <c:v>35.82240000000094</c:v>
                </c:pt>
                <c:pt idx="943">
                  <c:v>35.822500000000943</c:v>
                </c:pt>
                <c:pt idx="944">
                  <c:v>35.822600000000946</c:v>
                </c:pt>
                <c:pt idx="945">
                  <c:v>35.82270000000095</c:v>
                </c:pt>
                <c:pt idx="946">
                  <c:v>35.822800000000953</c:v>
                </c:pt>
                <c:pt idx="947">
                  <c:v>35.822900000000956</c:v>
                </c:pt>
                <c:pt idx="948">
                  <c:v>35.82300000000096</c:v>
                </c:pt>
                <c:pt idx="949">
                  <c:v>35.823100000000963</c:v>
                </c:pt>
                <c:pt idx="950">
                  <c:v>35.823200000000966</c:v>
                </c:pt>
                <c:pt idx="951">
                  <c:v>35.82330000000097</c:v>
                </c:pt>
                <c:pt idx="952">
                  <c:v>35.823400000000973</c:v>
                </c:pt>
                <c:pt idx="953">
                  <c:v>35.823500000000976</c:v>
                </c:pt>
                <c:pt idx="954">
                  <c:v>35.82360000000098</c:v>
                </c:pt>
                <c:pt idx="955">
                  <c:v>35.823700000000983</c:v>
                </c:pt>
                <c:pt idx="956">
                  <c:v>35.823800000000986</c:v>
                </c:pt>
                <c:pt idx="957">
                  <c:v>35.82390000000099</c:v>
                </c:pt>
                <c:pt idx="958">
                  <c:v>35.824000000000993</c:v>
                </c:pt>
                <c:pt idx="959">
                  <c:v>35.824100000000996</c:v>
                </c:pt>
                <c:pt idx="960">
                  <c:v>35.824200000000999</c:v>
                </c:pt>
                <c:pt idx="961">
                  <c:v>35.824300000001003</c:v>
                </c:pt>
                <c:pt idx="962">
                  <c:v>35.824400000001006</c:v>
                </c:pt>
                <c:pt idx="963">
                  <c:v>35.824500000001009</c:v>
                </c:pt>
                <c:pt idx="964">
                  <c:v>35.824600000001013</c:v>
                </c:pt>
                <c:pt idx="965">
                  <c:v>35.824700000001016</c:v>
                </c:pt>
                <c:pt idx="966">
                  <c:v>35.824800000001019</c:v>
                </c:pt>
                <c:pt idx="967">
                  <c:v>35.824900000001023</c:v>
                </c:pt>
                <c:pt idx="968">
                  <c:v>35.825000000001026</c:v>
                </c:pt>
                <c:pt idx="969">
                  <c:v>35.825100000001029</c:v>
                </c:pt>
                <c:pt idx="970">
                  <c:v>35.825200000001033</c:v>
                </c:pt>
                <c:pt idx="971">
                  <c:v>35.825300000001036</c:v>
                </c:pt>
                <c:pt idx="972">
                  <c:v>35.825400000001039</c:v>
                </c:pt>
                <c:pt idx="973">
                  <c:v>35.825500000001043</c:v>
                </c:pt>
                <c:pt idx="974">
                  <c:v>35.825600000001046</c:v>
                </c:pt>
                <c:pt idx="975">
                  <c:v>35.825700000001049</c:v>
                </c:pt>
                <c:pt idx="976">
                  <c:v>35.825800000001053</c:v>
                </c:pt>
                <c:pt idx="977">
                  <c:v>35.825900000001056</c:v>
                </c:pt>
                <c:pt idx="978">
                  <c:v>35.826000000001059</c:v>
                </c:pt>
                <c:pt idx="979">
                  <c:v>35.826100000001063</c:v>
                </c:pt>
                <c:pt idx="980">
                  <c:v>35.826200000001066</c:v>
                </c:pt>
                <c:pt idx="981">
                  <c:v>35.826300000001069</c:v>
                </c:pt>
                <c:pt idx="982">
                  <c:v>35.826400000001072</c:v>
                </c:pt>
                <c:pt idx="983">
                  <c:v>35.826500000001076</c:v>
                </c:pt>
                <c:pt idx="984">
                  <c:v>35.826600000001079</c:v>
                </c:pt>
                <c:pt idx="985">
                  <c:v>35.826700000001082</c:v>
                </c:pt>
                <c:pt idx="986">
                  <c:v>35.826800000001086</c:v>
                </c:pt>
                <c:pt idx="987">
                  <c:v>35.826900000001089</c:v>
                </c:pt>
                <c:pt idx="988">
                  <c:v>35.827000000001092</c:v>
                </c:pt>
                <c:pt idx="989">
                  <c:v>35.827100000001096</c:v>
                </c:pt>
                <c:pt idx="990">
                  <c:v>35.827200000001099</c:v>
                </c:pt>
                <c:pt idx="991">
                  <c:v>35.827300000001102</c:v>
                </c:pt>
                <c:pt idx="992">
                  <c:v>35.827400000001106</c:v>
                </c:pt>
                <c:pt idx="993">
                  <c:v>35.827500000001109</c:v>
                </c:pt>
                <c:pt idx="994">
                  <c:v>35.827600000001112</c:v>
                </c:pt>
                <c:pt idx="995">
                  <c:v>35.827700000001116</c:v>
                </c:pt>
                <c:pt idx="996">
                  <c:v>35.827800000001119</c:v>
                </c:pt>
                <c:pt idx="997">
                  <c:v>35.827900000001122</c:v>
                </c:pt>
                <c:pt idx="998">
                  <c:v>35.828000000001126</c:v>
                </c:pt>
                <c:pt idx="999">
                  <c:v>35.828100000001129</c:v>
                </c:pt>
                <c:pt idx="1000">
                  <c:v>35.828200000001132</c:v>
                </c:pt>
              </c:numCache>
            </c:numRef>
          </c:xVal>
          <c:yVal>
            <c:numRef>
              <c:f>Calculs!$AE$4:$AE$1004</c:f>
              <c:numCache>
                <c:formatCode>0</c:formatCode>
                <c:ptCount val="1001"/>
                <c:pt idx="0">
                  <c:v>0</c:v>
                </c:pt>
                <c:pt idx="1">
                  <c:v>6.8158011024989312E-6</c:v>
                </c:pt>
                <c:pt idx="2">
                  <c:v>1.0146639636617392E-3</c:v>
                </c:pt>
                <c:pt idx="3">
                  <c:v>4.9988855250675431E-3</c:v>
                </c:pt>
                <c:pt idx="4">
                  <c:v>1.3936191054571544E-2</c:v>
                </c:pt>
                <c:pt idx="5">
                  <c:v>2.9805237587798149E-2</c:v>
                </c:pt>
                <c:pt idx="6">
                  <c:v>5.4086653680871032E-2</c:v>
                </c:pt>
                <c:pt idx="7">
                  <c:v>8.7261849014639709E-2</c:v>
                </c:pt>
                <c:pt idx="8">
                  <c:v>0.12931211141550331</c:v>
                </c:pt>
                <c:pt idx="9">
                  <c:v>0.18021863305817598</c:v>
                </c:pt>
                <c:pt idx="10">
                  <c:v>0.23996251081243741</c:v>
                </c:pt>
                <c:pt idx="11">
                  <c:v>0.30852474659351542</c:v>
                </c:pt>
                <c:pt idx="12">
                  <c:v>0.38588624771607272</c:v>
                </c:pt>
                <c:pt idx="13">
                  <c:v>0.47202782725176878</c:v>
                </c:pt>
                <c:pt idx="14">
                  <c:v>0.56693020439036834</c:v>
                </c:pt>
                <c:pt idx="15">
                  <c:v>0.67057400480436691</c:v>
                </c:pt>
                <c:pt idx="16">
                  <c:v>0.78293976101710383</c:v>
                </c:pt>
                <c:pt idx="17">
                  <c:v>0.9040079127743329</c:v>
                </c:pt>
                <c:pt idx="18">
                  <c:v>1.033758807419221</c:v>
                </c:pt>
                <c:pt idx="19">
                  <c:v>1.1721727002707432</c:v>
                </c:pt>
                <c:pt idx="20">
                  <c:v>1.3192297550054444</c:v>
                </c:pt>
                <c:pt idx="21">
                  <c:v>1.4749100440425362</c:v>
                </c:pt>
                <c:pt idx="22">
                  <c:v>1.6391935489322984</c:v>
                </c:pt>
                <c:pt idx="23">
                  <c:v>1.8120601607477511</c:v>
                </c:pt>
                <c:pt idx="24">
                  <c:v>1.9934896804795699</c:v>
                </c:pt>
                <c:pt idx="25">
                  <c:v>2.1834618194342066</c:v>
                </c:pt>
                <c:pt idx="26">
                  <c:v>2.3819561996351881</c:v>
                </c:pt>
                <c:pt idx="27">
                  <c:v>2.5889523542275579</c:v>
                </c:pt>
                <c:pt idx="28">
                  <c:v>2.8044297278854273</c:v>
                </c:pt>
                <c:pt idx="29">
                  <c:v>3.0283676772226049</c:v>
                </c:pt>
                <c:pt idx="30">
                  <c:v>3.26074547120627</c:v>
                </c:pt>
                <c:pt idx="31">
                  <c:v>3.5015422915736552</c:v>
                </c:pt>
                <c:pt idx="32">
                  <c:v>3.7507372332517055</c:v>
                </c:pt>
                <c:pt idx="33">
                  <c:v>4.0083093047796812</c:v>
                </c:pt>
                <c:pt idx="34">
                  <c:v>4.2742337010814717</c:v>
                </c:pt>
                <c:pt idx="35">
                  <c:v>4.5484854049669261</c:v>
                </c:pt>
                <c:pt idx="36">
                  <c:v>4.8310429168443738</c:v>
                </c:pt>
                <c:pt idx="37">
                  <c:v>5.1218846574311359</c:v>
                </c:pt>
                <c:pt idx="38">
                  <c:v>5.4209889697491516</c:v>
                </c:pt>
                <c:pt idx="39">
                  <c:v>5.7283341192522652</c:v>
                </c:pt>
                <c:pt idx="40">
                  <c:v>6.0438982939804093</c:v>
                </c:pt>
                <c:pt idx="41">
                  <c:v>6.3676596047381508</c:v>
                </c:pt>
                <c:pt idx="42">
                  <c:v>6.6995960852954006</c:v>
                </c:pt>
                <c:pt idx="43">
                  <c:v>7.0396856926083373</c:v>
                </c:pt>
                <c:pt idx="44">
                  <c:v>7.3879063070588487</c:v>
                </c:pt>
                <c:pt idx="45">
                  <c:v>7.744235732710953</c:v>
                </c:pt>
                <c:pt idx="46">
                  <c:v>8.1086516975828804</c:v>
                </c:pt>
                <c:pt idx="47">
                  <c:v>8.48113185393359</c:v>
                </c:pt>
                <c:pt idx="48">
                  <c:v>8.861653778562669</c:v>
                </c:pt>
                <c:pt idx="49">
                  <c:v>9.2501949731226407</c:v>
                </c:pt>
                <c:pt idx="50">
                  <c:v>9.6467328644428214</c:v>
                </c:pt>
                <c:pt idx="51">
                  <c:v>10.05124743837848</c:v>
                </c:pt>
                <c:pt idx="52">
                  <c:v>10.463723877355719</c:v>
                </c:pt>
                <c:pt idx="53">
                  <c:v>10.884149932220319</c:v>
                </c:pt>
                <c:pt idx="54">
                  <c:v>11.312513290285395</c:v>
                </c:pt>
                <c:pt idx="55">
                  <c:v>11.748801575453523</c:v>
                </c:pt>
                <c:pt idx="56">
                  <c:v>12.193002348346042</c:v>
                </c:pt>
                <c:pt idx="57">
                  <c:v>12.645103106439137</c:v>
                </c:pt>
                <c:pt idx="58">
                  <c:v>13.105091284206402</c:v>
                </c:pt>
                <c:pt idx="59">
                  <c:v>13.572954253267554</c:v>
                </c:pt>
                <c:pt idx="60">
                  <c:v>14.048679322543032</c:v>
                </c:pt>
                <c:pt idx="61">
                  <c:v>14.532253738414216</c:v>
                </c:pt>
                <c:pt idx="62">
                  <c:v>15.02366468488902</c:v>
                </c:pt>
                <c:pt idx="63">
                  <c:v>15.522899283772656</c:v>
                </c:pt>
                <c:pt idx="64">
                  <c:v>16.029944594843336</c:v>
                </c:pt>
                <c:pt idx="65">
                  <c:v>16.544787616032753</c:v>
                </c:pt>
                <c:pt idx="66">
                  <c:v>17.067415283611115</c:v>
                </c:pt>
                <c:pt idx="67">
                  <c:v>17.597814472376633</c:v>
                </c:pt>
                <c:pt idx="68">
                  <c:v>18.135971995849228</c:v>
                </c:pt>
                <c:pt idx="69">
                  <c:v>18.681874606468387</c:v>
                </c:pt>
                <c:pt idx="70">
                  <c:v>19.235508995794969</c:v>
                </c:pt>
                <c:pt idx="71">
                  <c:v>19.796861794716875</c:v>
                </c:pt>
                <c:pt idx="72">
                  <c:v>20.365919573658445</c:v>
                </c:pt>
                <c:pt idx="73">
                  <c:v>20.942668842793459</c:v>
                </c:pt>
                <c:pt idx="74">
                  <c:v>21.527096052261648</c:v>
                </c:pt>
                <c:pt idx="75">
                  <c:v>22.119187592388609</c:v>
                </c:pt>
                <c:pt idx="76">
                  <c:v>22.718929793909041</c:v>
                </c:pt>
                <c:pt idx="77">
                  <c:v>23.326308928193164</c:v>
                </c:pt>
                <c:pt idx="78">
                  <c:v>23.9413112074763</c:v>
                </c:pt>
                <c:pt idx="79">
                  <c:v>24.563922785091489</c:v>
                </c:pt>
                <c:pt idx="80">
                  <c:v>25.194129755705056</c:v>
                </c:pt>
                <c:pt idx="81">
                  <c:v>25.831918155555105</c:v>
                </c:pt>
                <c:pt idx="82">
                  <c:v>26.477273962692802</c:v>
                </c:pt>
                <c:pt idx="83">
                  <c:v>27.130183097226418</c:v>
                </c:pt>
                <c:pt idx="84">
                  <c:v>27.790631421568072</c:v>
                </c:pt>
                <c:pt idx="85">
                  <c:v>28.458604740683079</c:v>
                </c:pt>
                <c:pt idx="86">
                  <c:v>29.134088802341861</c:v>
                </c:pt>
                <c:pt idx="87">
                  <c:v>29.817069297374378</c:v>
                </c:pt>
                <c:pt idx="88">
                  <c:v>30.507531859926988</c:v>
                </c:pt>
                <c:pt idx="89">
                  <c:v>31.205462067721704</c:v>
                </c:pt>
                <c:pt idx="90">
                  <c:v>31.910845442317793</c:v>
                </c:pt>
                <c:pt idx="91">
                  <c:v>32.62366744937566</c:v>
                </c:pt>
                <c:pt idx="92">
                  <c:v>33.343913498922987</c:v>
                </c:pt>
                <c:pt idx="93">
                  <c:v>34.071568945623035</c:v>
                </c:pt>
                <c:pt idx="94">
                  <c:v>34.806619089045121</c:v>
                </c:pt>
                <c:pt idx="95">
                  <c:v>35.549049173937171</c:v>
                </c:pt>
                <c:pt idx="96">
                  <c:v>36.298844390500363</c:v>
                </c:pt>
                <c:pt idx="97">
                  <c:v>37.055989874665741</c:v>
                </c:pt>
                <c:pt idx="98">
                  <c:v>37.820470708372845</c:v>
                </c:pt>
                <c:pt idx="99">
                  <c:v>38.592271919850226</c:v>
                </c:pt>
                <c:pt idx="100">
                  <c:v>39.371378483897907</c:v>
                </c:pt>
                <c:pt idx="101">
                  <c:v>40.157774108690624</c:v>
                </c:pt>
                <c:pt idx="102">
                  <c:v>40.951440021396799</c:v>
                </c:pt>
                <c:pt idx="103">
                  <c:v>41.752356180623842</c:v>
                </c:pt>
                <c:pt idx="104">
                  <c:v>42.560502490107623</c:v>
                </c:pt>
                <c:pt idx="105">
                  <c:v>43.375858799116223</c:v>
                </c:pt>
                <c:pt idx="106">
                  <c:v>44.198404902855216</c:v>
                </c:pt>
                <c:pt idx="107">
                  <c:v>45.028120542874383</c:v>
                </c:pt>
                <c:pt idx="108">
                  <c:v>45.864985407475821</c:v>
                </c:pt>
                <c:pt idx="109">
                  <c:v>46.708979132123432</c:v>
                </c:pt>
                <c:pt idx="110">
                  <c:v>47.560081299853721</c:v>
                </c:pt>
                <c:pt idx="111">
                  <c:v>48.418271441687864</c:v>
                </c:pt>
                <c:pt idx="112">
                  <c:v>49.283529037044985</c:v>
                </c:pt>
                <c:pt idx="113">
                  <c:v>50.15583351415669</c:v>
                </c:pt>
                <c:pt idx="114">
                  <c:v>51.035164250482659</c:v>
                </c:pt>
                <c:pt idx="115">
                  <c:v>51.921500573127425</c:v>
                </c:pt>
                <c:pt idx="116">
                  <c:v>52.81482175925818</c:v>
                </c:pt>
                <c:pt idx="117">
                  <c:v>53.715107036523605</c:v>
                </c:pt>
                <c:pt idx="118">
                  <c:v>54.622335583473728</c:v>
                </c:pt>
                <c:pt idx="119">
                  <c:v>55.536486529980699</c:v>
                </c:pt>
                <c:pt idx="120">
                  <c:v>56.457538957660475</c:v>
                </c:pt>
                <c:pt idx="121">
                  <c:v>57.385471900295421</c:v>
                </c:pt>
                <c:pt idx="122">
                  <c:v>58.320264344257701</c:v>
                </c:pt>
                <c:pt idx="123">
                  <c:v>59.261895228933511</c:v>
                </c:pt>
                <c:pt idx="124">
                  <c:v>60.210343447148048</c:v>
                </c:pt>
                <c:pt idx="125">
                  <c:v>61.165587845591219</c:v>
                </c:pt>
                <c:pt idx="126">
                  <c:v>62.127607225244056</c:v>
                </c:pt>
                <c:pt idx="127">
                  <c:v>63.096380341805776</c:v>
                </c:pt>
                <c:pt idx="128">
                  <c:v>64.071885906121452</c:v>
                </c:pt>
                <c:pt idx="129">
                  <c:v>65.054102584610291</c:v>
                </c:pt>
                <c:pt idx="130">
                  <c:v>66.043008999694493</c:v>
                </c:pt>
                <c:pt idx="131">
                  <c:v>67.038583730228552</c:v>
                </c:pt>
                <c:pt idx="132">
                  <c:v>68.04080531192912</c:v>
                </c:pt>
                <c:pt idx="133">
                  <c:v>69.04965223780529</c:v>
                </c:pt>
                <c:pt idx="134">
                  <c:v>70.065102958589293</c:v>
                </c:pt>
                <c:pt idx="135">
                  <c:v>71.087135883167605</c:v>
                </c:pt>
                <c:pt idx="136">
                  <c:v>72.115729379012379</c:v>
                </c:pt>
                <c:pt idx="137">
                  <c:v>73.15086177261324</c:v>
                </c:pt>
                <c:pt idx="138">
                  <c:v>74.192511349909296</c:v>
                </c:pt>
                <c:pt idx="139">
                  <c:v>75.24065635672153</c:v>
                </c:pt>
                <c:pt idx="140">
                  <c:v>76.295274999185267</c:v>
                </c:pt>
                <c:pt idx="141">
                  <c:v>77.356345444182949</c:v>
                </c:pt>
                <c:pt idx="142">
                  <c:v>78.423845819777057</c:v>
                </c:pt>
                <c:pt idx="143">
                  <c:v>79.497754215643084</c:v>
                </c:pt>
                <c:pt idx="144">
                  <c:v>80.578048683502743</c:v>
                </c:pt>
                <c:pt idx="145">
                  <c:v>81.664707237557124</c:v>
                </c:pt>
                <c:pt idx="146">
                  <c:v>82.757707854919971</c:v>
                </c:pt>
                <c:pt idx="147">
                  <c:v>83.857028476050957</c:v>
                </c:pt>
                <c:pt idx="148">
                  <c:v>84.962647005188884</c:v>
                </c:pt>
                <c:pt idx="149">
                  <c:v>86.074541310784923</c:v>
                </c:pt>
                <c:pt idx="150">
                  <c:v>87.192689225935709</c:v>
                </c:pt>
                <c:pt idx="151">
                  <c:v>88.317068961453813</c:v>
                </c:pt>
                <c:pt idx="152">
                  <c:v>89.447659519146569</c:v>
                </c:pt>
                <c:pt idx="153">
                  <c:v>90.584440279702392</c:v>
                </c:pt>
                <c:pt idx="154">
                  <c:v>91.72739059035041</c:v>
                </c:pt>
                <c:pt idx="155">
                  <c:v>92.876489765256835</c:v>
                </c:pt>
                <c:pt idx="156">
                  <c:v>94.031717085921301</c:v>
                </c:pt>
                <c:pt idx="157">
                  <c:v>95.193051801573034</c:v>
                </c:pt>
                <c:pt idx="158">
                  <c:v>96.360473129566984</c:v>
                </c:pt>
                <c:pt idx="159">
                  <c:v>97.533960255779689</c:v>
                </c:pt>
                <c:pt idx="160">
                  <c:v>98.713492335005057</c:v>
                </c:pt>
                <c:pt idx="161">
                  <c:v>99.899048491349888</c:v>
                </c:pt>
                <c:pt idx="162">
                  <c:v>101.09060781862915</c:v>
                </c:pt>
                <c:pt idx="163">
                  <c:v>102.28814938076106</c:v>
                </c:pt>
                <c:pt idx="164">
                  <c:v>103.49165221216182</c:v>
                </c:pt>
                <c:pt idx="165">
                  <c:v>104.70109531814016</c:v>
                </c:pt>
                <c:pt idx="166">
                  <c:v>105.91645767529138</c:v>
                </c:pt>
                <c:pt idx="167">
                  <c:v>107.13771823189123</c:v>
                </c:pt>
                <c:pt idx="168">
                  <c:v>108.36485590828927</c:v>
                </c:pt>
                <c:pt idx="169">
                  <c:v>109.59784959730196</c:v>
                </c:pt>
                <c:pt idx="170">
                  <c:v>110.83667816460523</c:v>
                </c:pt>
                <c:pt idx="171">
                  <c:v>112.08132044912669</c:v>
                </c:pt>
                <c:pt idx="172">
                  <c:v>113.33175526343732</c:v>
                </c:pt>
                <c:pt idx="173">
                  <c:v>114.58796139414265</c:v>
                </c:pt>
                <c:pt idx="174">
                  <c:v>115.84991760227362</c:v>
                </c:pt>
                <c:pt idx="175">
                  <c:v>117.11760262367662</c:v>
                </c:pt>
                <c:pt idx="176">
                  <c:v>118.3909951694032</c:v>
                </c:pt>
                <c:pt idx="177">
                  <c:v>119.67007392609918</c:v>
                </c:pt>
                <c:pt idx="178">
                  <c:v>120.95481755639308</c:v>
                </c:pt>
                <c:pt idx="179">
                  <c:v>122.24520469928399</c:v>
                </c:pt>
                <c:pt idx="180">
                  <c:v>123.5412139705288</c:v>
                </c:pt>
                <c:pt idx="181">
                  <c:v>124.84282396302883</c:v>
                </c:pt>
                <c:pt idx="182">
                  <c:v>126.15001324721565</c:v>
                </c:pt>
                <c:pt idx="183">
                  <c:v>127.46276037143636</c:v>
                </c:pt>
                <c:pt idx="184">
                  <c:v>128.78104386233801</c:v>
                </c:pt>
                <c:pt idx="185">
                  <c:v>130.10484222525142</c:v>
                </c:pt>
                <c:pt idx="186">
                  <c:v>131.43413394457409</c:v>
                </c:pt>
                <c:pt idx="187">
                  <c:v>132.76889748415255</c:v>
                </c:pt>
                <c:pt idx="188">
                  <c:v>134.10911128766364</c:v>
                </c:pt>
                <c:pt idx="189">
                  <c:v>135.45475377899521</c:v>
                </c:pt>
                <c:pt idx="190">
                  <c:v>136.80580336262588</c:v>
                </c:pt>
                <c:pt idx="191">
                  <c:v>138.16223842400396</c:v>
                </c:pt>
                <c:pt idx="192">
                  <c:v>139.52403732992548</c:v>
                </c:pt>
                <c:pt idx="193">
                  <c:v>140.89117842891139</c:v>
                </c:pt>
                <c:pt idx="194">
                  <c:v>142.26364005158376</c:v>
                </c:pt>
                <c:pt idx="195">
                  <c:v>143.64140051104121</c:v>
                </c:pt>
                <c:pt idx="196">
                  <c:v>145.02443810323317</c:v>
                </c:pt>
                <c:pt idx="197">
                  <c:v>146.41273110733334</c:v>
                </c:pt>
                <c:pt idx="198">
                  <c:v>147.80625778611221</c:v>
                </c:pt>
                <c:pt idx="199">
                  <c:v>149.20499638630838</c:v>
                </c:pt>
                <c:pt idx="200">
                  <c:v>150.6089251389991</c:v>
                </c:pt>
                <c:pt idx="201">
                  <c:v>152.01802225996957</c:v>
                </c:pt>
                <c:pt idx="202">
                  <c:v>153.43226595008136</c:v>
                </c:pt>
                <c:pt idx="203">
                  <c:v>154.85163439563968</c:v>
                </c:pt>
                <c:pt idx="204">
                  <c:v>156.27610576875958</c:v>
                </c:pt>
                <c:pt idx="205">
                  <c:v>157.70565822773102</c:v>
                </c:pt>
                <c:pt idx="206">
                  <c:v>159.14026991738291</c:v>
                </c:pt>
                <c:pt idx="207">
                  <c:v>160.57991896944594</c:v>
                </c:pt>
                <c:pt idx="208">
                  <c:v>162.02458350291434</c:v>
                </c:pt>
                <c:pt idx="209">
                  <c:v>163.47424162440635</c:v>
                </c:pt>
                <c:pt idx="210">
                  <c:v>164.92887142852368</c:v>
                </c:pt>
                <c:pt idx="211">
                  <c:v>166.38845099820966</c:v>
                </c:pt>
                <c:pt idx="212">
                  <c:v>167.85295840510622</c:v>
                </c:pt>
                <c:pt idx="213">
                  <c:v>169.3223717099097</c:v>
                </c:pt>
                <c:pt idx="214">
                  <c:v>170.79666896272528</c:v>
                </c:pt>
                <c:pt idx="215">
                  <c:v>172.2758282034203</c:v>
                </c:pt>
                <c:pt idx="216">
                  <c:v>173.7598274619763</c:v>
                </c:pt>
                <c:pt idx="217">
                  <c:v>175.24864475883973</c:v>
                </c:pt>
                <c:pt idx="218">
                  <c:v>176.74225810527133</c:v>
                </c:pt>
                <c:pt idx="219">
                  <c:v>178.24064550369437</c:v>
                </c:pt>
                <c:pt idx="220">
                  <c:v>179.74378494804134</c:v>
                </c:pt>
                <c:pt idx="221">
                  <c:v>181.25165442409954</c:v>
                </c:pt>
                <c:pt idx="222">
                  <c:v>182.76423190985514</c:v>
                </c:pt>
                <c:pt idx="223">
                  <c:v>184.28149537583602</c:v>
                </c:pt>
                <c:pt idx="224">
                  <c:v>185.80342278545308</c:v>
                </c:pt>
                <c:pt idx="225">
                  <c:v>187.32999209534034</c:v>
                </c:pt>
                <c:pt idx="226">
                  <c:v>188.86118125569359</c:v>
                </c:pt>
                <c:pt idx="227">
                  <c:v>190.39696821060747</c:v>
                </c:pt>
                <c:pt idx="228">
                  <c:v>191.9373308984114</c:v>
                </c:pt>
                <c:pt idx="229">
                  <c:v>193.4822472520039</c:v>
                </c:pt>
                <c:pt idx="230">
                  <c:v>195.03169519918549</c:v>
                </c:pt>
                <c:pt idx="231">
                  <c:v>196.58565266299019</c:v>
                </c:pt>
                <c:pt idx="232">
                  <c:v>198.1440975620155</c:v>
                </c:pt>
                <c:pt idx="233">
                  <c:v>199.70700781075089</c:v>
                </c:pt>
                <c:pt idx="234">
                  <c:v>201.27436131990493</c:v>
                </c:pt>
                <c:pt idx="235">
                  <c:v>202.84613599673071</c:v>
                </c:pt>
                <c:pt idx="236">
                  <c:v>204.42230974534996</c:v>
                </c:pt>
                <c:pt idx="237">
                  <c:v>206.00286046707552</c:v>
                </c:pt>
                <c:pt idx="238">
                  <c:v>207.58776606073229</c:v>
                </c:pt>
                <c:pt idx="239">
                  <c:v>209.17700442297672</c:v>
                </c:pt>
                <c:pt idx="240">
                  <c:v>210.77055344861469</c:v>
                </c:pt>
                <c:pt idx="241">
                  <c:v>212.36839103091785</c:v>
                </c:pt>
                <c:pt idx="242">
                  <c:v>213.97049506193829</c:v>
                </c:pt>
                <c:pt idx="243">
                  <c:v>215.5768434328219</c:v>
                </c:pt>
                <c:pt idx="244">
                  <c:v>217.18741403411985</c:v>
                </c:pt>
                <c:pt idx="245">
                  <c:v>218.80218475609863</c:v>
                </c:pt>
                <c:pt idx="246">
                  <c:v>220.4211334890484</c:v>
                </c:pt>
                <c:pt idx="247">
                  <c:v>222.04423812358991</c:v>
                </c:pt>
                <c:pt idx="248">
                  <c:v>223.67147655097952</c:v>
                </c:pt>
                <c:pt idx="249">
                  <c:v>225.3028266634129</c:v>
                </c:pt>
                <c:pt idx="250">
                  <c:v>226.93826635432683</c:v>
                </c:pt>
                <c:pt idx="251">
                  <c:v>228.5777717415167</c:v>
                </c:pt>
                <c:pt idx="252">
                  <c:v>230.22131539081062</c:v>
                </c:pt>
                <c:pt idx="253">
                  <c:v>231.86886809579477</c:v>
                </c:pt>
                <c:pt idx="254">
                  <c:v>233.52040065703846</c:v>
                </c:pt>
                <c:pt idx="255">
                  <c:v>235.17588388250601</c:v>
                </c:pt>
                <c:pt idx="256">
                  <c:v>236.83528858796566</c:v>
                </c:pt>
                <c:pt idx="257">
                  <c:v>238.49858559739559</c:v>
                </c:pt>
                <c:pt idx="258">
                  <c:v>240.16574574338713</c:v>
                </c:pt>
                <c:pt idx="259">
                  <c:v>241.83673986754496</c:v>
                </c:pt>
                <c:pt idx="260">
                  <c:v>243.51153882088445</c:v>
                </c:pt>
                <c:pt idx="261">
                  <c:v>245.1901134642261</c:v>
                </c:pt>
                <c:pt idx="262">
                  <c:v>246.872434668587</c:v>
                </c:pt>
                <c:pt idx="263">
                  <c:v>248.55847331556933</c:v>
                </c:pt>
                <c:pt idx="264">
                  <c:v>250.248200297746</c:v>
                </c:pt>
                <c:pt idx="265">
                  <c:v>251.94158651904334</c:v>
                </c:pt>
                <c:pt idx="266">
                  <c:v>253.63860289512073</c:v>
                </c:pt>
                <c:pt idx="267">
                  <c:v>255.33922035374735</c:v>
                </c:pt>
                <c:pt idx="268">
                  <c:v>257.04340983517602</c:v>
                </c:pt>
                <c:pt idx="269">
                  <c:v>258.75114229251386</c:v>
                </c:pt>
                <c:pt idx="270">
                  <c:v>260.4623886920902</c:v>
                </c:pt>
                <c:pt idx="271">
                  <c:v>262.17712001382142</c:v>
                </c:pt>
                <c:pt idx="272">
                  <c:v>263.89530725157283</c:v>
                </c:pt>
                <c:pt idx="273">
                  <c:v>265.6169214135175</c:v>
                </c:pt>
                <c:pt idx="274">
                  <c:v>267.34193352249207</c:v>
                </c:pt>
                <c:pt idx="275">
                  <c:v>269.07031461634972</c:v>
                </c:pt>
                <c:pt idx="276">
                  <c:v>270.80203574831006</c:v>
                </c:pt>
                <c:pt idx="277">
                  <c:v>272.53706798730587</c:v>
                </c:pt>
                <c:pt idx="278">
                  <c:v>274.27538241832718</c:v>
                </c:pt>
                <c:pt idx="279">
                  <c:v>276.01695014276197</c:v>
                </c:pt>
                <c:pt idx="280">
                  <c:v>277.76174227873406</c:v>
                </c:pt>
                <c:pt idx="281">
                  <c:v>279.50972996143804</c:v>
                </c:pt>
                <c:pt idx="282">
                  <c:v>281.26088434347099</c:v>
                </c:pt>
                <c:pt idx="283">
                  <c:v>283.01517659516134</c:v>
                </c:pt>
                <c:pt idx="284">
                  <c:v>284.77257790489472</c:v>
                </c:pt>
                <c:pt idx="285">
                  <c:v>286.53305947943676</c:v>
                </c:pt>
                <c:pt idx="286">
                  <c:v>288.29659254425275</c:v>
                </c:pt>
                <c:pt idx="287">
                  <c:v>290.06314834382448</c:v>
                </c:pt>
                <c:pt idx="288">
                  <c:v>291.8326981419641</c:v>
                </c:pt>
                <c:pt idx="289">
                  <c:v>293.60521322212463</c:v>
                </c:pt>
                <c:pt idx="290">
                  <c:v>295.38066488770789</c:v>
                </c:pt>
                <c:pt idx="291">
                  <c:v>297.15902446236902</c:v>
                </c:pt>
                <c:pt idx="292">
                  <c:v>298.94026329031823</c:v>
                </c:pt>
                <c:pt idx="293">
                  <c:v>300.72435273661966</c:v>
                </c:pt>
                <c:pt idx="294">
                  <c:v>302.5112641874868</c:v>
                </c:pt>
                <c:pt idx="295">
                  <c:v>304.30096905057525</c:v>
                </c:pt>
                <c:pt idx="296">
                  <c:v>306.09343875527242</c:v>
                </c:pt>
                <c:pt idx="297">
                  <c:v>307.88864475298419</c:v>
                </c:pt>
                <c:pt idx="298">
                  <c:v>309.68653902881954</c:v>
                </c:pt>
                <c:pt idx="299">
                  <c:v>311.48703462730384</c:v>
                </c:pt>
                <c:pt idx="300">
                  <c:v>313.29002517959941</c:v>
                </c:pt>
                <c:pt idx="301">
                  <c:v>315.0954044176608</c:v>
                </c:pt>
                <c:pt idx="302">
                  <c:v>316.90306617642699</c:v>
                </c:pt>
                <c:pt idx="303">
                  <c:v>318.71290439597681</c:v>
                </c:pt>
                <c:pt idx="304">
                  <c:v>320.52481312364716</c:v>
                </c:pt>
                <c:pt idx="305">
                  <c:v>322.33868651611465</c:v>
                </c:pt>
                <c:pt idx="306">
                  <c:v>324.15441884143996</c:v>
                </c:pt>
                <c:pt idx="307">
                  <c:v>325.97190448107568</c:v>
                </c:pt>
                <c:pt idx="308">
                  <c:v>327.7910379318372</c:v>
                </c:pt>
                <c:pt idx="309">
                  <c:v>329.61171380783691</c:v>
                </c:pt>
                <c:pt idx="310">
                  <c:v>331.43382684238179</c:v>
                </c:pt>
                <c:pt idx="311">
                  <c:v>333.25727188983433</c:v>
                </c:pt>
                <c:pt idx="312">
                  <c:v>335.08194392743701</c:v>
                </c:pt>
                <c:pt idx="313">
                  <c:v>336.90773805710018</c:v>
                </c:pt>
                <c:pt idx="314">
                  <c:v>338.73454950715393</c:v>
                </c:pt>
                <c:pt idx="315">
                  <c:v>340.56227363406327</c:v>
                </c:pt>
                <c:pt idx="316">
                  <c:v>342.39080592410761</c:v>
                </c:pt>
                <c:pt idx="317">
                  <c:v>344.22004199502368</c:v>
                </c:pt>
                <c:pt idx="318">
                  <c:v>346.04987759761303</c:v>
                </c:pt>
                <c:pt idx="319">
                  <c:v>347.88020861731331</c:v>
                </c:pt>
                <c:pt idx="320">
                  <c:v>349.71093107573398</c:v>
                </c:pt>
                <c:pt idx="321">
                  <c:v>351.54194887936637</c:v>
                </c:pt>
                <c:pt idx="322">
                  <c:v>353.3731815586504</c:v>
                </c:pt>
                <c:pt idx="323">
                  <c:v>355.20455650078401</c:v>
                </c:pt>
                <c:pt idx="324">
                  <c:v>357.03600119173421</c:v>
                </c:pt>
                <c:pt idx="325">
                  <c:v>358.86744321686359</c:v>
                </c:pt>
                <c:pt idx="326">
                  <c:v>360.69881026154013</c:v>
                </c:pt>
                <c:pt idx="327">
                  <c:v>362.53003011172962</c:v>
                </c:pt>
                <c:pt idx="328">
                  <c:v>364.36103065457144</c:v>
                </c:pt>
                <c:pt idx="329">
                  <c:v>366.19173987893748</c:v>
                </c:pt>
                <c:pt idx="330">
                  <c:v>368.02208587597414</c:v>
                </c:pt>
                <c:pt idx="331">
                  <c:v>369.85199683962787</c:v>
                </c:pt>
                <c:pt idx="332">
                  <c:v>371.68140106715418</c:v>
                </c:pt>
                <c:pt idx="333">
                  <c:v>373.51022695960978</c:v>
                </c:pt>
                <c:pt idx="334">
                  <c:v>375.33840302232892</c:v>
                </c:pt>
                <c:pt idx="335">
                  <c:v>377.16585786538303</c:v>
                </c:pt>
                <c:pt idx="336">
                  <c:v>378.99252020402429</c:v>
                </c:pt>
                <c:pt idx="337">
                  <c:v>380.81831885911299</c:v>
                </c:pt>
                <c:pt idx="338">
                  <c:v>382.64318275752919</c:v>
                </c:pt>
                <c:pt idx="339">
                  <c:v>384.46704093256801</c:v>
                </c:pt>
                <c:pt idx="340">
                  <c:v>386.28982252431962</c:v>
                </c:pt>
                <c:pt idx="341">
                  <c:v>388.11145678003294</c:v>
                </c:pt>
                <c:pt idx="342">
                  <c:v>389.93187305446429</c:v>
                </c:pt>
                <c:pt idx="343">
                  <c:v>391.75100081021003</c:v>
                </c:pt>
                <c:pt idx="344">
                  <c:v>393.56876961802419</c:v>
                </c:pt>
                <c:pt idx="345">
                  <c:v>395.38510915712038</c:v>
                </c:pt>
                <c:pt idx="346">
                  <c:v>397.1999492154589</c:v>
                </c:pt>
                <c:pt idx="347">
                  <c:v>399.01321969001833</c:v>
                </c:pt>
                <c:pt idx="348">
                  <c:v>400.82485142223686</c:v>
                </c:pt>
                <c:pt idx="349">
                  <c:v>402.63477703209844</c:v>
                </c:pt>
                <c:pt idx="350">
                  <c:v>404.44293008043405</c:v>
                </c:pt>
                <c:pt idx="351">
                  <c:v>406.24924423252725</c:v>
                </c:pt>
                <c:pt idx="352">
                  <c:v>408.05365325827097</c:v>
                </c:pt>
                <c:pt idx="353">
                  <c:v>409.85609103231076</c:v>
                </c:pt>
                <c:pt idx="354">
                  <c:v>411.65649153417553</c:v>
                </c:pt>
                <c:pt idx="355">
                  <c:v>413.45478884839497</c:v>
                </c:pt>
                <c:pt idx="356">
                  <c:v>415.25091716460474</c:v>
                </c:pt>
                <c:pt idx="357">
                  <c:v>417.04481077763842</c:v>
                </c:pt>
                <c:pt idx="358">
                  <c:v>418.83640408760721</c:v>
                </c:pt>
                <c:pt idx="359">
                  <c:v>420.62563159996722</c:v>
                </c:pt>
                <c:pt idx="360">
                  <c:v>422.41244529304026</c:v>
                </c:pt>
                <c:pt idx="361">
                  <c:v>424.19683195549652</c:v>
                </c:pt>
                <c:pt idx="362">
                  <c:v>425.97879575924941</c:v>
                </c:pt>
                <c:pt idx="363">
                  <c:v>427.75834086238825</c:v>
                </c:pt>
                <c:pt idx="364">
                  <c:v>429.53547140923843</c:v>
                </c:pt>
                <c:pt idx="365">
                  <c:v>431.31019153042092</c:v>
                </c:pt>
                <c:pt idx="366">
                  <c:v>433.08250534291182</c:v>
                </c:pt>
                <c:pt idx="367">
                  <c:v>434.8524169501012</c:v>
                </c:pt>
                <c:pt idx="368">
                  <c:v>436.61993044185203</c:v>
                </c:pt>
                <c:pt idx="369">
                  <c:v>438.38504989455845</c:v>
                </c:pt>
                <c:pt idx="370">
                  <c:v>440.1477793712038</c:v>
                </c:pt>
                <c:pt idx="371">
                  <c:v>441.90812292141857</c:v>
                </c:pt>
                <c:pt idx="372">
                  <c:v>443.66608458153763</c:v>
                </c:pt>
                <c:pt idx="373">
                  <c:v>445.42166837465754</c:v>
                </c:pt>
                <c:pt idx="374">
                  <c:v>447.17487831069315</c:v>
                </c:pt>
                <c:pt idx="375">
                  <c:v>448.92571838643437</c:v>
                </c:pt>
                <c:pt idx="376">
                  <c:v>450.67419258560221</c:v>
                </c:pt>
                <c:pt idx="377">
                  <c:v>452.42030487890469</c:v>
                </c:pt>
                <c:pt idx="378">
                  <c:v>454.1640592240924</c:v>
                </c:pt>
                <c:pt idx="379">
                  <c:v>455.90545956601397</c:v>
                </c:pt>
                <c:pt idx="380">
                  <c:v>457.64450983667092</c:v>
                </c:pt>
                <c:pt idx="381">
                  <c:v>459.3812139552723</c:v>
                </c:pt>
                <c:pt idx="382">
                  <c:v>461.1155758282892</c:v>
                </c:pt>
                <c:pt idx="383">
                  <c:v>462.84759934950887</c:v>
                </c:pt>
                <c:pt idx="384">
                  <c:v>464.57728840008843</c:v>
                </c:pt>
                <c:pt idx="385">
                  <c:v>466.30464684860851</c:v>
                </c:pt>
                <c:pt idx="386">
                  <c:v>468.02967855112644</c:v>
                </c:pt>
                <c:pt idx="387">
                  <c:v>469.75238735122917</c:v>
                </c:pt>
                <c:pt idx="388">
                  <c:v>471.47277708008602</c:v>
                </c:pt>
                <c:pt idx="389">
                  <c:v>473.19085155650095</c:v>
                </c:pt>
                <c:pt idx="390">
                  <c:v>474.90661458696474</c:v>
                </c:pt>
                <c:pt idx="391">
                  <c:v>476.62006996570688</c:v>
                </c:pt>
                <c:pt idx="392">
                  <c:v>478.331221474747</c:v>
                </c:pt>
                <c:pt idx="393">
                  <c:v>480.04007288394615</c:v>
                </c:pt>
                <c:pt idx="394">
                  <c:v>481.74662795105797</c:v>
                </c:pt>
                <c:pt idx="395">
                  <c:v>483.45089042177915</c:v>
                </c:pt>
                <c:pt idx="396">
                  <c:v>485.15286402980018</c:v>
                </c:pt>
                <c:pt idx="397">
                  <c:v>486.85255249685531</c:v>
                </c:pt>
                <c:pt idx="398">
                  <c:v>488.54995953277256</c:v>
                </c:pt>
                <c:pt idx="399">
                  <c:v>490.24508883552346</c:v>
                </c:pt>
                <c:pt idx="400">
                  <c:v>491.93794409127236</c:v>
                </c:pt>
                <c:pt idx="401">
                  <c:v>508.74170869813679</c:v>
                </c:pt>
                <c:pt idx="402">
                  <c:v>525.32043421578862</c:v>
                </c:pt>
                <c:pt idx="403">
                  <c:v>541.67769313597285</c:v>
                </c:pt>
                <c:pt idx="404">
                  <c:v>557.81694627271884</c:v>
                </c:pt>
                <c:pt idx="405">
                  <c:v>573.74154726872325</c:v>
                </c:pt>
                <c:pt idx="406">
                  <c:v>589.45474687242347</c:v>
                </c:pt>
                <c:pt idx="407">
                  <c:v>604.95969699966679</c:v>
                </c:pt>
                <c:pt idx="408">
                  <c:v>620.25945459289983</c:v>
                </c:pt>
                <c:pt idx="409">
                  <c:v>635.35698528990451</c:v>
                </c:pt>
                <c:pt idx="410">
                  <c:v>650.25516691327471</c:v>
                </c:pt>
                <c:pt idx="411">
                  <c:v>664.95679279106696</c:v>
                </c:pt>
                <c:pt idx="412">
                  <c:v>679.46457491835042</c:v>
                </c:pt>
                <c:pt idx="413">
                  <c:v>693.78114696873206</c:v>
                </c:pt>
                <c:pt idx="414">
                  <c:v>707.90906716433108</c:v>
                </c:pt>
                <c:pt idx="415">
                  <c:v>721.85082101211958</c:v>
                </c:pt>
                <c:pt idx="416">
                  <c:v>735.60882391403356</c:v>
                </c:pt>
                <c:pt idx="417">
                  <c:v>749.18542365777955</c:v>
                </c:pt>
                <c:pt idx="418">
                  <c:v>762.58290279482071</c:v>
                </c:pt>
                <c:pt idx="419">
                  <c:v>775.80348091161773</c:v>
                </c:pt>
                <c:pt idx="420">
                  <c:v>788.84931679981707</c:v>
                </c:pt>
                <c:pt idx="421">
                  <c:v>801.72251053072819</c:v>
                </c:pt>
                <c:pt idx="422">
                  <c:v>814.42510543910043</c:v>
                </c:pt>
                <c:pt idx="423">
                  <c:v>826.95909002090661</c:v>
                </c:pt>
                <c:pt idx="424">
                  <c:v>839.32639974955487</c:v>
                </c:pt>
                <c:pt idx="425">
                  <c:v>851.52891881468611</c:v>
                </c:pt>
                <c:pt idx="426">
                  <c:v>863.56848178746645</c:v>
                </c:pt>
                <c:pt idx="427">
                  <c:v>875.44687521605545</c:v>
                </c:pt>
                <c:pt idx="428">
                  <c:v>887.16583915471449</c:v>
                </c:pt>
                <c:pt idx="429">
                  <c:v>898.72706862982056</c:v>
                </c:pt>
                <c:pt idx="430">
                  <c:v>910.1322150458617</c:v>
                </c:pt>
                <c:pt idx="431">
                  <c:v>921.38288753431664</c:v>
                </c:pt>
                <c:pt idx="432">
                  <c:v>932.48065424815627</c:v>
                </c:pt>
                <c:pt idx="433">
                  <c:v>943.42704360455195</c:v>
                </c:pt>
                <c:pt idx="434">
                  <c:v>954.22354547823136</c:v>
                </c:pt>
                <c:pt idx="435">
                  <c:v>964.87161234778898</c:v>
                </c:pt>
                <c:pt idx="436">
                  <c:v>975.37266039713097</c:v>
                </c:pt>
                <c:pt idx="437">
                  <c:v>985.72807057411683</c:v>
                </c:pt>
                <c:pt idx="438">
                  <c:v>995.9391896083489</c:v>
                </c:pt>
                <c:pt idx="439">
                  <c:v>1006.0073309899566</c:v>
                </c:pt>
                <c:pt idx="440">
                  <c:v>1015.9337759111237</c:v>
                </c:pt>
                <c:pt idx="441">
                  <c:v>1025.719774172017</c:v>
                </c:pt>
                <c:pt idx="442">
                  <c:v>1035.3665450526839</c:v>
                </c:pt>
                <c:pt idx="443">
                  <c:v>1044.875278152412</c:v>
                </c:pt>
                <c:pt idx="444">
                  <c:v>1054.2471341979578</c:v>
                </c:pt>
                <c:pt idx="445">
                  <c:v>1063.4832458219901</c:v>
                </c:pt>
                <c:pt idx="446">
                  <c:v>1072.5847183130143</c:v>
                </c:pt>
                <c:pt idx="447">
                  <c:v>1081.552630337992</c:v>
                </c:pt>
                <c:pt idx="448">
                  <c:v>1090.3880346387982</c:v>
                </c:pt>
                <c:pt idx="449">
                  <c:v>1099.0919587036096</c:v>
                </c:pt>
                <c:pt idx="450">
                  <c:v>1107.6654054142596</c:v>
                </c:pt>
                <c:pt idx="451">
                  <c:v>1116.1093536705466</c:v>
                </c:pt>
                <c:pt idx="452">
                  <c:v>1124.4247589924344</c:v>
                </c:pt>
                <c:pt idx="453">
                  <c:v>1132.6125541010347</c:v>
                </c:pt>
                <c:pt idx="454">
                  <c:v>1140.6736494792249</c:v>
                </c:pt>
                <c:pt idx="455">
                  <c:v>1148.6089339127091</c:v>
                </c:pt>
                <c:pt idx="456">
                  <c:v>1156.4192750122916</c:v>
                </c:pt>
                <c:pt idx="457">
                  <c:v>1164.1055197181008</c:v>
                </c:pt>
                <c:pt idx="458">
                  <c:v>1171.6684947864621</c:v>
                </c:pt>
                <c:pt idx="459">
                  <c:v>1179.1090072600871</c:v>
                </c:pt>
                <c:pt idx="460">
                  <c:v>1186.4278449222165</c:v>
                </c:pt>
                <c:pt idx="461">
                  <c:v>1193.6257767353268</c:v>
                </c:pt>
                <c:pt idx="462">
                  <c:v>1200.7035532649761</c:v>
                </c:pt>
                <c:pt idx="463">
                  <c:v>1207.6619070893473</c:v>
                </c:pt>
                <c:pt idx="464">
                  <c:v>1214.5015531950157</c:v>
                </c:pt>
                <c:pt idx="465">
                  <c:v>1221.223189359446</c:v>
                </c:pt>
                <c:pt idx="466">
                  <c:v>1227.8274965207022</c:v>
                </c:pt>
                <c:pt idx="467">
                  <c:v>1234.3151391348322</c:v>
                </c:pt>
                <c:pt idx="468">
                  <c:v>1240.6867655213678</c:v>
                </c:pt>
                <c:pt idx="469">
                  <c:v>1246.9430081973626</c:v>
                </c:pt>
                <c:pt idx="470">
                  <c:v>1253.0844842003723</c:v>
                </c:pt>
                <c:pt idx="471">
                  <c:v>1259.1117954007639</c:v>
                </c:pt>
                <c:pt idx="472">
                  <c:v>1265.0255288037229</c:v>
                </c:pt>
                <c:pt idx="473">
                  <c:v>1270.8262568413163</c:v>
                </c:pt>
                <c:pt idx="474">
                  <c:v>1276.5145376549481</c:v>
                </c:pt>
                <c:pt idx="475">
                  <c:v>1282.0909153685357</c:v>
                </c:pt>
                <c:pt idx="476">
                  <c:v>1287.5559203527191</c:v>
                </c:pt>
                <c:pt idx="477">
                  <c:v>1292.9100694804038</c:v>
                </c:pt>
                <c:pt idx="478">
                  <c:v>1298.1538663739252</c:v>
                </c:pt>
                <c:pt idx="479">
                  <c:v>1303.2878016441125</c:v>
                </c:pt>
                <c:pt idx="480">
                  <c:v>1308.3123531215192</c:v>
                </c:pt>
                <c:pt idx="481">
                  <c:v>1313.2279860800759</c:v>
                </c:pt>
                <c:pt idx="482">
                  <c:v>1318.0351534534157</c:v>
                </c:pt>
                <c:pt idx="483">
                  <c:v>1322.7342960441085</c:v>
                </c:pt>
                <c:pt idx="484">
                  <c:v>1327.3258427260391</c:v>
                </c:pt>
                <c:pt idx="485">
                  <c:v>1331.8102106401502</c:v>
                </c:pt>
                <c:pt idx="486">
                  <c:v>1336.1878053837709</c:v>
                </c:pt>
                <c:pt idx="487">
                  <c:v>1340.4590211937407</c:v>
                </c:pt>
                <c:pt idx="488">
                  <c:v>1344.6242411235373</c:v>
                </c:pt>
                <c:pt idx="489">
                  <c:v>1348.6838372146121</c:v>
                </c:pt>
                <c:pt idx="490">
                  <c:v>1352.6381706621301</c:v>
                </c:pt>
                <c:pt idx="491">
                  <c:v>1356.4875919753163</c:v>
                </c:pt>
                <c:pt idx="492">
                  <c:v>1360.2324411326028</c:v>
                </c:pt>
                <c:pt idx="493">
                  <c:v>1363.8730477317736</c:v>
                </c:pt>
                <c:pt idx="494">
                  <c:v>1367.4097311353069</c:v>
                </c:pt>
                <c:pt idx="495">
                  <c:v>1370.8428006111189</c:v>
                </c:pt>
                <c:pt idx="496">
                  <c:v>1374.1725554689144</c:v>
                </c:pt>
                <c:pt idx="497">
                  <c:v>1377.3992851923631</c:v>
                </c:pt>
                <c:pt idx="498">
                  <c:v>1380.5232695673267</c:v>
                </c:pt>
                <c:pt idx="499">
                  <c:v>1383.5447788063821</c:v>
                </c:pt>
                <c:pt idx="500">
                  <c:v>1386.4640736698959</c:v>
                </c:pt>
                <c:pt idx="501">
                  <c:v>1389.281405583939</c:v>
                </c:pt>
                <c:pt idx="502">
                  <c:v>1391.9970167553495</c:v>
                </c:pt>
                <c:pt idx="503">
                  <c:v>1394.6111402842989</c:v>
                </c:pt>
                <c:pt idx="504">
                  <c:v>1397.1240002747543</c:v>
                </c:pt>
                <c:pt idx="505">
                  <c:v>1399.5358119432899</c:v>
                </c:pt>
                <c:pt idx="506">
                  <c:v>1401.8467817267717</c:v>
                </c:pt>
                <c:pt idx="507">
                  <c:v>1404.0571073895258</c:v>
                </c:pt>
                <c:pt idx="508">
                  <c:v>1406.1669781307037</c:v>
                </c:pt>
                <c:pt idx="509">
                  <c:v>1408.1765746926978</c:v>
                </c:pt>
                <c:pt idx="510">
                  <c:v>1410.0860694716116</c:v>
                </c:pt>
                <c:pt idx="511">
                  <c:v>1411.8956266309951</c:v>
                </c:pt>
                <c:pt idx="512">
                  <c:v>1413.6054022202916</c:v>
                </c:pt>
                <c:pt idx="513">
                  <c:v>1415.2155442997348</c:v>
                </c:pt>
                <c:pt idx="514">
                  <c:v>1416.7261930737914</c:v>
                </c:pt>
                <c:pt idx="515">
                  <c:v>1418.137481035656</c:v>
                </c:pt>
                <c:pt idx="516">
                  <c:v>1419.4495331258038</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3.9</c:v>
                </c:pt>
              </c:numCache>
            </c:numRef>
          </c:xVal>
          <c:yVal>
            <c:numRef>
              <c:f>Trajecto!$C$158</c:f>
              <c:numCache>
                <c:formatCode>0</c:formatCode>
                <c:ptCount val="1"/>
                <c:pt idx="0">
                  <c:v>709.72476656290189</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26.300000000000061</c:v>
                </c:pt>
              </c:numCache>
            </c:numRef>
          </c:xVal>
          <c:yVal>
            <c:numRef>
              <c:f>Trajecto!$C$159</c:f>
              <c:numCache>
                <c:formatCode>0</c:formatCode>
                <c:ptCount val="1"/>
                <c:pt idx="0">
                  <c:v>713.74496826857319</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35.800100000000199</c:v>
                </c:pt>
                <c:pt idx="720">
                  <c:v>35.800200000000203</c:v>
                </c:pt>
                <c:pt idx="721">
                  <c:v>35.800300000000206</c:v>
                </c:pt>
                <c:pt idx="722">
                  <c:v>35.800400000000209</c:v>
                </c:pt>
                <c:pt idx="723">
                  <c:v>35.800500000000213</c:v>
                </c:pt>
                <c:pt idx="724">
                  <c:v>35.800600000000216</c:v>
                </c:pt>
                <c:pt idx="725">
                  <c:v>35.800700000000219</c:v>
                </c:pt>
                <c:pt idx="726">
                  <c:v>35.800800000000223</c:v>
                </c:pt>
                <c:pt idx="727">
                  <c:v>35.800900000000226</c:v>
                </c:pt>
                <c:pt idx="728">
                  <c:v>35.801000000000229</c:v>
                </c:pt>
                <c:pt idx="729">
                  <c:v>35.801100000000233</c:v>
                </c:pt>
                <c:pt idx="730">
                  <c:v>35.801200000000236</c:v>
                </c:pt>
                <c:pt idx="731">
                  <c:v>35.801300000000239</c:v>
                </c:pt>
                <c:pt idx="732">
                  <c:v>35.801400000000243</c:v>
                </c:pt>
                <c:pt idx="733">
                  <c:v>35.801500000000246</c:v>
                </c:pt>
                <c:pt idx="734">
                  <c:v>35.801600000000249</c:v>
                </c:pt>
                <c:pt idx="735">
                  <c:v>35.801700000000253</c:v>
                </c:pt>
                <c:pt idx="736">
                  <c:v>35.801800000000256</c:v>
                </c:pt>
                <c:pt idx="737">
                  <c:v>35.801900000000259</c:v>
                </c:pt>
                <c:pt idx="738">
                  <c:v>35.802000000000263</c:v>
                </c:pt>
                <c:pt idx="739">
                  <c:v>35.802100000000266</c:v>
                </c:pt>
                <c:pt idx="740">
                  <c:v>35.802200000000269</c:v>
                </c:pt>
                <c:pt idx="741">
                  <c:v>35.802300000000272</c:v>
                </c:pt>
                <c:pt idx="742">
                  <c:v>35.802400000000276</c:v>
                </c:pt>
                <c:pt idx="743">
                  <c:v>35.802500000000279</c:v>
                </c:pt>
                <c:pt idx="744">
                  <c:v>35.802600000000282</c:v>
                </c:pt>
                <c:pt idx="745">
                  <c:v>35.802700000000286</c:v>
                </c:pt>
                <c:pt idx="746">
                  <c:v>35.802800000000289</c:v>
                </c:pt>
                <c:pt idx="747">
                  <c:v>35.802900000000292</c:v>
                </c:pt>
                <c:pt idx="748">
                  <c:v>35.803000000000296</c:v>
                </c:pt>
                <c:pt idx="749">
                  <c:v>35.803100000000299</c:v>
                </c:pt>
                <c:pt idx="750">
                  <c:v>35.803200000000302</c:v>
                </c:pt>
                <c:pt idx="751">
                  <c:v>35.803300000000306</c:v>
                </c:pt>
                <c:pt idx="752">
                  <c:v>35.803400000000309</c:v>
                </c:pt>
                <c:pt idx="753">
                  <c:v>35.803500000000312</c:v>
                </c:pt>
                <c:pt idx="754">
                  <c:v>35.803600000000316</c:v>
                </c:pt>
                <c:pt idx="755">
                  <c:v>35.803700000000319</c:v>
                </c:pt>
                <c:pt idx="756">
                  <c:v>35.803800000000322</c:v>
                </c:pt>
                <c:pt idx="757">
                  <c:v>35.803900000000326</c:v>
                </c:pt>
                <c:pt idx="758">
                  <c:v>35.804000000000329</c:v>
                </c:pt>
                <c:pt idx="759">
                  <c:v>35.804100000000332</c:v>
                </c:pt>
                <c:pt idx="760">
                  <c:v>35.804200000000336</c:v>
                </c:pt>
                <c:pt idx="761">
                  <c:v>35.804300000000339</c:v>
                </c:pt>
                <c:pt idx="762">
                  <c:v>35.804400000000342</c:v>
                </c:pt>
                <c:pt idx="763">
                  <c:v>35.804500000000345</c:v>
                </c:pt>
                <c:pt idx="764">
                  <c:v>35.804600000000349</c:v>
                </c:pt>
                <c:pt idx="765">
                  <c:v>35.804700000000352</c:v>
                </c:pt>
                <c:pt idx="766">
                  <c:v>35.804800000000355</c:v>
                </c:pt>
                <c:pt idx="767">
                  <c:v>35.804900000000359</c:v>
                </c:pt>
                <c:pt idx="768">
                  <c:v>35.805000000000362</c:v>
                </c:pt>
                <c:pt idx="769">
                  <c:v>35.805100000000365</c:v>
                </c:pt>
                <c:pt idx="770">
                  <c:v>35.805200000000369</c:v>
                </c:pt>
                <c:pt idx="771">
                  <c:v>35.805300000000372</c:v>
                </c:pt>
                <c:pt idx="772">
                  <c:v>35.805400000000375</c:v>
                </c:pt>
                <c:pt idx="773">
                  <c:v>35.805500000000379</c:v>
                </c:pt>
                <c:pt idx="774">
                  <c:v>35.805600000000382</c:v>
                </c:pt>
                <c:pt idx="775">
                  <c:v>35.805700000000385</c:v>
                </c:pt>
                <c:pt idx="776">
                  <c:v>35.805800000000389</c:v>
                </c:pt>
                <c:pt idx="777">
                  <c:v>35.805900000000392</c:v>
                </c:pt>
                <c:pt idx="778">
                  <c:v>35.806000000000395</c:v>
                </c:pt>
                <c:pt idx="779">
                  <c:v>35.806100000000399</c:v>
                </c:pt>
                <c:pt idx="780">
                  <c:v>35.806200000000402</c:v>
                </c:pt>
                <c:pt idx="781">
                  <c:v>35.806300000000405</c:v>
                </c:pt>
                <c:pt idx="782">
                  <c:v>35.806400000000409</c:v>
                </c:pt>
                <c:pt idx="783">
                  <c:v>35.806500000000412</c:v>
                </c:pt>
                <c:pt idx="784">
                  <c:v>35.806600000000415</c:v>
                </c:pt>
                <c:pt idx="785">
                  <c:v>35.806700000000419</c:v>
                </c:pt>
                <c:pt idx="786">
                  <c:v>35.806800000000422</c:v>
                </c:pt>
                <c:pt idx="787">
                  <c:v>35.806900000000425</c:v>
                </c:pt>
                <c:pt idx="788">
                  <c:v>35.807000000000428</c:v>
                </c:pt>
                <c:pt idx="789">
                  <c:v>35.807100000000432</c:v>
                </c:pt>
                <c:pt idx="790">
                  <c:v>35.807200000000435</c:v>
                </c:pt>
                <c:pt idx="791">
                  <c:v>35.807300000000438</c:v>
                </c:pt>
                <c:pt idx="792">
                  <c:v>35.807400000000442</c:v>
                </c:pt>
                <c:pt idx="793">
                  <c:v>35.807500000000445</c:v>
                </c:pt>
                <c:pt idx="794">
                  <c:v>35.807600000000448</c:v>
                </c:pt>
                <c:pt idx="795">
                  <c:v>35.807700000000452</c:v>
                </c:pt>
                <c:pt idx="796">
                  <c:v>35.807800000000455</c:v>
                </c:pt>
                <c:pt idx="797">
                  <c:v>35.807900000000458</c:v>
                </c:pt>
                <c:pt idx="798">
                  <c:v>35.808000000000462</c:v>
                </c:pt>
                <c:pt idx="799">
                  <c:v>35.808100000000465</c:v>
                </c:pt>
                <c:pt idx="800">
                  <c:v>35.808200000000468</c:v>
                </c:pt>
                <c:pt idx="801">
                  <c:v>35.808300000000472</c:v>
                </c:pt>
                <c:pt idx="802">
                  <c:v>35.808400000000475</c:v>
                </c:pt>
                <c:pt idx="803">
                  <c:v>35.808500000000478</c:v>
                </c:pt>
                <c:pt idx="804">
                  <c:v>35.808600000000482</c:v>
                </c:pt>
                <c:pt idx="805">
                  <c:v>35.808700000000485</c:v>
                </c:pt>
                <c:pt idx="806">
                  <c:v>35.808800000000488</c:v>
                </c:pt>
                <c:pt idx="807">
                  <c:v>35.808900000000492</c:v>
                </c:pt>
                <c:pt idx="808">
                  <c:v>35.809000000000495</c:v>
                </c:pt>
                <c:pt idx="809">
                  <c:v>35.809100000000498</c:v>
                </c:pt>
                <c:pt idx="810">
                  <c:v>35.809200000000502</c:v>
                </c:pt>
                <c:pt idx="811">
                  <c:v>35.809300000000505</c:v>
                </c:pt>
                <c:pt idx="812">
                  <c:v>35.809400000000508</c:v>
                </c:pt>
                <c:pt idx="813">
                  <c:v>35.809500000000511</c:v>
                </c:pt>
                <c:pt idx="814">
                  <c:v>35.809600000000515</c:v>
                </c:pt>
                <c:pt idx="815">
                  <c:v>35.809700000000518</c:v>
                </c:pt>
                <c:pt idx="816">
                  <c:v>35.809800000000521</c:v>
                </c:pt>
                <c:pt idx="817">
                  <c:v>35.809900000000525</c:v>
                </c:pt>
                <c:pt idx="818">
                  <c:v>35.810000000000528</c:v>
                </c:pt>
                <c:pt idx="819">
                  <c:v>35.810100000000531</c:v>
                </c:pt>
                <c:pt idx="820">
                  <c:v>35.810200000000535</c:v>
                </c:pt>
                <c:pt idx="821">
                  <c:v>35.810300000000538</c:v>
                </c:pt>
                <c:pt idx="822">
                  <c:v>35.810400000000541</c:v>
                </c:pt>
                <c:pt idx="823">
                  <c:v>35.810500000000545</c:v>
                </c:pt>
                <c:pt idx="824">
                  <c:v>35.810600000000548</c:v>
                </c:pt>
                <c:pt idx="825">
                  <c:v>35.810700000000551</c:v>
                </c:pt>
                <c:pt idx="826">
                  <c:v>35.810800000000555</c:v>
                </c:pt>
                <c:pt idx="827">
                  <c:v>35.810900000000558</c:v>
                </c:pt>
                <c:pt idx="828">
                  <c:v>35.811000000000561</c:v>
                </c:pt>
                <c:pt idx="829">
                  <c:v>35.811100000000565</c:v>
                </c:pt>
                <c:pt idx="830">
                  <c:v>35.811200000000568</c:v>
                </c:pt>
                <c:pt idx="831">
                  <c:v>35.811300000000571</c:v>
                </c:pt>
                <c:pt idx="832">
                  <c:v>35.811400000000575</c:v>
                </c:pt>
                <c:pt idx="833">
                  <c:v>35.811500000000578</c:v>
                </c:pt>
                <c:pt idx="834">
                  <c:v>35.811600000000581</c:v>
                </c:pt>
                <c:pt idx="835">
                  <c:v>35.811700000000585</c:v>
                </c:pt>
                <c:pt idx="836">
                  <c:v>35.811800000000588</c:v>
                </c:pt>
                <c:pt idx="837">
                  <c:v>35.811900000000591</c:v>
                </c:pt>
                <c:pt idx="838">
                  <c:v>35.812000000000594</c:v>
                </c:pt>
                <c:pt idx="839">
                  <c:v>35.812100000000598</c:v>
                </c:pt>
                <c:pt idx="840">
                  <c:v>35.812200000000601</c:v>
                </c:pt>
                <c:pt idx="841">
                  <c:v>35.812300000000604</c:v>
                </c:pt>
                <c:pt idx="842">
                  <c:v>35.812400000000608</c:v>
                </c:pt>
                <c:pt idx="843">
                  <c:v>35.812500000000611</c:v>
                </c:pt>
                <c:pt idx="844">
                  <c:v>35.812600000000614</c:v>
                </c:pt>
                <c:pt idx="845">
                  <c:v>35.812700000000618</c:v>
                </c:pt>
                <c:pt idx="846">
                  <c:v>35.812800000000621</c:v>
                </c:pt>
                <c:pt idx="847">
                  <c:v>35.812900000000624</c:v>
                </c:pt>
                <c:pt idx="848">
                  <c:v>35.813000000000628</c:v>
                </c:pt>
                <c:pt idx="849">
                  <c:v>35.813100000000631</c:v>
                </c:pt>
                <c:pt idx="850">
                  <c:v>35.813200000000634</c:v>
                </c:pt>
                <c:pt idx="851">
                  <c:v>35.813300000000638</c:v>
                </c:pt>
                <c:pt idx="852">
                  <c:v>35.813400000000641</c:v>
                </c:pt>
                <c:pt idx="853">
                  <c:v>35.813500000000644</c:v>
                </c:pt>
                <c:pt idx="854">
                  <c:v>35.813600000000648</c:v>
                </c:pt>
                <c:pt idx="855">
                  <c:v>35.813700000000651</c:v>
                </c:pt>
                <c:pt idx="856">
                  <c:v>35.813800000000654</c:v>
                </c:pt>
                <c:pt idx="857">
                  <c:v>35.813900000000658</c:v>
                </c:pt>
                <c:pt idx="858">
                  <c:v>35.814000000000661</c:v>
                </c:pt>
                <c:pt idx="859">
                  <c:v>35.814100000000664</c:v>
                </c:pt>
                <c:pt idx="860">
                  <c:v>35.814200000000668</c:v>
                </c:pt>
                <c:pt idx="861">
                  <c:v>35.814300000000671</c:v>
                </c:pt>
                <c:pt idx="862">
                  <c:v>35.814400000000674</c:v>
                </c:pt>
                <c:pt idx="863">
                  <c:v>35.814500000000677</c:v>
                </c:pt>
                <c:pt idx="864">
                  <c:v>35.814600000000681</c:v>
                </c:pt>
                <c:pt idx="865">
                  <c:v>35.814700000000684</c:v>
                </c:pt>
                <c:pt idx="866">
                  <c:v>35.814800000000687</c:v>
                </c:pt>
                <c:pt idx="867">
                  <c:v>35.814900000000691</c:v>
                </c:pt>
                <c:pt idx="868">
                  <c:v>35.815000000000694</c:v>
                </c:pt>
                <c:pt idx="869">
                  <c:v>35.815100000000697</c:v>
                </c:pt>
                <c:pt idx="870">
                  <c:v>35.815200000000701</c:v>
                </c:pt>
                <c:pt idx="871">
                  <c:v>35.815300000000704</c:v>
                </c:pt>
                <c:pt idx="872">
                  <c:v>35.815400000000707</c:v>
                </c:pt>
                <c:pt idx="873">
                  <c:v>35.815500000000711</c:v>
                </c:pt>
                <c:pt idx="874">
                  <c:v>35.815600000000714</c:v>
                </c:pt>
                <c:pt idx="875">
                  <c:v>35.815700000000717</c:v>
                </c:pt>
                <c:pt idx="876">
                  <c:v>35.815800000000721</c:v>
                </c:pt>
                <c:pt idx="877">
                  <c:v>35.815900000000724</c:v>
                </c:pt>
                <c:pt idx="878">
                  <c:v>35.816000000000727</c:v>
                </c:pt>
                <c:pt idx="879">
                  <c:v>35.816100000000731</c:v>
                </c:pt>
                <c:pt idx="880">
                  <c:v>35.816200000000734</c:v>
                </c:pt>
                <c:pt idx="881">
                  <c:v>35.816300000000737</c:v>
                </c:pt>
                <c:pt idx="882">
                  <c:v>35.816400000000741</c:v>
                </c:pt>
                <c:pt idx="883">
                  <c:v>35.816500000000744</c:v>
                </c:pt>
                <c:pt idx="884">
                  <c:v>35.816600000000747</c:v>
                </c:pt>
                <c:pt idx="885">
                  <c:v>35.81670000000075</c:v>
                </c:pt>
                <c:pt idx="886">
                  <c:v>35.816800000000754</c:v>
                </c:pt>
                <c:pt idx="887">
                  <c:v>35.816900000000757</c:v>
                </c:pt>
                <c:pt idx="888">
                  <c:v>35.81700000000076</c:v>
                </c:pt>
                <c:pt idx="889">
                  <c:v>35.817100000000764</c:v>
                </c:pt>
                <c:pt idx="890">
                  <c:v>35.817200000000767</c:v>
                </c:pt>
                <c:pt idx="891">
                  <c:v>35.81730000000077</c:v>
                </c:pt>
                <c:pt idx="892">
                  <c:v>35.817400000000774</c:v>
                </c:pt>
                <c:pt idx="893">
                  <c:v>35.817500000000777</c:v>
                </c:pt>
                <c:pt idx="894">
                  <c:v>35.81760000000078</c:v>
                </c:pt>
                <c:pt idx="895">
                  <c:v>35.817700000000784</c:v>
                </c:pt>
                <c:pt idx="896">
                  <c:v>35.817800000000787</c:v>
                </c:pt>
                <c:pt idx="897">
                  <c:v>35.81790000000079</c:v>
                </c:pt>
                <c:pt idx="898">
                  <c:v>35.818000000000794</c:v>
                </c:pt>
                <c:pt idx="899">
                  <c:v>35.818100000000797</c:v>
                </c:pt>
                <c:pt idx="900">
                  <c:v>35.8182000000008</c:v>
                </c:pt>
                <c:pt idx="901">
                  <c:v>35.818300000000804</c:v>
                </c:pt>
                <c:pt idx="902">
                  <c:v>35.818400000000807</c:v>
                </c:pt>
                <c:pt idx="903">
                  <c:v>35.81850000000081</c:v>
                </c:pt>
                <c:pt idx="904">
                  <c:v>35.818600000000814</c:v>
                </c:pt>
                <c:pt idx="905">
                  <c:v>35.818700000000817</c:v>
                </c:pt>
                <c:pt idx="906">
                  <c:v>35.81880000000082</c:v>
                </c:pt>
                <c:pt idx="907">
                  <c:v>35.818900000000824</c:v>
                </c:pt>
                <c:pt idx="908">
                  <c:v>35.819000000000827</c:v>
                </c:pt>
                <c:pt idx="909">
                  <c:v>35.81910000000083</c:v>
                </c:pt>
                <c:pt idx="910">
                  <c:v>35.819200000000833</c:v>
                </c:pt>
                <c:pt idx="911">
                  <c:v>35.819300000000837</c:v>
                </c:pt>
                <c:pt idx="912">
                  <c:v>35.81940000000084</c:v>
                </c:pt>
                <c:pt idx="913">
                  <c:v>35.819500000000843</c:v>
                </c:pt>
                <c:pt idx="914">
                  <c:v>35.819600000000847</c:v>
                </c:pt>
                <c:pt idx="915">
                  <c:v>35.81970000000085</c:v>
                </c:pt>
                <c:pt idx="916">
                  <c:v>35.819800000000853</c:v>
                </c:pt>
                <c:pt idx="917">
                  <c:v>35.819900000000857</c:v>
                </c:pt>
                <c:pt idx="918">
                  <c:v>35.82000000000086</c:v>
                </c:pt>
                <c:pt idx="919">
                  <c:v>35.820100000000863</c:v>
                </c:pt>
                <c:pt idx="920">
                  <c:v>35.820200000000867</c:v>
                </c:pt>
                <c:pt idx="921">
                  <c:v>35.82030000000087</c:v>
                </c:pt>
                <c:pt idx="922">
                  <c:v>35.820400000000873</c:v>
                </c:pt>
                <c:pt idx="923">
                  <c:v>35.820500000000877</c:v>
                </c:pt>
                <c:pt idx="924">
                  <c:v>35.82060000000088</c:v>
                </c:pt>
                <c:pt idx="925">
                  <c:v>35.820700000000883</c:v>
                </c:pt>
                <c:pt idx="926">
                  <c:v>35.820800000000887</c:v>
                </c:pt>
                <c:pt idx="927">
                  <c:v>35.82090000000089</c:v>
                </c:pt>
                <c:pt idx="928">
                  <c:v>35.821000000000893</c:v>
                </c:pt>
                <c:pt idx="929">
                  <c:v>35.821100000000897</c:v>
                </c:pt>
                <c:pt idx="930">
                  <c:v>35.8212000000009</c:v>
                </c:pt>
                <c:pt idx="931">
                  <c:v>35.821300000000903</c:v>
                </c:pt>
                <c:pt idx="932">
                  <c:v>35.821400000000907</c:v>
                </c:pt>
                <c:pt idx="933">
                  <c:v>35.82150000000091</c:v>
                </c:pt>
                <c:pt idx="934">
                  <c:v>35.821600000000913</c:v>
                </c:pt>
                <c:pt idx="935">
                  <c:v>35.821700000000916</c:v>
                </c:pt>
                <c:pt idx="936">
                  <c:v>35.82180000000092</c:v>
                </c:pt>
                <c:pt idx="937">
                  <c:v>35.821900000000923</c:v>
                </c:pt>
                <c:pt idx="938">
                  <c:v>35.822000000000926</c:v>
                </c:pt>
                <c:pt idx="939">
                  <c:v>35.82210000000093</c:v>
                </c:pt>
                <c:pt idx="940">
                  <c:v>35.822200000000933</c:v>
                </c:pt>
                <c:pt idx="941">
                  <c:v>35.822300000000936</c:v>
                </c:pt>
                <c:pt idx="942">
                  <c:v>35.82240000000094</c:v>
                </c:pt>
                <c:pt idx="943">
                  <c:v>35.822500000000943</c:v>
                </c:pt>
                <c:pt idx="944">
                  <c:v>35.822600000000946</c:v>
                </c:pt>
                <c:pt idx="945">
                  <c:v>35.82270000000095</c:v>
                </c:pt>
                <c:pt idx="946">
                  <c:v>35.822800000000953</c:v>
                </c:pt>
                <c:pt idx="947">
                  <c:v>35.822900000000956</c:v>
                </c:pt>
                <c:pt idx="948">
                  <c:v>35.82300000000096</c:v>
                </c:pt>
                <c:pt idx="949">
                  <c:v>35.823100000000963</c:v>
                </c:pt>
                <c:pt idx="950">
                  <c:v>35.823200000000966</c:v>
                </c:pt>
                <c:pt idx="951">
                  <c:v>35.82330000000097</c:v>
                </c:pt>
                <c:pt idx="952">
                  <c:v>35.823400000000973</c:v>
                </c:pt>
                <c:pt idx="953">
                  <c:v>35.823500000000976</c:v>
                </c:pt>
                <c:pt idx="954">
                  <c:v>35.82360000000098</c:v>
                </c:pt>
                <c:pt idx="955">
                  <c:v>35.823700000000983</c:v>
                </c:pt>
                <c:pt idx="956">
                  <c:v>35.823800000000986</c:v>
                </c:pt>
                <c:pt idx="957">
                  <c:v>35.82390000000099</c:v>
                </c:pt>
                <c:pt idx="958">
                  <c:v>35.824000000000993</c:v>
                </c:pt>
                <c:pt idx="959">
                  <c:v>35.824100000000996</c:v>
                </c:pt>
                <c:pt idx="960">
                  <c:v>35.824200000000999</c:v>
                </c:pt>
                <c:pt idx="961">
                  <c:v>35.824300000001003</c:v>
                </c:pt>
                <c:pt idx="962">
                  <c:v>35.824400000001006</c:v>
                </c:pt>
                <c:pt idx="963">
                  <c:v>35.824500000001009</c:v>
                </c:pt>
                <c:pt idx="964">
                  <c:v>35.824600000001013</c:v>
                </c:pt>
                <c:pt idx="965">
                  <c:v>35.824700000001016</c:v>
                </c:pt>
                <c:pt idx="966">
                  <c:v>35.824800000001019</c:v>
                </c:pt>
                <c:pt idx="967">
                  <c:v>35.824900000001023</c:v>
                </c:pt>
                <c:pt idx="968">
                  <c:v>35.825000000001026</c:v>
                </c:pt>
                <c:pt idx="969">
                  <c:v>35.825100000001029</c:v>
                </c:pt>
                <c:pt idx="970">
                  <c:v>35.825200000001033</c:v>
                </c:pt>
                <c:pt idx="971">
                  <c:v>35.825300000001036</c:v>
                </c:pt>
                <c:pt idx="972">
                  <c:v>35.825400000001039</c:v>
                </c:pt>
                <c:pt idx="973">
                  <c:v>35.825500000001043</c:v>
                </c:pt>
                <c:pt idx="974">
                  <c:v>35.825600000001046</c:v>
                </c:pt>
                <c:pt idx="975">
                  <c:v>35.825700000001049</c:v>
                </c:pt>
                <c:pt idx="976">
                  <c:v>35.825800000001053</c:v>
                </c:pt>
                <c:pt idx="977">
                  <c:v>35.825900000001056</c:v>
                </c:pt>
                <c:pt idx="978">
                  <c:v>35.826000000001059</c:v>
                </c:pt>
                <c:pt idx="979">
                  <c:v>35.826100000001063</c:v>
                </c:pt>
                <c:pt idx="980">
                  <c:v>35.826200000001066</c:v>
                </c:pt>
                <c:pt idx="981">
                  <c:v>35.826300000001069</c:v>
                </c:pt>
                <c:pt idx="982">
                  <c:v>35.826400000001072</c:v>
                </c:pt>
                <c:pt idx="983">
                  <c:v>35.826500000001076</c:v>
                </c:pt>
                <c:pt idx="984">
                  <c:v>35.826600000001079</c:v>
                </c:pt>
                <c:pt idx="985">
                  <c:v>35.826700000001082</c:v>
                </c:pt>
                <c:pt idx="986">
                  <c:v>35.826800000001086</c:v>
                </c:pt>
                <c:pt idx="987">
                  <c:v>35.826900000001089</c:v>
                </c:pt>
                <c:pt idx="988">
                  <c:v>35.827000000001092</c:v>
                </c:pt>
                <c:pt idx="989">
                  <c:v>35.827100000001096</c:v>
                </c:pt>
                <c:pt idx="990">
                  <c:v>35.827200000001099</c:v>
                </c:pt>
                <c:pt idx="991">
                  <c:v>35.827300000001102</c:v>
                </c:pt>
                <c:pt idx="992">
                  <c:v>35.827400000001106</c:v>
                </c:pt>
                <c:pt idx="993">
                  <c:v>35.827500000001109</c:v>
                </c:pt>
                <c:pt idx="994">
                  <c:v>35.827600000001112</c:v>
                </c:pt>
                <c:pt idx="995">
                  <c:v>35.827700000001116</c:v>
                </c:pt>
                <c:pt idx="996">
                  <c:v>35.827800000001119</c:v>
                </c:pt>
                <c:pt idx="997">
                  <c:v>35.827900000001122</c:v>
                </c:pt>
                <c:pt idx="998">
                  <c:v>35.828000000001126</c:v>
                </c:pt>
                <c:pt idx="999">
                  <c:v>35.828100000001129</c:v>
                </c:pt>
                <c:pt idx="1000">
                  <c:v>35.828200000001132</c:v>
                </c:pt>
              </c:numCache>
            </c:numRef>
          </c:xVal>
          <c:yVal>
            <c:numRef>
              <c:f>Calculs!$Q$4:$Q$1004</c:f>
              <c:numCache>
                <c:formatCode>0.00</c:formatCode>
                <c:ptCount val="1001"/>
                <c:pt idx="0">
                  <c:v>0</c:v>
                </c:pt>
                <c:pt idx="1">
                  <c:v>89.3</c:v>
                </c:pt>
                <c:pt idx="2">
                  <c:v>267.89999999999998</c:v>
                </c:pt>
                <c:pt idx="3">
                  <c:v>446.49999999999994</c:v>
                </c:pt>
                <c:pt idx="4">
                  <c:v>625.1</c:v>
                </c:pt>
                <c:pt idx="5">
                  <c:v>803.7</c:v>
                </c:pt>
                <c:pt idx="6">
                  <c:v>891.94444444444446</c:v>
                </c:pt>
                <c:pt idx="7">
                  <c:v>889.83333333333337</c:v>
                </c:pt>
                <c:pt idx="8">
                  <c:v>887.72222222222217</c:v>
                </c:pt>
                <c:pt idx="9">
                  <c:v>885.61111111111109</c:v>
                </c:pt>
                <c:pt idx="10">
                  <c:v>883.5</c:v>
                </c:pt>
                <c:pt idx="11">
                  <c:v>881.38888888888891</c:v>
                </c:pt>
                <c:pt idx="12">
                  <c:v>879.27777777777783</c:v>
                </c:pt>
                <c:pt idx="13">
                  <c:v>877.16666666666663</c:v>
                </c:pt>
                <c:pt idx="14">
                  <c:v>875.05555555555554</c:v>
                </c:pt>
                <c:pt idx="15">
                  <c:v>872.94444444444446</c:v>
                </c:pt>
                <c:pt idx="16">
                  <c:v>870.83333333333337</c:v>
                </c:pt>
                <c:pt idx="17">
                  <c:v>868.72222222222217</c:v>
                </c:pt>
                <c:pt idx="18">
                  <c:v>866.61111111111109</c:v>
                </c:pt>
                <c:pt idx="19">
                  <c:v>864.5</c:v>
                </c:pt>
                <c:pt idx="20">
                  <c:v>862.38888888888891</c:v>
                </c:pt>
                <c:pt idx="21">
                  <c:v>860.27777777777783</c:v>
                </c:pt>
                <c:pt idx="22">
                  <c:v>858.16666666666663</c:v>
                </c:pt>
                <c:pt idx="23">
                  <c:v>856.05555555555554</c:v>
                </c:pt>
                <c:pt idx="24">
                  <c:v>853.94444444444446</c:v>
                </c:pt>
                <c:pt idx="25">
                  <c:v>851.83333333333337</c:v>
                </c:pt>
                <c:pt idx="26">
                  <c:v>849.72222222222217</c:v>
                </c:pt>
                <c:pt idx="27">
                  <c:v>847.61111111111109</c:v>
                </c:pt>
                <c:pt idx="28">
                  <c:v>845.5</c:v>
                </c:pt>
                <c:pt idx="29">
                  <c:v>843.38888888888891</c:v>
                </c:pt>
                <c:pt idx="30">
                  <c:v>841.27777777777771</c:v>
                </c:pt>
                <c:pt idx="31">
                  <c:v>839.16666666666663</c:v>
                </c:pt>
                <c:pt idx="32">
                  <c:v>837.05555555555554</c:v>
                </c:pt>
                <c:pt idx="33">
                  <c:v>834.94444444444446</c:v>
                </c:pt>
                <c:pt idx="34">
                  <c:v>832.83333333333326</c:v>
                </c:pt>
                <c:pt idx="35">
                  <c:v>830.72222222222217</c:v>
                </c:pt>
                <c:pt idx="36">
                  <c:v>828.61111111111109</c:v>
                </c:pt>
                <c:pt idx="37">
                  <c:v>826.5</c:v>
                </c:pt>
                <c:pt idx="38">
                  <c:v>824.38888888888891</c:v>
                </c:pt>
                <c:pt idx="39">
                  <c:v>822.27777777777771</c:v>
                </c:pt>
                <c:pt idx="40">
                  <c:v>820.16666666666663</c:v>
                </c:pt>
                <c:pt idx="41">
                  <c:v>818.05555555555554</c:v>
                </c:pt>
                <c:pt idx="42">
                  <c:v>815.94444444444434</c:v>
                </c:pt>
                <c:pt idx="43">
                  <c:v>813.83333333333326</c:v>
                </c:pt>
                <c:pt idx="44">
                  <c:v>811.72222222222217</c:v>
                </c:pt>
                <c:pt idx="45">
                  <c:v>809.61111111111109</c:v>
                </c:pt>
                <c:pt idx="46">
                  <c:v>807.5</c:v>
                </c:pt>
                <c:pt idx="47">
                  <c:v>805.3888888888888</c:v>
                </c:pt>
                <c:pt idx="48">
                  <c:v>803.27777777777771</c:v>
                </c:pt>
                <c:pt idx="49">
                  <c:v>801.16666666666663</c:v>
                </c:pt>
                <c:pt idx="50">
                  <c:v>799.05555555555554</c:v>
                </c:pt>
                <c:pt idx="51">
                  <c:v>797.41</c:v>
                </c:pt>
                <c:pt idx="52">
                  <c:v>796.23</c:v>
                </c:pt>
                <c:pt idx="53">
                  <c:v>795.05</c:v>
                </c:pt>
                <c:pt idx="54">
                  <c:v>793.87</c:v>
                </c:pt>
                <c:pt idx="55">
                  <c:v>792.68999999999994</c:v>
                </c:pt>
                <c:pt idx="56">
                  <c:v>791.51</c:v>
                </c:pt>
                <c:pt idx="57">
                  <c:v>790.32999999999993</c:v>
                </c:pt>
                <c:pt idx="58">
                  <c:v>789.15</c:v>
                </c:pt>
                <c:pt idx="59">
                  <c:v>787.96999999999991</c:v>
                </c:pt>
                <c:pt idx="60">
                  <c:v>786.79</c:v>
                </c:pt>
                <c:pt idx="61">
                  <c:v>785.61</c:v>
                </c:pt>
                <c:pt idx="62">
                  <c:v>784.43</c:v>
                </c:pt>
                <c:pt idx="63">
                  <c:v>783.25</c:v>
                </c:pt>
                <c:pt idx="64">
                  <c:v>782.06999999999994</c:v>
                </c:pt>
                <c:pt idx="65">
                  <c:v>780.89</c:v>
                </c:pt>
                <c:pt idx="66">
                  <c:v>779.70999999999992</c:v>
                </c:pt>
                <c:pt idx="67">
                  <c:v>778.53</c:v>
                </c:pt>
                <c:pt idx="68">
                  <c:v>777.34999999999991</c:v>
                </c:pt>
                <c:pt idx="69">
                  <c:v>776.17</c:v>
                </c:pt>
                <c:pt idx="70">
                  <c:v>774.99</c:v>
                </c:pt>
                <c:pt idx="71">
                  <c:v>773.81</c:v>
                </c:pt>
                <c:pt idx="72">
                  <c:v>772.63</c:v>
                </c:pt>
                <c:pt idx="73">
                  <c:v>771.44999999999993</c:v>
                </c:pt>
                <c:pt idx="74">
                  <c:v>770.27</c:v>
                </c:pt>
                <c:pt idx="75">
                  <c:v>769.08999999999992</c:v>
                </c:pt>
                <c:pt idx="76">
                  <c:v>767.91</c:v>
                </c:pt>
                <c:pt idx="77">
                  <c:v>766.7299999999999</c:v>
                </c:pt>
                <c:pt idx="78">
                  <c:v>765.55</c:v>
                </c:pt>
                <c:pt idx="79">
                  <c:v>764.36999999999989</c:v>
                </c:pt>
                <c:pt idx="80">
                  <c:v>763.18999999999994</c:v>
                </c:pt>
                <c:pt idx="81">
                  <c:v>762.01</c:v>
                </c:pt>
                <c:pt idx="82">
                  <c:v>760.82999999999993</c:v>
                </c:pt>
                <c:pt idx="83">
                  <c:v>759.65</c:v>
                </c:pt>
                <c:pt idx="84">
                  <c:v>758.46999999999991</c:v>
                </c:pt>
                <c:pt idx="85">
                  <c:v>757.29</c:v>
                </c:pt>
                <c:pt idx="86">
                  <c:v>756.1099999999999</c:v>
                </c:pt>
                <c:pt idx="87">
                  <c:v>754.93</c:v>
                </c:pt>
                <c:pt idx="88">
                  <c:v>753.74999999999989</c:v>
                </c:pt>
                <c:pt idx="89">
                  <c:v>752.56999999999994</c:v>
                </c:pt>
                <c:pt idx="90">
                  <c:v>751.38999999999987</c:v>
                </c:pt>
                <c:pt idx="91">
                  <c:v>750.20999999999992</c:v>
                </c:pt>
                <c:pt idx="92">
                  <c:v>749.03</c:v>
                </c:pt>
                <c:pt idx="93">
                  <c:v>747.84999999999991</c:v>
                </c:pt>
                <c:pt idx="94">
                  <c:v>746.67</c:v>
                </c:pt>
                <c:pt idx="95">
                  <c:v>745.4899999999999</c:v>
                </c:pt>
                <c:pt idx="96">
                  <c:v>744.31</c:v>
                </c:pt>
                <c:pt idx="97">
                  <c:v>743.12999999999988</c:v>
                </c:pt>
                <c:pt idx="98">
                  <c:v>741.94999999999993</c:v>
                </c:pt>
                <c:pt idx="99">
                  <c:v>740.77</c:v>
                </c:pt>
                <c:pt idx="100">
                  <c:v>739.58999999999992</c:v>
                </c:pt>
                <c:pt idx="101">
                  <c:v>738.19999999999982</c:v>
                </c:pt>
                <c:pt idx="102">
                  <c:v>736.59999999999991</c:v>
                </c:pt>
                <c:pt idx="103">
                  <c:v>734.99999999999989</c:v>
                </c:pt>
                <c:pt idx="104">
                  <c:v>733.39999999999986</c:v>
                </c:pt>
                <c:pt idx="105">
                  <c:v>731.79999999999984</c:v>
                </c:pt>
                <c:pt idx="106">
                  <c:v>730.19999999999982</c:v>
                </c:pt>
                <c:pt idx="107">
                  <c:v>728.59999999999991</c:v>
                </c:pt>
                <c:pt idx="108">
                  <c:v>726.99999999999989</c:v>
                </c:pt>
                <c:pt idx="109">
                  <c:v>725.39999999999986</c:v>
                </c:pt>
                <c:pt idx="110">
                  <c:v>723.79999999999984</c:v>
                </c:pt>
                <c:pt idx="111">
                  <c:v>722.19999999999982</c:v>
                </c:pt>
                <c:pt idx="112">
                  <c:v>720.59999999999991</c:v>
                </c:pt>
                <c:pt idx="113">
                  <c:v>718.99999999999989</c:v>
                </c:pt>
                <c:pt idx="114">
                  <c:v>717.39999999999986</c:v>
                </c:pt>
                <c:pt idx="115">
                  <c:v>715.79999999999984</c:v>
                </c:pt>
                <c:pt idx="116">
                  <c:v>714.19999999999982</c:v>
                </c:pt>
                <c:pt idx="117">
                  <c:v>712.59999999999991</c:v>
                </c:pt>
                <c:pt idx="118">
                  <c:v>710.99999999999989</c:v>
                </c:pt>
                <c:pt idx="119">
                  <c:v>709.39999999999986</c:v>
                </c:pt>
                <c:pt idx="120">
                  <c:v>707.79999999999984</c:v>
                </c:pt>
                <c:pt idx="121">
                  <c:v>706.19999999999982</c:v>
                </c:pt>
                <c:pt idx="122">
                  <c:v>704.5999999999998</c:v>
                </c:pt>
                <c:pt idx="123">
                  <c:v>702.99999999999989</c:v>
                </c:pt>
                <c:pt idx="124">
                  <c:v>701.39999999999986</c:v>
                </c:pt>
                <c:pt idx="125">
                  <c:v>699.79999999999984</c:v>
                </c:pt>
                <c:pt idx="126">
                  <c:v>698.19999999999982</c:v>
                </c:pt>
                <c:pt idx="127">
                  <c:v>696.5999999999998</c:v>
                </c:pt>
                <c:pt idx="128">
                  <c:v>694.99999999999989</c:v>
                </c:pt>
                <c:pt idx="129">
                  <c:v>693.39999999999986</c:v>
                </c:pt>
                <c:pt idx="130">
                  <c:v>691.79999999999984</c:v>
                </c:pt>
                <c:pt idx="131">
                  <c:v>690.19999999999982</c:v>
                </c:pt>
                <c:pt idx="132">
                  <c:v>688.5999999999998</c:v>
                </c:pt>
                <c:pt idx="133">
                  <c:v>686.99999999999977</c:v>
                </c:pt>
                <c:pt idx="134">
                  <c:v>685.39999999999986</c:v>
                </c:pt>
                <c:pt idx="135">
                  <c:v>683.79999999999984</c:v>
                </c:pt>
                <c:pt idx="136">
                  <c:v>682.19999999999982</c:v>
                </c:pt>
                <c:pt idx="137">
                  <c:v>680.5999999999998</c:v>
                </c:pt>
                <c:pt idx="138">
                  <c:v>678.99999999999977</c:v>
                </c:pt>
                <c:pt idx="139">
                  <c:v>677.39999999999986</c:v>
                </c:pt>
                <c:pt idx="140">
                  <c:v>675.79999999999984</c:v>
                </c:pt>
                <c:pt idx="141">
                  <c:v>674.19999999999982</c:v>
                </c:pt>
                <c:pt idx="142">
                  <c:v>672.5999999999998</c:v>
                </c:pt>
                <c:pt idx="143">
                  <c:v>670.99999999999977</c:v>
                </c:pt>
                <c:pt idx="144">
                  <c:v>669.39999999999986</c:v>
                </c:pt>
                <c:pt idx="145">
                  <c:v>667.79999999999984</c:v>
                </c:pt>
                <c:pt idx="146">
                  <c:v>666.19999999999982</c:v>
                </c:pt>
                <c:pt idx="147">
                  <c:v>664.5999999999998</c:v>
                </c:pt>
                <c:pt idx="148">
                  <c:v>662.99999999999977</c:v>
                </c:pt>
                <c:pt idx="149">
                  <c:v>661.39999999999986</c:v>
                </c:pt>
                <c:pt idx="150">
                  <c:v>659.79999999999984</c:v>
                </c:pt>
                <c:pt idx="151">
                  <c:v>658.26999999999987</c:v>
                </c:pt>
                <c:pt idx="152">
                  <c:v>656.80999999999983</c:v>
                </c:pt>
                <c:pt idx="153">
                  <c:v>655.3499999999998</c:v>
                </c:pt>
                <c:pt idx="154">
                  <c:v>653.88999999999987</c:v>
                </c:pt>
                <c:pt idx="155">
                  <c:v>652.42999999999984</c:v>
                </c:pt>
                <c:pt idx="156">
                  <c:v>650.9699999999998</c:v>
                </c:pt>
                <c:pt idx="157">
                  <c:v>649.50999999999976</c:v>
                </c:pt>
                <c:pt idx="158">
                  <c:v>648.04999999999984</c:v>
                </c:pt>
                <c:pt idx="159">
                  <c:v>646.5899999999998</c:v>
                </c:pt>
                <c:pt idx="160">
                  <c:v>645.12999999999977</c:v>
                </c:pt>
                <c:pt idx="161">
                  <c:v>643.66999999999985</c:v>
                </c:pt>
                <c:pt idx="162">
                  <c:v>642.20999999999981</c:v>
                </c:pt>
                <c:pt idx="163">
                  <c:v>640.74999999999977</c:v>
                </c:pt>
                <c:pt idx="164">
                  <c:v>639.28999999999985</c:v>
                </c:pt>
                <c:pt idx="165">
                  <c:v>637.82999999999981</c:v>
                </c:pt>
                <c:pt idx="166">
                  <c:v>636.36999999999978</c:v>
                </c:pt>
                <c:pt idx="167">
                  <c:v>634.90999999999985</c:v>
                </c:pt>
                <c:pt idx="168">
                  <c:v>633.44999999999982</c:v>
                </c:pt>
                <c:pt idx="169">
                  <c:v>631.98999999999978</c:v>
                </c:pt>
                <c:pt idx="170">
                  <c:v>630.52999999999975</c:v>
                </c:pt>
                <c:pt idx="171">
                  <c:v>629.06999999999982</c:v>
                </c:pt>
                <c:pt idx="172">
                  <c:v>627.60999999999979</c:v>
                </c:pt>
                <c:pt idx="173">
                  <c:v>626.14999999999975</c:v>
                </c:pt>
                <c:pt idx="174">
                  <c:v>624.68999999999983</c:v>
                </c:pt>
                <c:pt idx="175">
                  <c:v>623.22999999999979</c:v>
                </c:pt>
                <c:pt idx="176">
                  <c:v>621.76999999999975</c:v>
                </c:pt>
                <c:pt idx="177">
                  <c:v>620.30999999999983</c:v>
                </c:pt>
                <c:pt idx="178">
                  <c:v>618.8499999999998</c:v>
                </c:pt>
                <c:pt idx="179">
                  <c:v>617.38999999999976</c:v>
                </c:pt>
                <c:pt idx="180">
                  <c:v>615.92999999999984</c:v>
                </c:pt>
                <c:pt idx="181">
                  <c:v>614.4699999999998</c:v>
                </c:pt>
                <c:pt idx="182">
                  <c:v>613.00999999999976</c:v>
                </c:pt>
                <c:pt idx="183">
                  <c:v>611.54999999999973</c:v>
                </c:pt>
                <c:pt idx="184">
                  <c:v>610.0899999999998</c:v>
                </c:pt>
                <c:pt idx="185">
                  <c:v>608.62999999999977</c:v>
                </c:pt>
                <c:pt idx="186">
                  <c:v>607.16999999999973</c:v>
                </c:pt>
                <c:pt idx="187">
                  <c:v>605.70999999999981</c:v>
                </c:pt>
                <c:pt idx="188">
                  <c:v>604.24999999999977</c:v>
                </c:pt>
                <c:pt idx="189">
                  <c:v>602.78999999999974</c:v>
                </c:pt>
                <c:pt idx="190">
                  <c:v>601.32999999999981</c:v>
                </c:pt>
                <c:pt idx="191">
                  <c:v>599.86999999999978</c:v>
                </c:pt>
                <c:pt idx="192">
                  <c:v>598.40999999999974</c:v>
                </c:pt>
                <c:pt idx="193">
                  <c:v>596.94999999999982</c:v>
                </c:pt>
                <c:pt idx="194">
                  <c:v>595.48999999999978</c:v>
                </c:pt>
                <c:pt idx="195">
                  <c:v>594.02999999999975</c:v>
                </c:pt>
                <c:pt idx="196">
                  <c:v>592.56999999999971</c:v>
                </c:pt>
                <c:pt idx="197">
                  <c:v>591.10999999999979</c:v>
                </c:pt>
                <c:pt idx="198">
                  <c:v>589.64999999999975</c:v>
                </c:pt>
                <c:pt idx="199">
                  <c:v>588.18999999999971</c:v>
                </c:pt>
                <c:pt idx="200">
                  <c:v>586.72999999999979</c:v>
                </c:pt>
                <c:pt idx="201">
                  <c:v>585.26999999999987</c:v>
                </c:pt>
                <c:pt idx="202">
                  <c:v>583.80999999999983</c:v>
                </c:pt>
                <c:pt idx="203">
                  <c:v>582.34999999999991</c:v>
                </c:pt>
                <c:pt idx="204">
                  <c:v>580.88999999999987</c:v>
                </c:pt>
                <c:pt idx="205">
                  <c:v>579.42999999999995</c:v>
                </c:pt>
                <c:pt idx="206">
                  <c:v>577.97</c:v>
                </c:pt>
                <c:pt idx="207">
                  <c:v>576.51</c:v>
                </c:pt>
                <c:pt idx="208">
                  <c:v>575.05000000000007</c:v>
                </c:pt>
                <c:pt idx="209">
                  <c:v>573.59</c:v>
                </c:pt>
                <c:pt idx="210">
                  <c:v>572.13000000000011</c:v>
                </c:pt>
                <c:pt idx="211">
                  <c:v>570.67000000000019</c:v>
                </c:pt>
                <c:pt idx="212">
                  <c:v>569.21000000000015</c:v>
                </c:pt>
                <c:pt idx="213">
                  <c:v>567.75000000000023</c:v>
                </c:pt>
                <c:pt idx="214">
                  <c:v>566.29000000000019</c:v>
                </c:pt>
                <c:pt idx="215">
                  <c:v>564.83000000000027</c:v>
                </c:pt>
                <c:pt idx="216">
                  <c:v>563.37000000000035</c:v>
                </c:pt>
                <c:pt idx="217">
                  <c:v>561.91000000000031</c:v>
                </c:pt>
                <c:pt idx="218">
                  <c:v>560.45000000000039</c:v>
                </c:pt>
                <c:pt idx="219">
                  <c:v>558.99000000000035</c:v>
                </c:pt>
                <c:pt idx="220">
                  <c:v>557.53000000000043</c:v>
                </c:pt>
                <c:pt idx="221">
                  <c:v>556.07000000000039</c:v>
                </c:pt>
                <c:pt idx="222">
                  <c:v>554.61000000000047</c:v>
                </c:pt>
                <c:pt idx="223">
                  <c:v>553.15000000000055</c:v>
                </c:pt>
                <c:pt idx="224">
                  <c:v>551.69000000000051</c:v>
                </c:pt>
                <c:pt idx="225">
                  <c:v>550.23000000000059</c:v>
                </c:pt>
                <c:pt idx="226">
                  <c:v>548.77000000000055</c:v>
                </c:pt>
                <c:pt idx="227">
                  <c:v>547.31000000000063</c:v>
                </c:pt>
                <c:pt idx="228">
                  <c:v>545.8500000000007</c:v>
                </c:pt>
                <c:pt idx="229">
                  <c:v>544.39000000000067</c:v>
                </c:pt>
                <c:pt idx="230">
                  <c:v>542.93000000000075</c:v>
                </c:pt>
                <c:pt idx="231">
                  <c:v>541.47000000000071</c:v>
                </c:pt>
                <c:pt idx="232">
                  <c:v>540.01000000000079</c:v>
                </c:pt>
                <c:pt idx="233">
                  <c:v>538.55000000000086</c:v>
                </c:pt>
                <c:pt idx="234">
                  <c:v>537.09000000000083</c:v>
                </c:pt>
                <c:pt idx="235">
                  <c:v>535.6300000000009</c:v>
                </c:pt>
                <c:pt idx="236">
                  <c:v>534.17000000000087</c:v>
                </c:pt>
                <c:pt idx="237">
                  <c:v>532.71000000000095</c:v>
                </c:pt>
                <c:pt idx="238">
                  <c:v>531.25000000000102</c:v>
                </c:pt>
                <c:pt idx="239">
                  <c:v>529.79000000000099</c:v>
                </c:pt>
                <c:pt idx="240">
                  <c:v>528.33000000000106</c:v>
                </c:pt>
                <c:pt idx="241">
                  <c:v>526.87000000000103</c:v>
                </c:pt>
                <c:pt idx="242">
                  <c:v>525.41000000000111</c:v>
                </c:pt>
                <c:pt idx="243">
                  <c:v>523.95000000000118</c:v>
                </c:pt>
                <c:pt idx="244">
                  <c:v>522.49000000000115</c:v>
                </c:pt>
                <c:pt idx="245">
                  <c:v>521.03000000000122</c:v>
                </c:pt>
                <c:pt idx="246">
                  <c:v>519.57000000000119</c:v>
                </c:pt>
                <c:pt idx="247">
                  <c:v>518.11000000000126</c:v>
                </c:pt>
                <c:pt idx="248">
                  <c:v>516.65000000000123</c:v>
                </c:pt>
                <c:pt idx="249">
                  <c:v>515.19000000000131</c:v>
                </c:pt>
                <c:pt idx="250">
                  <c:v>513.73000000000138</c:v>
                </c:pt>
                <c:pt idx="251">
                  <c:v>511.97872340425727</c:v>
                </c:pt>
                <c:pt idx="252">
                  <c:v>509.93617021276793</c:v>
                </c:pt>
                <c:pt idx="253">
                  <c:v>507.8936170212786</c:v>
                </c:pt>
                <c:pt idx="254">
                  <c:v>505.85106382978927</c:v>
                </c:pt>
                <c:pt idx="255">
                  <c:v>503.80851063829999</c:v>
                </c:pt>
                <c:pt idx="256">
                  <c:v>501.76595744681066</c:v>
                </c:pt>
                <c:pt idx="257">
                  <c:v>499.72340425532133</c:v>
                </c:pt>
                <c:pt idx="258">
                  <c:v>497.68085106383205</c:v>
                </c:pt>
                <c:pt idx="259">
                  <c:v>495.63829787234272</c:v>
                </c:pt>
                <c:pt idx="260">
                  <c:v>493.59574468085339</c:v>
                </c:pt>
                <c:pt idx="261">
                  <c:v>491.55319148936405</c:v>
                </c:pt>
                <c:pt idx="262">
                  <c:v>489.51063829787478</c:v>
                </c:pt>
                <c:pt idx="263">
                  <c:v>487.46808510638544</c:v>
                </c:pt>
                <c:pt idx="264">
                  <c:v>485.42553191489611</c:v>
                </c:pt>
                <c:pt idx="265">
                  <c:v>483.38297872340678</c:v>
                </c:pt>
                <c:pt idx="266">
                  <c:v>481.3404255319175</c:v>
                </c:pt>
                <c:pt idx="267">
                  <c:v>479.29787234042817</c:v>
                </c:pt>
                <c:pt idx="268">
                  <c:v>477.25531914893884</c:v>
                </c:pt>
                <c:pt idx="269">
                  <c:v>475.21276595744951</c:v>
                </c:pt>
                <c:pt idx="270">
                  <c:v>473.17021276596023</c:v>
                </c:pt>
                <c:pt idx="271">
                  <c:v>471.1276595744709</c:v>
                </c:pt>
                <c:pt idx="272">
                  <c:v>469.08510638298156</c:v>
                </c:pt>
                <c:pt idx="273">
                  <c:v>467.04255319149229</c:v>
                </c:pt>
                <c:pt idx="274">
                  <c:v>465.00000000000296</c:v>
                </c:pt>
                <c:pt idx="275">
                  <c:v>462.95744680851362</c:v>
                </c:pt>
                <c:pt idx="276">
                  <c:v>460.91489361702429</c:v>
                </c:pt>
                <c:pt idx="277">
                  <c:v>458.87234042553501</c:v>
                </c:pt>
                <c:pt idx="278">
                  <c:v>456.82978723404568</c:v>
                </c:pt>
                <c:pt idx="279">
                  <c:v>454.78723404255635</c:v>
                </c:pt>
                <c:pt idx="280">
                  <c:v>452.74468085106707</c:v>
                </c:pt>
                <c:pt idx="281">
                  <c:v>450.70212765957774</c:v>
                </c:pt>
                <c:pt idx="282">
                  <c:v>448.65957446808841</c:v>
                </c:pt>
                <c:pt idx="283">
                  <c:v>446.61702127659908</c:v>
                </c:pt>
                <c:pt idx="284">
                  <c:v>444.57446808510974</c:v>
                </c:pt>
                <c:pt idx="285">
                  <c:v>442.53191489362047</c:v>
                </c:pt>
                <c:pt idx="286">
                  <c:v>440.48936170213113</c:v>
                </c:pt>
                <c:pt idx="287">
                  <c:v>438.44680851064186</c:v>
                </c:pt>
                <c:pt idx="288">
                  <c:v>436.40425531915253</c:v>
                </c:pt>
                <c:pt idx="289">
                  <c:v>434.36170212766319</c:v>
                </c:pt>
                <c:pt idx="290">
                  <c:v>432.31914893617386</c:v>
                </c:pt>
                <c:pt idx="291">
                  <c:v>430.27659574468453</c:v>
                </c:pt>
                <c:pt idx="292">
                  <c:v>428.23404255319525</c:v>
                </c:pt>
                <c:pt idx="293">
                  <c:v>426.19148936170592</c:v>
                </c:pt>
                <c:pt idx="294">
                  <c:v>424.14893617021659</c:v>
                </c:pt>
                <c:pt idx="295">
                  <c:v>422.10638297872731</c:v>
                </c:pt>
                <c:pt idx="296">
                  <c:v>420.06382978723798</c:v>
                </c:pt>
                <c:pt idx="297">
                  <c:v>418.02127659574865</c:v>
                </c:pt>
                <c:pt idx="298">
                  <c:v>412.82608695653812</c:v>
                </c:pt>
                <c:pt idx="299">
                  <c:v>404.47826086958179</c:v>
                </c:pt>
                <c:pt idx="300">
                  <c:v>396.13043478262546</c:v>
                </c:pt>
                <c:pt idx="301">
                  <c:v>387.78260869566913</c:v>
                </c:pt>
                <c:pt idx="302">
                  <c:v>379.43478260871274</c:v>
                </c:pt>
                <c:pt idx="303">
                  <c:v>371.08695652175641</c:v>
                </c:pt>
                <c:pt idx="304">
                  <c:v>362.73913043480007</c:v>
                </c:pt>
                <c:pt idx="305">
                  <c:v>354.39130434784374</c:v>
                </c:pt>
                <c:pt idx="306">
                  <c:v>346.04347826088735</c:v>
                </c:pt>
                <c:pt idx="307">
                  <c:v>337.69565217393102</c:v>
                </c:pt>
                <c:pt idx="308">
                  <c:v>329.34782608697469</c:v>
                </c:pt>
                <c:pt idx="309">
                  <c:v>321.00000000001836</c:v>
                </c:pt>
                <c:pt idx="310">
                  <c:v>312.65217391306203</c:v>
                </c:pt>
                <c:pt idx="311">
                  <c:v>304.30434782610564</c:v>
                </c:pt>
                <c:pt idx="312">
                  <c:v>295.95652173914931</c:v>
                </c:pt>
                <c:pt idx="313">
                  <c:v>287.60869565219298</c:v>
                </c:pt>
                <c:pt idx="314">
                  <c:v>279.26086956523659</c:v>
                </c:pt>
                <c:pt idx="315">
                  <c:v>270.91304347828031</c:v>
                </c:pt>
                <c:pt idx="316">
                  <c:v>262.56521739132393</c:v>
                </c:pt>
                <c:pt idx="317">
                  <c:v>254.2173913043676</c:v>
                </c:pt>
                <c:pt idx="318">
                  <c:v>245.86956521741126</c:v>
                </c:pt>
                <c:pt idx="319">
                  <c:v>237.5217391304549</c:v>
                </c:pt>
                <c:pt idx="320">
                  <c:v>229.17391304349857</c:v>
                </c:pt>
                <c:pt idx="321">
                  <c:v>222.07407407408843</c:v>
                </c:pt>
                <c:pt idx="322">
                  <c:v>216.2222222222367</c:v>
                </c:pt>
                <c:pt idx="323">
                  <c:v>210.37037037038499</c:v>
                </c:pt>
                <c:pt idx="324">
                  <c:v>204.51851851853326</c:v>
                </c:pt>
                <c:pt idx="325">
                  <c:v>198.66666666668152</c:v>
                </c:pt>
                <c:pt idx="326">
                  <c:v>192.81481481482979</c:v>
                </c:pt>
                <c:pt idx="327">
                  <c:v>186.96296296297808</c:v>
                </c:pt>
                <c:pt idx="328">
                  <c:v>181.11111111112635</c:v>
                </c:pt>
                <c:pt idx="329">
                  <c:v>175.25925925927461</c:v>
                </c:pt>
                <c:pt idx="330">
                  <c:v>169.40740740742291</c:v>
                </c:pt>
                <c:pt idx="331">
                  <c:v>163.55555555557117</c:v>
                </c:pt>
                <c:pt idx="332">
                  <c:v>157.70370370371944</c:v>
                </c:pt>
                <c:pt idx="333">
                  <c:v>151.85185185186771</c:v>
                </c:pt>
                <c:pt idx="334">
                  <c:v>146.00000000001597</c:v>
                </c:pt>
                <c:pt idx="335">
                  <c:v>140.14814814816427</c:v>
                </c:pt>
                <c:pt idx="336">
                  <c:v>134.29629629631253</c:v>
                </c:pt>
                <c:pt idx="337">
                  <c:v>128.44444444446083</c:v>
                </c:pt>
                <c:pt idx="338">
                  <c:v>122.59259259260908</c:v>
                </c:pt>
                <c:pt idx="339">
                  <c:v>116.74074074075736</c:v>
                </c:pt>
                <c:pt idx="340">
                  <c:v>110.88888888890563</c:v>
                </c:pt>
                <c:pt idx="341">
                  <c:v>105.03703703705391</c:v>
                </c:pt>
                <c:pt idx="342">
                  <c:v>99.185185185202172</c:v>
                </c:pt>
                <c:pt idx="343">
                  <c:v>93.333333333350453</c:v>
                </c:pt>
                <c:pt idx="344">
                  <c:v>87.481481481498719</c:v>
                </c:pt>
                <c:pt idx="345">
                  <c:v>81.629629629646985</c:v>
                </c:pt>
                <c:pt idx="346">
                  <c:v>75.777777777795279</c:v>
                </c:pt>
                <c:pt idx="347">
                  <c:v>69.925925925943545</c:v>
                </c:pt>
                <c:pt idx="348">
                  <c:v>64.20833333335024</c:v>
                </c:pt>
                <c:pt idx="349">
                  <c:v>58.625000000017017</c:v>
                </c:pt>
                <c:pt idx="350">
                  <c:v>53.041666666683788</c:v>
                </c:pt>
                <c:pt idx="351">
                  <c:v>47.458333333350552</c:v>
                </c:pt>
                <c:pt idx="352">
                  <c:v>41.875000000017323</c:v>
                </c:pt>
                <c:pt idx="353">
                  <c:v>36.291666666684094</c:v>
                </c:pt>
                <c:pt idx="354">
                  <c:v>30.708333333350872</c:v>
                </c:pt>
                <c:pt idx="355">
                  <c:v>25.125000000017643</c:v>
                </c:pt>
                <c:pt idx="356">
                  <c:v>19.541666666684407</c:v>
                </c:pt>
                <c:pt idx="357">
                  <c:v>13.958333333351177</c:v>
                </c:pt>
                <c:pt idx="358">
                  <c:v>8.3750000000179483</c:v>
                </c:pt>
                <c:pt idx="359">
                  <c:v>2.7916666666847192</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35.800100000000199</c:v>
                </c:pt>
                <c:pt idx="720">
                  <c:v>35.800200000000203</c:v>
                </c:pt>
                <c:pt idx="721">
                  <c:v>35.800300000000206</c:v>
                </c:pt>
                <c:pt idx="722">
                  <c:v>35.800400000000209</c:v>
                </c:pt>
                <c:pt idx="723">
                  <c:v>35.800500000000213</c:v>
                </c:pt>
                <c:pt idx="724">
                  <c:v>35.800600000000216</c:v>
                </c:pt>
                <c:pt idx="725">
                  <c:v>35.800700000000219</c:v>
                </c:pt>
                <c:pt idx="726">
                  <c:v>35.800800000000223</c:v>
                </c:pt>
                <c:pt idx="727">
                  <c:v>35.800900000000226</c:v>
                </c:pt>
                <c:pt idx="728">
                  <c:v>35.801000000000229</c:v>
                </c:pt>
                <c:pt idx="729">
                  <c:v>35.801100000000233</c:v>
                </c:pt>
                <c:pt idx="730">
                  <c:v>35.801200000000236</c:v>
                </c:pt>
                <c:pt idx="731">
                  <c:v>35.801300000000239</c:v>
                </c:pt>
                <c:pt idx="732">
                  <c:v>35.801400000000243</c:v>
                </c:pt>
                <c:pt idx="733">
                  <c:v>35.801500000000246</c:v>
                </c:pt>
                <c:pt idx="734">
                  <c:v>35.801600000000249</c:v>
                </c:pt>
                <c:pt idx="735">
                  <c:v>35.801700000000253</c:v>
                </c:pt>
                <c:pt idx="736">
                  <c:v>35.801800000000256</c:v>
                </c:pt>
                <c:pt idx="737">
                  <c:v>35.801900000000259</c:v>
                </c:pt>
                <c:pt idx="738">
                  <c:v>35.802000000000263</c:v>
                </c:pt>
                <c:pt idx="739">
                  <c:v>35.802100000000266</c:v>
                </c:pt>
                <c:pt idx="740">
                  <c:v>35.802200000000269</c:v>
                </c:pt>
                <c:pt idx="741">
                  <c:v>35.802300000000272</c:v>
                </c:pt>
                <c:pt idx="742">
                  <c:v>35.802400000000276</c:v>
                </c:pt>
                <c:pt idx="743">
                  <c:v>35.802500000000279</c:v>
                </c:pt>
                <c:pt idx="744">
                  <c:v>35.802600000000282</c:v>
                </c:pt>
                <c:pt idx="745">
                  <c:v>35.802700000000286</c:v>
                </c:pt>
                <c:pt idx="746">
                  <c:v>35.802800000000289</c:v>
                </c:pt>
                <c:pt idx="747">
                  <c:v>35.802900000000292</c:v>
                </c:pt>
                <c:pt idx="748">
                  <c:v>35.803000000000296</c:v>
                </c:pt>
                <c:pt idx="749">
                  <c:v>35.803100000000299</c:v>
                </c:pt>
                <c:pt idx="750">
                  <c:v>35.803200000000302</c:v>
                </c:pt>
                <c:pt idx="751">
                  <c:v>35.803300000000306</c:v>
                </c:pt>
                <c:pt idx="752">
                  <c:v>35.803400000000309</c:v>
                </c:pt>
                <c:pt idx="753">
                  <c:v>35.803500000000312</c:v>
                </c:pt>
                <c:pt idx="754">
                  <c:v>35.803600000000316</c:v>
                </c:pt>
                <c:pt idx="755">
                  <c:v>35.803700000000319</c:v>
                </c:pt>
                <c:pt idx="756">
                  <c:v>35.803800000000322</c:v>
                </c:pt>
                <c:pt idx="757">
                  <c:v>35.803900000000326</c:v>
                </c:pt>
                <c:pt idx="758">
                  <c:v>35.804000000000329</c:v>
                </c:pt>
                <c:pt idx="759">
                  <c:v>35.804100000000332</c:v>
                </c:pt>
                <c:pt idx="760">
                  <c:v>35.804200000000336</c:v>
                </c:pt>
                <c:pt idx="761">
                  <c:v>35.804300000000339</c:v>
                </c:pt>
                <c:pt idx="762">
                  <c:v>35.804400000000342</c:v>
                </c:pt>
                <c:pt idx="763">
                  <c:v>35.804500000000345</c:v>
                </c:pt>
                <c:pt idx="764">
                  <c:v>35.804600000000349</c:v>
                </c:pt>
                <c:pt idx="765">
                  <c:v>35.804700000000352</c:v>
                </c:pt>
                <c:pt idx="766">
                  <c:v>35.804800000000355</c:v>
                </c:pt>
                <c:pt idx="767">
                  <c:v>35.804900000000359</c:v>
                </c:pt>
                <c:pt idx="768">
                  <c:v>35.805000000000362</c:v>
                </c:pt>
                <c:pt idx="769">
                  <c:v>35.805100000000365</c:v>
                </c:pt>
                <c:pt idx="770">
                  <c:v>35.805200000000369</c:v>
                </c:pt>
                <c:pt idx="771">
                  <c:v>35.805300000000372</c:v>
                </c:pt>
                <c:pt idx="772">
                  <c:v>35.805400000000375</c:v>
                </c:pt>
                <c:pt idx="773">
                  <c:v>35.805500000000379</c:v>
                </c:pt>
                <c:pt idx="774">
                  <c:v>35.805600000000382</c:v>
                </c:pt>
                <c:pt idx="775">
                  <c:v>35.805700000000385</c:v>
                </c:pt>
                <c:pt idx="776">
                  <c:v>35.805800000000389</c:v>
                </c:pt>
                <c:pt idx="777">
                  <c:v>35.805900000000392</c:v>
                </c:pt>
                <c:pt idx="778">
                  <c:v>35.806000000000395</c:v>
                </c:pt>
                <c:pt idx="779">
                  <c:v>35.806100000000399</c:v>
                </c:pt>
                <c:pt idx="780">
                  <c:v>35.806200000000402</c:v>
                </c:pt>
                <c:pt idx="781">
                  <c:v>35.806300000000405</c:v>
                </c:pt>
                <c:pt idx="782">
                  <c:v>35.806400000000409</c:v>
                </c:pt>
                <c:pt idx="783">
                  <c:v>35.806500000000412</c:v>
                </c:pt>
                <c:pt idx="784">
                  <c:v>35.806600000000415</c:v>
                </c:pt>
                <c:pt idx="785">
                  <c:v>35.806700000000419</c:v>
                </c:pt>
                <c:pt idx="786">
                  <c:v>35.806800000000422</c:v>
                </c:pt>
                <c:pt idx="787">
                  <c:v>35.806900000000425</c:v>
                </c:pt>
                <c:pt idx="788">
                  <c:v>35.807000000000428</c:v>
                </c:pt>
                <c:pt idx="789">
                  <c:v>35.807100000000432</c:v>
                </c:pt>
                <c:pt idx="790">
                  <c:v>35.807200000000435</c:v>
                </c:pt>
                <c:pt idx="791">
                  <c:v>35.807300000000438</c:v>
                </c:pt>
                <c:pt idx="792">
                  <c:v>35.807400000000442</c:v>
                </c:pt>
                <c:pt idx="793">
                  <c:v>35.807500000000445</c:v>
                </c:pt>
                <c:pt idx="794">
                  <c:v>35.807600000000448</c:v>
                </c:pt>
                <c:pt idx="795">
                  <c:v>35.807700000000452</c:v>
                </c:pt>
                <c:pt idx="796">
                  <c:v>35.807800000000455</c:v>
                </c:pt>
                <c:pt idx="797">
                  <c:v>35.807900000000458</c:v>
                </c:pt>
                <c:pt idx="798">
                  <c:v>35.808000000000462</c:v>
                </c:pt>
                <c:pt idx="799">
                  <c:v>35.808100000000465</c:v>
                </c:pt>
                <c:pt idx="800">
                  <c:v>35.808200000000468</c:v>
                </c:pt>
                <c:pt idx="801">
                  <c:v>35.808300000000472</c:v>
                </c:pt>
                <c:pt idx="802">
                  <c:v>35.808400000000475</c:v>
                </c:pt>
                <c:pt idx="803">
                  <c:v>35.808500000000478</c:v>
                </c:pt>
                <c:pt idx="804">
                  <c:v>35.808600000000482</c:v>
                </c:pt>
                <c:pt idx="805">
                  <c:v>35.808700000000485</c:v>
                </c:pt>
                <c:pt idx="806">
                  <c:v>35.808800000000488</c:v>
                </c:pt>
                <c:pt idx="807">
                  <c:v>35.808900000000492</c:v>
                </c:pt>
                <c:pt idx="808">
                  <c:v>35.809000000000495</c:v>
                </c:pt>
                <c:pt idx="809">
                  <c:v>35.809100000000498</c:v>
                </c:pt>
                <c:pt idx="810">
                  <c:v>35.809200000000502</c:v>
                </c:pt>
                <c:pt idx="811">
                  <c:v>35.809300000000505</c:v>
                </c:pt>
                <c:pt idx="812">
                  <c:v>35.809400000000508</c:v>
                </c:pt>
                <c:pt idx="813">
                  <c:v>35.809500000000511</c:v>
                </c:pt>
                <c:pt idx="814">
                  <c:v>35.809600000000515</c:v>
                </c:pt>
                <c:pt idx="815">
                  <c:v>35.809700000000518</c:v>
                </c:pt>
                <c:pt idx="816">
                  <c:v>35.809800000000521</c:v>
                </c:pt>
                <c:pt idx="817">
                  <c:v>35.809900000000525</c:v>
                </c:pt>
                <c:pt idx="818">
                  <c:v>35.810000000000528</c:v>
                </c:pt>
                <c:pt idx="819">
                  <c:v>35.810100000000531</c:v>
                </c:pt>
                <c:pt idx="820">
                  <c:v>35.810200000000535</c:v>
                </c:pt>
                <c:pt idx="821">
                  <c:v>35.810300000000538</c:v>
                </c:pt>
                <c:pt idx="822">
                  <c:v>35.810400000000541</c:v>
                </c:pt>
                <c:pt idx="823">
                  <c:v>35.810500000000545</c:v>
                </c:pt>
                <c:pt idx="824">
                  <c:v>35.810600000000548</c:v>
                </c:pt>
                <c:pt idx="825">
                  <c:v>35.810700000000551</c:v>
                </c:pt>
                <c:pt idx="826">
                  <c:v>35.810800000000555</c:v>
                </c:pt>
                <c:pt idx="827">
                  <c:v>35.810900000000558</c:v>
                </c:pt>
                <c:pt idx="828">
                  <c:v>35.811000000000561</c:v>
                </c:pt>
                <c:pt idx="829">
                  <c:v>35.811100000000565</c:v>
                </c:pt>
                <c:pt idx="830">
                  <c:v>35.811200000000568</c:v>
                </c:pt>
                <c:pt idx="831">
                  <c:v>35.811300000000571</c:v>
                </c:pt>
                <c:pt idx="832">
                  <c:v>35.811400000000575</c:v>
                </c:pt>
                <c:pt idx="833">
                  <c:v>35.811500000000578</c:v>
                </c:pt>
                <c:pt idx="834">
                  <c:v>35.811600000000581</c:v>
                </c:pt>
                <c:pt idx="835">
                  <c:v>35.811700000000585</c:v>
                </c:pt>
                <c:pt idx="836">
                  <c:v>35.811800000000588</c:v>
                </c:pt>
                <c:pt idx="837">
                  <c:v>35.811900000000591</c:v>
                </c:pt>
                <c:pt idx="838">
                  <c:v>35.812000000000594</c:v>
                </c:pt>
                <c:pt idx="839">
                  <c:v>35.812100000000598</c:v>
                </c:pt>
                <c:pt idx="840">
                  <c:v>35.812200000000601</c:v>
                </c:pt>
                <c:pt idx="841">
                  <c:v>35.812300000000604</c:v>
                </c:pt>
                <c:pt idx="842">
                  <c:v>35.812400000000608</c:v>
                </c:pt>
                <c:pt idx="843">
                  <c:v>35.812500000000611</c:v>
                </c:pt>
                <c:pt idx="844">
                  <c:v>35.812600000000614</c:v>
                </c:pt>
                <c:pt idx="845">
                  <c:v>35.812700000000618</c:v>
                </c:pt>
                <c:pt idx="846">
                  <c:v>35.812800000000621</c:v>
                </c:pt>
                <c:pt idx="847">
                  <c:v>35.812900000000624</c:v>
                </c:pt>
                <c:pt idx="848">
                  <c:v>35.813000000000628</c:v>
                </c:pt>
                <c:pt idx="849">
                  <c:v>35.813100000000631</c:v>
                </c:pt>
                <c:pt idx="850">
                  <c:v>35.813200000000634</c:v>
                </c:pt>
                <c:pt idx="851">
                  <c:v>35.813300000000638</c:v>
                </c:pt>
                <c:pt idx="852">
                  <c:v>35.813400000000641</c:v>
                </c:pt>
                <c:pt idx="853">
                  <c:v>35.813500000000644</c:v>
                </c:pt>
                <c:pt idx="854">
                  <c:v>35.813600000000648</c:v>
                </c:pt>
                <c:pt idx="855">
                  <c:v>35.813700000000651</c:v>
                </c:pt>
                <c:pt idx="856">
                  <c:v>35.813800000000654</c:v>
                </c:pt>
                <c:pt idx="857">
                  <c:v>35.813900000000658</c:v>
                </c:pt>
                <c:pt idx="858">
                  <c:v>35.814000000000661</c:v>
                </c:pt>
                <c:pt idx="859">
                  <c:v>35.814100000000664</c:v>
                </c:pt>
                <c:pt idx="860">
                  <c:v>35.814200000000668</c:v>
                </c:pt>
                <c:pt idx="861">
                  <c:v>35.814300000000671</c:v>
                </c:pt>
                <c:pt idx="862">
                  <c:v>35.814400000000674</c:v>
                </c:pt>
                <c:pt idx="863">
                  <c:v>35.814500000000677</c:v>
                </c:pt>
                <c:pt idx="864">
                  <c:v>35.814600000000681</c:v>
                </c:pt>
                <c:pt idx="865">
                  <c:v>35.814700000000684</c:v>
                </c:pt>
                <c:pt idx="866">
                  <c:v>35.814800000000687</c:v>
                </c:pt>
                <c:pt idx="867">
                  <c:v>35.814900000000691</c:v>
                </c:pt>
                <c:pt idx="868">
                  <c:v>35.815000000000694</c:v>
                </c:pt>
                <c:pt idx="869">
                  <c:v>35.815100000000697</c:v>
                </c:pt>
                <c:pt idx="870">
                  <c:v>35.815200000000701</c:v>
                </c:pt>
                <c:pt idx="871">
                  <c:v>35.815300000000704</c:v>
                </c:pt>
                <c:pt idx="872">
                  <c:v>35.815400000000707</c:v>
                </c:pt>
                <c:pt idx="873">
                  <c:v>35.815500000000711</c:v>
                </c:pt>
                <c:pt idx="874">
                  <c:v>35.815600000000714</c:v>
                </c:pt>
                <c:pt idx="875">
                  <c:v>35.815700000000717</c:v>
                </c:pt>
                <c:pt idx="876">
                  <c:v>35.815800000000721</c:v>
                </c:pt>
                <c:pt idx="877">
                  <c:v>35.815900000000724</c:v>
                </c:pt>
                <c:pt idx="878">
                  <c:v>35.816000000000727</c:v>
                </c:pt>
                <c:pt idx="879">
                  <c:v>35.816100000000731</c:v>
                </c:pt>
                <c:pt idx="880">
                  <c:v>35.816200000000734</c:v>
                </c:pt>
                <c:pt idx="881">
                  <c:v>35.816300000000737</c:v>
                </c:pt>
                <c:pt idx="882">
                  <c:v>35.816400000000741</c:v>
                </c:pt>
                <c:pt idx="883">
                  <c:v>35.816500000000744</c:v>
                </c:pt>
                <c:pt idx="884">
                  <c:v>35.816600000000747</c:v>
                </c:pt>
                <c:pt idx="885">
                  <c:v>35.81670000000075</c:v>
                </c:pt>
                <c:pt idx="886">
                  <c:v>35.816800000000754</c:v>
                </c:pt>
                <c:pt idx="887">
                  <c:v>35.816900000000757</c:v>
                </c:pt>
                <c:pt idx="888">
                  <c:v>35.81700000000076</c:v>
                </c:pt>
                <c:pt idx="889">
                  <c:v>35.817100000000764</c:v>
                </c:pt>
                <c:pt idx="890">
                  <c:v>35.817200000000767</c:v>
                </c:pt>
                <c:pt idx="891">
                  <c:v>35.81730000000077</c:v>
                </c:pt>
                <c:pt idx="892">
                  <c:v>35.817400000000774</c:v>
                </c:pt>
                <c:pt idx="893">
                  <c:v>35.817500000000777</c:v>
                </c:pt>
                <c:pt idx="894">
                  <c:v>35.81760000000078</c:v>
                </c:pt>
                <c:pt idx="895">
                  <c:v>35.817700000000784</c:v>
                </c:pt>
                <c:pt idx="896">
                  <c:v>35.817800000000787</c:v>
                </c:pt>
                <c:pt idx="897">
                  <c:v>35.81790000000079</c:v>
                </c:pt>
                <c:pt idx="898">
                  <c:v>35.818000000000794</c:v>
                </c:pt>
                <c:pt idx="899">
                  <c:v>35.818100000000797</c:v>
                </c:pt>
                <c:pt idx="900">
                  <c:v>35.8182000000008</c:v>
                </c:pt>
                <c:pt idx="901">
                  <c:v>35.818300000000804</c:v>
                </c:pt>
                <c:pt idx="902">
                  <c:v>35.818400000000807</c:v>
                </c:pt>
                <c:pt idx="903">
                  <c:v>35.81850000000081</c:v>
                </c:pt>
                <c:pt idx="904">
                  <c:v>35.818600000000814</c:v>
                </c:pt>
                <c:pt idx="905">
                  <c:v>35.818700000000817</c:v>
                </c:pt>
                <c:pt idx="906">
                  <c:v>35.81880000000082</c:v>
                </c:pt>
                <c:pt idx="907">
                  <c:v>35.818900000000824</c:v>
                </c:pt>
                <c:pt idx="908">
                  <c:v>35.819000000000827</c:v>
                </c:pt>
                <c:pt idx="909">
                  <c:v>35.81910000000083</c:v>
                </c:pt>
                <c:pt idx="910">
                  <c:v>35.819200000000833</c:v>
                </c:pt>
                <c:pt idx="911">
                  <c:v>35.819300000000837</c:v>
                </c:pt>
                <c:pt idx="912">
                  <c:v>35.81940000000084</c:v>
                </c:pt>
                <c:pt idx="913">
                  <c:v>35.819500000000843</c:v>
                </c:pt>
                <c:pt idx="914">
                  <c:v>35.819600000000847</c:v>
                </c:pt>
                <c:pt idx="915">
                  <c:v>35.81970000000085</c:v>
                </c:pt>
                <c:pt idx="916">
                  <c:v>35.819800000000853</c:v>
                </c:pt>
                <c:pt idx="917">
                  <c:v>35.819900000000857</c:v>
                </c:pt>
                <c:pt idx="918">
                  <c:v>35.82000000000086</c:v>
                </c:pt>
                <c:pt idx="919">
                  <c:v>35.820100000000863</c:v>
                </c:pt>
                <c:pt idx="920">
                  <c:v>35.820200000000867</c:v>
                </c:pt>
                <c:pt idx="921">
                  <c:v>35.82030000000087</c:v>
                </c:pt>
                <c:pt idx="922">
                  <c:v>35.820400000000873</c:v>
                </c:pt>
                <c:pt idx="923">
                  <c:v>35.820500000000877</c:v>
                </c:pt>
                <c:pt idx="924">
                  <c:v>35.82060000000088</c:v>
                </c:pt>
                <c:pt idx="925">
                  <c:v>35.820700000000883</c:v>
                </c:pt>
                <c:pt idx="926">
                  <c:v>35.820800000000887</c:v>
                </c:pt>
                <c:pt idx="927">
                  <c:v>35.82090000000089</c:v>
                </c:pt>
                <c:pt idx="928">
                  <c:v>35.821000000000893</c:v>
                </c:pt>
                <c:pt idx="929">
                  <c:v>35.821100000000897</c:v>
                </c:pt>
                <c:pt idx="930">
                  <c:v>35.8212000000009</c:v>
                </c:pt>
                <c:pt idx="931">
                  <c:v>35.821300000000903</c:v>
                </c:pt>
                <c:pt idx="932">
                  <c:v>35.821400000000907</c:v>
                </c:pt>
                <c:pt idx="933">
                  <c:v>35.82150000000091</c:v>
                </c:pt>
                <c:pt idx="934">
                  <c:v>35.821600000000913</c:v>
                </c:pt>
                <c:pt idx="935">
                  <c:v>35.821700000000916</c:v>
                </c:pt>
                <c:pt idx="936">
                  <c:v>35.82180000000092</c:v>
                </c:pt>
                <c:pt idx="937">
                  <c:v>35.821900000000923</c:v>
                </c:pt>
                <c:pt idx="938">
                  <c:v>35.822000000000926</c:v>
                </c:pt>
                <c:pt idx="939">
                  <c:v>35.82210000000093</c:v>
                </c:pt>
                <c:pt idx="940">
                  <c:v>35.822200000000933</c:v>
                </c:pt>
                <c:pt idx="941">
                  <c:v>35.822300000000936</c:v>
                </c:pt>
                <c:pt idx="942">
                  <c:v>35.82240000000094</c:v>
                </c:pt>
                <c:pt idx="943">
                  <c:v>35.822500000000943</c:v>
                </c:pt>
                <c:pt idx="944">
                  <c:v>35.822600000000946</c:v>
                </c:pt>
                <c:pt idx="945">
                  <c:v>35.82270000000095</c:v>
                </c:pt>
                <c:pt idx="946">
                  <c:v>35.822800000000953</c:v>
                </c:pt>
                <c:pt idx="947">
                  <c:v>35.822900000000956</c:v>
                </c:pt>
                <c:pt idx="948">
                  <c:v>35.82300000000096</c:v>
                </c:pt>
                <c:pt idx="949">
                  <c:v>35.823100000000963</c:v>
                </c:pt>
                <c:pt idx="950">
                  <c:v>35.823200000000966</c:v>
                </c:pt>
                <c:pt idx="951">
                  <c:v>35.82330000000097</c:v>
                </c:pt>
                <c:pt idx="952">
                  <c:v>35.823400000000973</c:v>
                </c:pt>
                <c:pt idx="953">
                  <c:v>35.823500000000976</c:v>
                </c:pt>
                <c:pt idx="954">
                  <c:v>35.82360000000098</c:v>
                </c:pt>
                <c:pt idx="955">
                  <c:v>35.823700000000983</c:v>
                </c:pt>
                <c:pt idx="956">
                  <c:v>35.823800000000986</c:v>
                </c:pt>
                <c:pt idx="957">
                  <c:v>35.82390000000099</c:v>
                </c:pt>
                <c:pt idx="958">
                  <c:v>35.824000000000993</c:v>
                </c:pt>
                <c:pt idx="959">
                  <c:v>35.824100000000996</c:v>
                </c:pt>
                <c:pt idx="960">
                  <c:v>35.824200000000999</c:v>
                </c:pt>
                <c:pt idx="961">
                  <c:v>35.824300000001003</c:v>
                </c:pt>
                <c:pt idx="962">
                  <c:v>35.824400000001006</c:v>
                </c:pt>
                <c:pt idx="963">
                  <c:v>35.824500000001009</c:v>
                </c:pt>
                <c:pt idx="964">
                  <c:v>35.824600000001013</c:v>
                </c:pt>
                <c:pt idx="965">
                  <c:v>35.824700000001016</c:v>
                </c:pt>
                <c:pt idx="966">
                  <c:v>35.824800000001019</c:v>
                </c:pt>
                <c:pt idx="967">
                  <c:v>35.824900000001023</c:v>
                </c:pt>
                <c:pt idx="968">
                  <c:v>35.825000000001026</c:v>
                </c:pt>
                <c:pt idx="969">
                  <c:v>35.825100000001029</c:v>
                </c:pt>
                <c:pt idx="970">
                  <c:v>35.825200000001033</c:v>
                </c:pt>
                <c:pt idx="971">
                  <c:v>35.825300000001036</c:v>
                </c:pt>
                <c:pt idx="972">
                  <c:v>35.825400000001039</c:v>
                </c:pt>
                <c:pt idx="973">
                  <c:v>35.825500000001043</c:v>
                </c:pt>
                <c:pt idx="974">
                  <c:v>35.825600000001046</c:v>
                </c:pt>
                <c:pt idx="975">
                  <c:v>35.825700000001049</c:v>
                </c:pt>
                <c:pt idx="976">
                  <c:v>35.825800000001053</c:v>
                </c:pt>
                <c:pt idx="977">
                  <c:v>35.825900000001056</c:v>
                </c:pt>
                <c:pt idx="978">
                  <c:v>35.826000000001059</c:v>
                </c:pt>
                <c:pt idx="979">
                  <c:v>35.826100000001063</c:v>
                </c:pt>
                <c:pt idx="980">
                  <c:v>35.826200000001066</c:v>
                </c:pt>
                <c:pt idx="981">
                  <c:v>35.826300000001069</c:v>
                </c:pt>
                <c:pt idx="982">
                  <c:v>35.826400000001072</c:v>
                </c:pt>
                <c:pt idx="983">
                  <c:v>35.826500000001076</c:v>
                </c:pt>
                <c:pt idx="984">
                  <c:v>35.826600000001079</c:v>
                </c:pt>
                <c:pt idx="985">
                  <c:v>35.826700000001082</c:v>
                </c:pt>
                <c:pt idx="986">
                  <c:v>35.826800000001086</c:v>
                </c:pt>
                <c:pt idx="987">
                  <c:v>35.826900000001089</c:v>
                </c:pt>
                <c:pt idx="988">
                  <c:v>35.827000000001092</c:v>
                </c:pt>
                <c:pt idx="989">
                  <c:v>35.827100000001096</c:v>
                </c:pt>
                <c:pt idx="990">
                  <c:v>35.827200000001099</c:v>
                </c:pt>
                <c:pt idx="991">
                  <c:v>35.827300000001102</c:v>
                </c:pt>
                <c:pt idx="992">
                  <c:v>35.827400000001106</c:v>
                </c:pt>
                <c:pt idx="993">
                  <c:v>35.827500000001109</c:v>
                </c:pt>
                <c:pt idx="994">
                  <c:v>35.827600000001112</c:v>
                </c:pt>
                <c:pt idx="995">
                  <c:v>35.827700000001116</c:v>
                </c:pt>
                <c:pt idx="996">
                  <c:v>35.827800000001119</c:v>
                </c:pt>
                <c:pt idx="997">
                  <c:v>35.827900000001122</c:v>
                </c:pt>
                <c:pt idx="998">
                  <c:v>35.828000000001126</c:v>
                </c:pt>
                <c:pt idx="999">
                  <c:v>35.828100000001129</c:v>
                </c:pt>
                <c:pt idx="1000">
                  <c:v>35.828200000001132</c:v>
                </c:pt>
              </c:numCache>
            </c:numRef>
          </c:xVal>
          <c:yVal>
            <c:numRef>
              <c:f>Calculs!$T$4:$T$1004</c:f>
              <c:numCache>
                <c:formatCode>0.00</c:formatCode>
                <c:ptCount val="1001"/>
                <c:pt idx="0">
                  <c:v>88.407720000000012</c:v>
                </c:pt>
                <c:pt idx="1">
                  <c:v>88.403323598531856</c:v>
                </c:pt>
                <c:pt idx="2">
                  <c:v>88.390134394127401</c:v>
                </c:pt>
                <c:pt idx="3">
                  <c:v>88.368152386786633</c:v>
                </c:pt>
                <c:pt idx="4">
                  <c:v>88.337377576509567</c:v>
                </c:pt>
                <c:pt idx="5">
                  <c:v>88.297809963296203</c:v>
                </c:pt>
                <c:pt idx="6">
                  <c:v>88.253897915535106</c:v>
                </c:pt>
                <c:pt idx="7">
                  <c:v>88.21008980161487</c:v>
                </c:pt>
                <c:pt idx="8">
                  <c:v>88.166385621535483</c:v>
                </c:pt>
                <c:pt idx="9">
                  <c:v>88.122785375296957</c:v>
                </c:pt>
                <c:pt idx="10">
                  <c:v>88.079289062899292</c:v>
                </c:pt>
                <c:pt idx="11">
                  <c:v>88.035896684342475</c:v>
                </c:pt>
                <c:pt idx="12">
                  <c:v>87.992608239626506</c:v>
                </c:pt>
                <c:pt idx="13">
                  <c:v>87.949423728751384</c:v>
                </c:pt>
                <c:pt idx="14">
                  <c:v>87.906343151717138</c:v>
                </c:pt>
                <c:pt idx="15">
                  <c:v>87.86336650852374</c:v>
                </c:pt>
                <c:pt idx="16">
                  <c:v>87.820493799171189</c:v>
                </c:pt>
                <c:pt idx="17">
                  <c:v>87.777725023659499</c:v>
                </c:pt>
                <c:pt idx="18">
                  <c:v>87.735060181988658</c:v>
                </c:pt>
                <c:pt idx="19">
                  <c:v>87.692499274158678</c:v>
                </c:pt>
                <c:pt idx="20">
                  <c:v>87.650042300169559</c:v>
                </c:pt>
                <c:pt idx="21">
                  <c:v>87.607689260021289</c:v>
                </c:pt>
                <c:pt idx="22">
                  <c:v>87.565440153713865</c:v>
                </c:pt>
                <c:pt idx="23">
                  <c:v>87.52329498124729</c:v>
                </c:pt>
                <c:pt idx="24">
                  <c:v>87.48125374262159</c:v>
                </c:pt>
                <c:pt idx="25">
                  <c:v>87.439316437836737</c:v>
                </c:pt>
                <c:pt idx="26">
                  <c:v>87.397483066892732</c:v>
                </c:pt>
                <c:pt idx="27">
                  <c:v>87.355753629789575</c:v>
                </c:pt>
                <c:pt idx="28">
                  <c:v>87.314128126527294</c:v>
                </c:pt>
                <c:pt idx="29">
                  <c:v>87.272606557105874</c:v>
                </c:pt>
                <c:pt idx="30">
                  <c:v>87.231188921525288</c:v>
                </c:pt>
                <c:pt idx="31">
                  <c:v>87.189875219785563</c:v>
                </c:pt>
                <c:pt idx="32">
                  <c:v>87.148665451886686</c:v>
                </c:pt>
                <c:pt idx="33">
                  <c:v>87.10755961782867</c:v>
                </c:pt>
                <c:pt idx="34">
                  <c:v>87.066557717611516</c:v>
                </c:pt>
                <c:pt idx="35">
                  <c:v>87.02565975123521</c:v>
                </c:pt>
                <c:pt idx="36">
                  <c:v>86.984865718699751</c:v>
                </c:pt>
                <c:pt idx="37">
                  <c:v>86.94417562000514</c:v>
                </c:pt>
                <c:pt idx="38">
                  <c:v>86.903589455151405</c:v>
                </c:pt>
                <c:pt idx="39">
                  <c:v>86.863107224138531</c:v>
                </c:pt>
                <c:pt idx="40">
                  <c:v>86.822728926966491</c:v>
                </c:pt>
                <c:pt idx="41">
                  <c:v>86.782454563635312</c:v>
                </c:pt>
                <c:pt idx="42">
                  <c:v>86.742284134144967</c:v>
                </c:pt>
                <c:pt idx="43">
                  <c:v>86.702217638495512</c:v>
                </c:pt>
                <c:pt idx="44">
                  <c:v>86.66225507668689</c:v>
                </c:pt>
                <c:pt idx="45">
                  <c:v>86.62239644871913</c:v>
                </c:pt>
                <c:pt idx="46">
                  <c:v>86.582641754592217</c:v>
                </c:pt>
                <c:pt idx="47">
                  <c:v>86.54299099430618</c:v>
                </c:pt>
                <c:pt idx="48">
                  <c:v>86.503444167860991</c:v>
                </c:pt>
                <c:pt idx="49">
                  <c:v>86.464001275256649</c:v>
                </c:pt>
                <c:pt idx="50">
                  <c:v>86.424662316493155</c:v>
                </c:pt>
                <c:pt idx="51">
                  <c:v>86.385404371423505</c:v>
                </c:pt>
                <c:pt idx="52">
                  <c:v>86.346204519900709</c:v>
                </c:pt>
                <c:pt idx="53">
                  <c:v>86.30706276192474</c:v>
                </c:pt>
                <c:pt idx="54">
                  <c:v>86.267979097495612</c:v>
                </c:pt>
                <c:pt idx="55">
                  <c:v>86.228953526613296</c:v>
                </c:pt>
                <c:pt idx="56">
                  <c:v>86.189986049277834</c:v>
                </c:pt>
                <c:pt idx="57">
                  <c:v>86.1510766654892</c:v>
                </c:pt>
                <c:pt idx="58">
                  <c:v>86.112225375247419</c:v>
                </c:pt>
                <c:pt idx="59">
                  <c:v>86.073432178552451</c:v>
                </c:pt>
                <c:pt idx="60">
                  <c:v>86.034697075404324</c:v>
                </c:pt>
                <c:pt idx="61">
                  <c:v>85.996020065803052</c:v>
                </c:pt>
                <c:pt idx="62">
                  <c:v>85.957401149748605</c:v>
                </c:pt>
                <c:pt idx="63">
                  <c:v>85.918840327240986</c:v>
                </c:pt>
                <c:pt idx="64">
                  <c:v>85.880337598280207</c:v>
                </c:pt>
                <c:pt idx="65">
                  <c:v>85.841892962866254</c:v>
                </c:pt>
                <c:pt idx="66">
                  <c:v>85.803506420999156</c:v>
                </c:pt>
                <c:pt idx="67">
                  <c:v>85.765177972678885</c:v>
                </c:pt>
                <c:pt idx="68">
                  <c:v>85.726907617905439</c:v>
                </c:pt>
                <c:pt idx="69">
                  <c:v>85.688695356678835</c:v>
                </c:pt>
                <c:pt idx="70">
                  <c:v>85.650541188999085</c:v>
                </c:pt>
                <c:pt idx="71">
                  <c:v>85.612445114866148</c:v>
                </c:pt>
                <c:pt idx="72">
                  <c:v>85.574407134280065</c:v>
                </c:pt>
                <c:pt idx="73">
                  <c:v>85.536427247240795</c:v>
                </c:pt>
                <c:pt idx="74">
                  <c:v>85.498505453748365</c:v>
                </c:pt>
                <c:pt idx="75">
                  <c:v>85.46064175380279</c:v>
                </c:pt>
                <c:pt idx="76">
                  <c:v>85.422836147404041</c:v>
                </c:pt>
                <c:pt idx="77">
                  <c:v>85.385088634552119</c:v>
                </c:pt>
                <c:pt idx="78">
                  <c:v>85.347399215247037</c:v>
                </c:pt>
                <c:pt idx="79">
                  <c:v>85.309767889488782</c:v>
                </c:pt>
                <c:pt idx="80">
                  <c:v>85.272194657277367</c:v>
                </c:pt>
                <c:pt idx="81">
                  <c:v>85.234679518612808</c:v>
                </c:pt>
                <c:pt idx="82">
                  <c:v>85.19722247349506</c:v>
                </c:pt>
                <c:pt idx="83">
                  <c:v>85.159823521924153</c:v>
                </c:pt>
                <c:pt idx="84">
                  <c:v>85.122482663900087</c:v>
                </c:pt>
                <c:pt idx="85">
                  <c:v>85.085199899422861</c:v>
                </c:pt>
                <c:pt idx="86">
                  <c:v>85.047975228492461</c:v>
                </c:pt>
                <c:pt idx="87">
                  <c:v>85.010808651108903</c:v>
                </c:pt>
                <c:pt idx="88">
                  <c:v>84.97370016727217</c:v>
                </c:pt>
                <c:pt idx="89">
                  <c:v>84.936649776982279</c:v>
                </c:pt>
                <c:pt idx="90">
                  <c:v>84.899657480239227</c:v>
                </c:pt>
                <c:pt idx="91">
                  <c:v>84.862723277043003</c:v>
                </c:pt>
                <c:pt idx="92">
                  <c:v>84.825847167393619</c:v>
                </c:pt>
                <c:pt idx="93">
                  <c:v>84.789029151291075</c:v>
                </c:pt>
                <c:pt idx="94">
                  <c:v>84.752269228735372</c:v>
                </c:pt>
                <c:pt idx="95">
                  <c:v>84.715567399726496</c:v>
                </c:pt>
                <c:pt idx="96">
                  <c:v>84.67892366426446</c:v>
                </c:pt>
                <c:pt idx="97">
                  <c:v>84.642338022349236</c:v>
                </c:pt>
                <c:pt idx="98">
                  <c:v>84.605810473980881</c:v>
                </c:pt>
                <c:pt idx="99">
                  <c:v>84.569341019159353</c:v>
                </c:pt>
                <c:pt idx="100">
                  <c:v>84.532929657884651</c:v>
                </c:pt>
                <c:pt idx="101">
                  <c:v>84.496586728838849</c:v>
                </c:pt>
                <c:pt idx="102">
                  <c:v>84.460322570704008</c:v>
                </c:pt>
                <c:pt idx="103">
                  <c:v>84.424137183480127</c:v>
                </c:pt>
                <c:pt idx="104">
                  <c:v>84.38803056716722</c:v>
                </c:pt>
                <c:pt idx="105">
                  <c:v>84.35200272176526</c:v>
                </c:pt>
                <c:pt idx="106">
                  <c:v>84.316053647274273</c:v>
                </c:pt>
                <c:pt idx="107">
                  <c:v>84.280183343694247</c:v>
                </c:pt>
                <c:pt idx="108">
                  <c:v>84.24439181102521</c:v>
                </c:pt>
                <c:pt idx="109">
                  <c:v>84.208679049267118</c:v>
                </c:pt>
                <c:pt idx="110">
                  <c:v>84.173045058420001</c:v>
                </c:pt>
                <c:pt idx="111">
                  <c:v>84.137489838483845</c:v>
                </c:pt>
                <c:pt idx="112">
                  <c:v>84.102013389458648</c:v>
                </c:pt>
                <c:pt idx="113">
                  <c:v>84.066615711344426</c:v>
                </c:pt>
                <c:pt idx="114">
                  <c:v>84.031296804141149</c:v>
                </c:pt>
                <c:pt idx="115">
                  <c:v>83.996056667848848</c:v>
                </c:pt>
                <c:pt idx="116">
                  <c:v>83.960895302467506</c:v>
                </c:pt>
                <c:pt idx="117">
                  <c:v>83.925812707997125</c:v>
                </c:pt>
                <c:pt idx="118">
                  <c:v>83.890808884437703</c:v>
                </c:pt>
                <c:pt idx="119">
                  <c:v>83.855883831789242</c:v>
                </c:pt>
                <c:pt idx="120">
                  <c:v>83.821037550051756</c:v>
                </c:pt>
                <c:pt idx="121">
                  <c:v>83.786270039225229</c:v>
                </c:pt>
                <c:pt idx="122">
                  <c:v>83.751581299309663</c:v>
                </c:pt>
                <c:pt idx="123">
                  <c:v>83.716971330305057</c:v>
                </c:pt>
                <c:pt idx="124">
                  <c:v>83.682440132211411</c:v>
                </c:pt>
                <c:pt idx="125">
                  <c:v>83.64798770502874</c:v>
                </c:pt>
                <c:pt idx="126">
                  <c:v>83.613614048757029</c:v>
                </c:pt>
                <c:pt idx="127">
                  <c:v>83.579319163396278</c:v>
                </c:pt>
                <c:pt idx="128">
                  <c:v>83.545103048946487</c:v>
                </c:pt>
                <c:pt idx="129">
                  <c:v>83.510965705407656</c:v>
                </c:pt>
                <c:pt idx="130">
                  <c:v>83.476907132779786</c:v>
                </c:pt>
                <c:pt idx="131">
                  <c:v>83.442927331062904</c:v>
                </c:pt>
                <c:pt idx="132">
                  <c:v>83.409026300256983</c:v>
                </c:pt>
                <c:pt idx="133">
                  <c:v>83.375204040362021</c:v>
                </c:pt>
                <c:pt idx="134">
                  <c:v>83.341460551378034</c:v>
                </c:pt>
                <c:pt idx="135">
                  <c:v>83.307795833304993</c:v>
                </c:pt>
                <c:pt idx="136">
                  <c:v>83.274209886142927</c:v>
                </c:pt>
                <c:pt idx="137">
                  <c:v>83.240702709891821</c:v>
                </c:pt>
                <c:pt idx="138">
                  <c:v>83.207274304551675</c:v>
                </c:pt>
                <c:pt idx="139">
                  <c:v>83.173924670122489</c:v>
                </c:pt>
                <c:pt idx="140">
                  <c:v>83.140653806604277</c:v>
                </c:pt>
                <c:pt idx="141">
                  <c:v>83.107461713997012</c:v>
                </c:pt>
                <c:pt idx="142">
                  <c:v>83.07434839230072</c:v>
                </c:pt>
                <c:pt idx="143">
                  <c:v>83.04131384151539</c:v>
                </c:pt>
                <c:pt idx="144">
                  <c:v>83.008358061641019</c:v>
                </c:pt>
                <c:pt idx="145">
                  <c:v>82.975481052677623</c:v>
                </c:pt>
                <c:pt idx="146">
                  <c:v>82.942682814625172</c:v>
                </c:pt>
                <c:pt idx="147">
                  <c:v>82.909963347483696</c:v>
                </c:pt>
                <c:pt idx="148">
                  <c:v>82.877322651253181</c:v>
                </c:pt>
                <c:pt idx="149">
                  <c:v>82.844760725933625</c:v>
                </c:pt>
                <c:pt idx="150">
                  <c:v>82.81227757152503</c:v>
                </c:pt>
                <c:pt idx="151">
                  <c:v>82.779869741800056</c:v>
                </c:pt>
                <c:pt idx="152">
                  <c:v>82.747533790531335</c:v>
                </c:pt>
                <c:pt idx="153">
                  <c:v>82.715269717718883</c:v>
                </c:pt>
                <c:pt idx="154">
                  <c:v>82.68307752336267</c:v>
                </c:pt>
                <c:pt idx="155">
                  <c:v>82.65095720746271</c:v>
                </c:pt>
                <c:pt idx="156">
                  <c:v>82.618908770019004</c:v>
                </c:pt>
                <c:pt idx="157">
                  <c:v>82.586932211031552</c:v>
                </c:pt>
                <c:pt idx="158">
                  <c:v>82.555027530500354</c:v>
                </c:pt>
                <c:pt idx="159">
                  <c:v>82.523194728425409</c:v>
                </c:pt>
                <c:pt idx="160">
                  <c:v>82.491433804806718</c:v>
                </c:pt>
                <c:pt idx="161">
                  <c:v>82.459744759644281</c:v>
                </c:pt>
                <c:pt idx="162">
                  <c:v>82.428127592938097</c:v>
                </c:pt>
                <c:pt idx="163">
                  <c:v>82.396582304688181</c:v>
                </c:pt>
                <c:pt idx="164">
                  <c:v>82.365108894894519</c:v>
                </c:pt>
                <c:pt idx="165">
                  <c:v>82.333707363557096</c:v>
                </c:pt>
                <c:pt idx="166">
                  <c:v>82.302377710675941</c:v>
                </c:pt>
                <c:pt idx="167">
                  <c:v>82.271119936251026</c:v>
                </c:pt>
                <c:pt idx="168">
                  <c:v>82.239934040282378</c:v>
                </c:pt>
                <c:pt idx="169">
                  <c:v>82.20882002276997</c:v>
                </c:pt>
                <c:pt idx="170">
                  <c:v>82.177777883713816</c:v>
                </c:pt>
                <c:pt idx="171">
                  <c:v>82.146807623113915</c:v>
                </c:pt>
                <c:pt idx="172">
                  <c:v>82.115909240970282</c:v>
                </c:pt>
                <c:pt idx="173">
                  <c:v>82.085082737282903</c:v>
                </c:pt>
                <c:pt idx="174">
                  <c:v>82.054328112051778</c:v>
                </c:pt>
                <c:pt idx="175">
                  <c:v>82.023645365276906</c:v>
                </c:pt>
                <c:pt idx="176">
                  <c:v>81.993034496958288</c:v>
                </c:pt>
                <c:pt idx="177">
                  <c:v>81.962495507095923</c:v>
                </c:pt>
                <c:pt idx="178">
                  <c:v>81.932028395689812</c:v>
                </c:pt>
                <c:pt idx="179">
                  <c:v>81.901633162739941</c:v>
                </c:pt>
                <c:pt idx="180">
                  <c:v>81.871309808246338</c:v>
                </c:pt>
                <c:pt idx="181">
                  <c:v>81.841058332208974</c:v>
                </c:pt>
                <c:pt idx="182">
                  <c:v>81.810878734627892</c:v>
                </c:pt>
                <c:pt idx="183">
                  <c:v>81.780771015503049</c:v>
                </c:pt>
                <c:pt idx="184">
                  <c:v>81.750735174834475</c:v>
                </c:pt>
                <c:pt idx="185">
                  <c:v>81.72077121262214</c:v>
                </c:pt>
                <c:pt idx="186">
                  <c:v>81.690879128866058</c:v>
                </c:pt>
                <c:pt idx="187">
                  <c:v>81.66105892356623</c:v>
                </c:pt>
                <c:pt idx="188">
                  <c:v>81.631310596722656</c:v>
                </c:pt>
                <c:pt idx="189">
                  <c:v>81.601634148335336</c:v>
                </c:pt>
                <c:pt idx="190">
                  <c:v>81.572029578404269</c:v>
                </c:pt>
                <c:pt idx="191">
                  <c:v>81.542496886929456</c:v>
                </c:pt>
                <c:pt idx="192">
                  <c:v>81.513036073910911</c:v>
                </c:pt>
                <c:pt idx="193">
                  <c:v>81.483647139348619</c:v>
                </c:pt>
                <c:pt idx="194">
                  <c:v>81.454330083242567</c:v>
                </c:pt>
                <c:pt idx="195">
                  <c:v>81.425084905592783</c:v>
                </c:pt>
                <c:pt idx="196">
                  <c:v>81.395911606399252</c:v>
                </c:pt>
                <c:pt idx="197">
                  <c:v>81.366810185661961</c:v>
                </c:pt>
                <c:pt idx="198">
                  <c:v>81.337780643380924</c:v>
                </c:pt>
                <c:pt idx="199">
                  <c:v>81.308822979556155</c:v>
                </c:pt>
                <c:pt idx="200">
                  <c:v>81.279937194187625</c:v>
                </c:pt>
                <c:pt idx="201">
                  <c:v>81.251123287275362</c:v>
                </c:pt>
                <c:pt idx="202">
                  <c:v>81.222381258819368</c:v>
                </c:pt>
                <c:pt idx="203">
                  <c:v>81.193711108819613</c:v>
                </c:pt>
                <c:pt idx="204">
                  <c:v>81.165112837276112</c:v>
                </c:pt>
                <c:pt idx="205">
                  <c:v>81.136586444188865</c:v>
                </c:pt>
                <c:pt idx="206">
                  <c:v>81.108131929557871</c:v>
                </c:pt>
                <c:pt idx="207">
                  <c:v>81.079749293383131</c:v>
                </c:pt>
                <c:pt idx="208">
                  <c:v>81.051438535664644</c:v>
                </c:pt>
                <c:pt idx="209">
                  <c:v>81.023199656402397</c:v>
                </c:pt>
                <c:pt idx="210">
                  <c:v>80.995032655596418</c:v>
                </c:pt>
                <c:pt idx="211">
                  <c:v>80.966937533246707</c:v>
                </c:pt>
                <c:pt idx="212">
                  <c:v>80.938914289353235</c:v>
                </c:pt>
                <c:pt idx="213">
                  <c:v>80.910962923916031</c:v>
                </c:pt>
                <c:pt idx="214">
                  <c:v>80.883083436935067</c:v>
                </c:pt>
                <c:pt idx="215">
                  <c:v>80.85527582841037</c:v>
                </c:pt>
                <c:pt idx="216">
                  <c:v>80.827540098341913</c:v>
                </c:pt>
                <c:pt idx="217">
                  <c:v>80.79987624672971</c:v>
                </c:pt>
                <c:pt idx="218">
                  <c:v>80.77228427357376</c:v>
                </c:pt>
                <c:pt idx="219">
                  <c:v>80.744764178874064</c:v>
                </c:pt>
                <c:pt idx="220">
                  <c:v>80.717315962630622</c:v>
                </c:pt>
                <c:pt idx="221">
                  <c:v>80.689939624843447</c:v>
                </c:pt>
                <c:pt idx="222">
                  <c:v>80.662635165512526</c:v>
                </c:pt>
                <c:pt idx="223">
                  <c:v>80.635402584637859</c:v>
                </c:pt>
                <c:pt idx="224">
                  <c:v>80.608241882219446</c:v>
                </c:pt>
                <c:pt idx="225">
                  <c:v>80.581153058257286</c:v>
                </c:pt>
                <c:pt idx="226">
                  <c:v>80.55413611275138</c:v>
                </c:pt>
                <c:pt idx="227">
                  <c:v>80.527191045701713</c:v>
                </c:pt>
                <c:pt idx="228">
                  <c:v>80.500317857108314</c:v>
                </c:pt>
                <c:pt idx="229">
                  <c:v>80.473516546971155</c:v>
                </c:pt>
                <c:pt idx="230">
                  <c:v>80.446787115290249</c:v>
                </c:pt>
                <c:pt idx="231">
                  <c:v>80.420129562065625</c:v>
                </c:pt>
                <c:pt idx="232">
                  <c:v>80.393543887297241</c:v>
                </c:pt>
                <c:pt idx="233">
                  <c:v>80.367030090985125</c:v>
                </c:pt>
                <c:pt idx="234">
                  <c:v>80.340588173129248</c:v>
                </c:pt>
                <c:pt idx="235">
                  <c:v>80.314218133729625</c:v>
                </c:pt>
                <c:pt idx="236">
                  <c:v>80.287919972786256</c:v>
                </c:pt>
                <c:pt idx="237">
                  <c:v>80.26169369029914</c:v>
                </c:pt>
                <c:pt idx="238">
                  <c:v>80.235539286268278</c:v>
                </c:pt>
                <c:pt idx="239">
                  <c:v>80.209456760693669</c:v>
                </c:pt>
                <c:pt idx="240">
                  <c:v>80.1834461135753</c:v>
                </c:pt>
                <c:pt idx="241">
                  <c:v>80.157507344913213</c:v>
                </c:pt>
                <c:pt idx="242">
                  <c:v>80.13164045470738</c:v>
                </c:pt>
                <c:pt idx="243">
                  <c:v>80.105845442957786</c:v>
                </c:pt>
                <c:pt idx="244">
                  <c:v>80.080122309664461</c:v>
                </c:pt>
                <c:pt idx="245">
                  <c:v>80.054471054827388</c:v>
                </c:pt>
                <c:pt idx="246">
                  <c:v>80.028891678446556</c:v>
                </c:pt>
                <c:pt idx="247">
                  <c:v>80.003384180521977</c:v>
                </c:pt>
                <c:pt idx="248">
                  <c:v>79.977948561053651</c:v>
                </c:pt>
                <c:pt idx="249">
                  <c:v>79.952584820041594</c:v>
                </c:pt>
                <c:pt idx="250">
                  <c:v>79.927292957485776</c:v>
                </c:pt>
                <c:pt idx="251">
                  <c:v>79.902087313462957</c:v>
                </c:pt>
                <c:pt idx="252">
                  <c:v>79.876982228049883</c:v>
                </c:pt>
                <c:pt idx="253">
                  <c:v>79.851977701246554</c:v>
                </c:pt>
                <c:pt idx="254">
                  <c:v>79.82707373305297</c:v>
                </c:pt>
                <c:pt idx="255">
                  <c:v>79.802270323469131</c:v>
                </c:pt>
                <c:pt idx="256">
                  <c:v>79.777567472495022</c:v>
                </c:pt>
                <c:pt idx="257">
                  <c:v>79.752965180130658</c:v>
                </c:pt>
                <c:pt idx="258">
                  <c:v>79.728463446376026</c:v>
                </c:pt>
                <c:pt idx="259">
                  <c:v>79.704062271231152</c:v>
                </c:pt>
                <c:pt idx="260">
                  <c:v>79.679761654696009</c:v>
                </c:pt>
                <c:pt idx="261">
                  <c:v>79.65556159677061</c:v>
                </c:pt>
                <c:pt idx="262">
                  <c:v>79.631462097454943</c:v>
                </c:pt>
                <c:pt idx="263">
                  <c:v>79.607463156749034</c:v>
                </c:pt>
                <c:pt idx="264">
                  <c:v>79.583564774652856</c:v>
                </c:pt>
                <c:pt idx="265">
                  <c:v>79.559766951166424</c:v>
                </c:pt>
                <c:pt idx="266">
                  <c:v>79.536069686289721</c:v>
                </c:pt>
                <c:pt idx="267">
                  <c:v>79.512472980022778</c:v>
                </c:pt>
                <c:pt idx="268">
                  <c:v>79.488976832365566</c:v>
                </c:pt>
                <c:pt idx="269">
                  <c:v>79.46558124331807</c:v>
                </c:pt>
                <c:pt idx="270">
                  <c:v>79.442286212880333</c:v>
                </c:pt>
                <c:pt idx="271">
                  <c:v>79.419091741052327</c:v>
                </c:pt>
                <c:pt idx="272">
                  <c:v>79.395997827834066</c:v>
                </c:pt>
                <c:pt idx="273">
                  <c:v>79.373004473225535</c:v>
                </c:pt>
                <c:pt idx="274">
                  <c:v>79.350111677226749</c:v>
                </c:pt>
                <c:pt idx="275">
                  <c:v>79.327319439837709</c:v>
                </c:pt>
                <c:pt idx="276">
                  <c:v>79.304627761058413</c:v>
                </c:pt>
                <c:pt idx="277">
                  <c:v>79.282036640888862</c:v>
                </c:pt>
                <c:pt idx="278">
                  <c:v>79.259546079329041</c:v>
                </c:pt>
                <c:pt idx="279">
                  <c:v>79.237156076378966</c:v>
                </c:pt>
                <c:pt idx="280">
                  <c:v>79.214866632038635</c:v>
                </c:pt>
                <c:pt idx="281">
                  <c:v>79.192677746308036</c:v>
                </c:pt>
                <c:pt idx="282">
                  <c:v>79.170589419187181</c:v>
                </c:pt>
                <c:pt idx="283">
                  <c:v>79.148601650676071</c:v>
                </c:pt>
                <c:pt idx="284">
                  <c:v>79.126714440774705</c:v>
                </c:pt>
                <c:pt idx="285">
                  <c:v>79.104927789483071</c:v>
                </c:pt>
                <c:pt idx="286">
                  <c:v>79.083241696801196</c:v>
                </c:pt>
                <c:pt idx="287">
                  <c:v>79.061656162729037</c:v>
                </c:pt>
                <c:pt idx="288">
                  <c:v>79.040171187266637</c:v>
                </c:pt>
                <c:pt idx="289">
                  <c:v>79.018786770413968</c:v>
                </c:pt>
                <c:pt idx="290">
                  <c:v>78.997502912171058</c:v>
                </c:pt>
                <c:pt idx="291">
                  <c:v>78.976319612537864</c:v>
                </c:pt>
                <c:pt idx="292">
                  <c:v>78.95523687151443</c:v>
                </c:pt>
                <c:pt idx="293">
                  <c:v>78.934254689100726</c:v>
                </c:pt>
                <c:pt idx="294">
                  <c:v>78.913373065296767</c:v>
                </c:pt>
                <c:pt idx="295">
                  <c:v>78.892592000102553</c:v>
                </c:pt>
                <c:pt idx="296">
                  <c:v>78.871911493518084</c:v>
                </c:pt>
                <c:pt idx="297">
                  <c:v>78.851331545543346</c:v>
                </c:pt>
                <c:pt idx="298">
                  <c:v>78.831007366206421</c:v>
                </c:pt>
                <c:pt idx="299">
                  <c:v>78.811094165535408</c:v>
                </c:pt>
                <c:pt idx="300">
                  <c:v>78.791591943530264</c:v>
                </c:pt>
                <c:pt idx="301">
                  <c:v>78.772500700191031</c:v>
                </c:pt>
                <c:pt idx="302">
                  <c:v>78.753820435517696</c:v>
                </c:pt>
                <c:pt idx="303">
                  <c:v>78.735551149510272</c:v>
                </c:pt>
                <c:pt idx="304">
                  <c:v>78.717692842168717</c:v>
                </c:pt>
                <c:pt idx="305">
                  <c:v>78.700245513493073</c:v>
                </c:pt>
                <c:pt idx="306">
                  <c:v>78.683209163483312</c:v>
                </c:pt>
                <c:pt idx="307">
                  <c:v>78.666583792139477</c:v>
                </c:pt>
                <c:pt idx="308">
                  <c:v>78.650369399461511</c:v>
                </c:pt>
                <c:pt idx="309">
                  <c:v>78.634565985449441</c:v>
                </c:pt>
                <c:pt idx="310">
                  <c:v>78.619173550103284</c:v>
                </c:pt>
                <c:pt idx="311">
                  <c:v>78.604192093423023</c:v>
                </c:pt>
                <c:pt idx="312">
                  <c:v>78.589621615408646</c:v>
                </c:pt>
                <c:pt idx="313">
                  <c:v>78.57546211606018</c:v>
                </c:pt>
                <c:pt idx="314">
                  <c:v>78.561713595377597</c:v>
                </c:pt>
                <c:pt idx="315">
                  <c:v>78.548376053360926</c:v>
                </c:pt>
                <c:pt idx="316">
                  <c:v>78.535449490010137</c:v>
                </c:pt>
                <c:pt idx="317">
                  <c:v>78.522933905325246</c:v>
                </c:pt>
                <c:pt idx="318">
                  <c:v>78.510829299306266</c:v>
                </c:pt>
                <c:pt idx="319">
                  <c:v>78.499135671953184</c:v>
                </c:pt>
                <c:pt idx="320">
                  <c:v>78.48785302326597</c:v>
                </c:pt>
                <c:pt idx="321">
                  <c:v>78.476919912568363</c:v>
                </c:pt>
                <c:pt idx="322">
                  <c:v>78.466274899183986</c:v>
                </c:pt>
                <c:pt idx="323">
                  <c:v>78.455917983112855</c:v>
                </c:pt>
                <c:pt idx="324">
                  <c:v>78.445849164354968</c:v>
                </c:pt>
                <c:pt idx="325">
                  <c:v>78.436068442910326</c:v>
                </c:pt>
                <c:pt idx="326">
                  <c:v>78.426575818778943</c:v>
                </c:pt>
                <c:pt idx="327">
                  <c:v>78.417371291960791</c:v>
                </c:pt>
                <c:pt idx="328">
                  <c:v>78.408454862455898</c:v>
                </c:pt>
                <c:pt idx="329">
                  <c:v>78.399826530264235</c:v>
                </c:pt>
                <c:pt idx="330">
                  <c:v>78.391486295385832</c:v>
                </c:pt>
                <c:pt idx="331">
                  <c:v>78.383434157820659</c:v>
                </c:pt>
                <c:pt idx="332">
                  <c:v>78.375670117568745</c:v>
                </c:pt>
                <c:pt idx="333">
                  <c:v>78.368194174630077</c:v>
                </c:pt>
                <c:pt idx="334">
                  <c:v>78.361006329004653</c:v>
                </c:pt>
                <c:pt idx="335">
                  <c:v>78.354106580692473</c:v>
                </c:pt>
                <c:pt idx="336">
                  <c:v>78.347494929693553</c:v>
                </c:pt>
                <c:pt idx="337">
                  <c:v>78.341171376007864</c:v>
                </c:pt>
                <c:pt idx="338">
                  <c:v>78.335135919635434</c:v>
                </c:pt>
                <c:pt idx="339">
                  <c:v>78.329388560576234</c:v>
                </c:pt>
                <c:pt idx="340">
                  <c:v>78.323929298830294</c:v>
                </c:pt>
                <c:pt idx="341">
                  <c:v>78.318758134397598</c:v>
                </c:pt>
                <c:pt idx="342">
                  <c:v>78.313875067278147</c:v>
                </c:pt>
                <c:pt idx="343">
                  <c:v>78.309280097471927</c:v>
                </c:pt>
                <c:pt idx="344">
                  <c:v>78.304973224978966</c:v>
                </c:pt>
                <c:pt idx="345">
                  <c:v>78.300954449799249</c:v>
                </c:pt>
                <c:pt idx="346">
                  <c:v>78.297223771932778</c:v>
                </c:pt>
                <c:pt idx="347">
                  <c:v>78.293781191379566</c:v>
                </c:pt>
                <c:pt idx="348">
                  <c:v>78.29062009831199</c:v>
                </c:pt>
                <c:pt idx="349">
                  <c:v>78.287733882902458</c:v>
                </c:pt>
                <c:pt idx="350">
                  <c:v>78.285122545150983</c:v>
                </c:pt>
                <c:pt idx="351">
                  <c:v>78.282786085057566</c:v>
                </c:pt>
                <c:pt idx="352">
                  <c:v>78.280724502622192</c:v>
                </c:pt>
                <c:pt idx="353">
                  <c:v>78.278937797844861</c:v>
                </c:pt>
                <c:pt idx="354">
                  <c:v>78.277425970725588</c:v>
                </c:pt>
                <c:pt idx="355">
                  <c:v>78.276189021264358</c:v>
                </c:pt>
                <c:pt idx="356">
                  <c:v>78.275226949461185</c:v>
                </c:pt>
                <c:pt idx="357">
                  <c:v>78.274539755316056</c:v>
                </c:pt>
                <c:pt idx="358">
                  <c:v>78.27412743882897</c:v>
                </c:pt>
                <c:pt idx="359">
                  <c:v>78.273989999999941</c:v>
                </c:pt>
                <c:pt idx="360">
                  <c:v>78.273989999999941</c:v>
                </c:pt>
                <c:pt idx="361">
                  <c:v>78.273989999999941</c:v>
                </c:pt>
                <c:pt idx="362">
                  <c:v>78.273989999999941</c:v>
                </c:pt>
                <c:pt idx="363">
                  <c:v>78.273989999999941</c:v>
                </c:pt>
                <c:pt idx="364">
                  <c:v>78.273989999999941</c:v>
                </c:pt>
                <c:pt idx="365">
                  <c:v>78.273989999999941</c:v>
                </c:pt>
                <c:pt idx="366">
                  <c:v>78.273989999999941</c:v>
                </c:pt>
                <c:pt idx="367">
                  <c:v>78.273989999999941</c:v>
                </c:pt>
                <c:pt idx="368">
                  <c:v>78.273989999999941</c:v>
                </c:pt>
                <c:pt idx="369">
                  <c:v>78.273989999999941</c:v>
                </c:pt>
                <c:pt idx="370">
                  <c:v>78.273989999999941</c:v>
                </c:pt>
                <c:pt idx="371">
                  <c:v>78.273989999999941</c:v>
                </c:pt>
                <c:pt idx="372">
                  <c:v>78.273989999999941</c:v>
                </c:pt>
                <c:pt idx="373">
                  <c:v>78.273989999999941</c:v>
                </c:pt>
                <c:pt idx="374">
                  <c:v>78.273989999999941</c:v>
                </c:pt>
                <c:pt idx="375">
                  <c:v>78.273989999999941</c:v>
                </c:pt>
                <c:pt idx="376">
                  <c:v>78.273989999999941</c:v>
                </c:pt>
                <c:pt idx="377">
                  <c:v>78.273989999999941</c:v>
                </c:pt>
                <c:pt idx="378">
                  <c:v>78.273989999999941</c:v>
                </c:pt>
                <c:pt idx="379">
                  <c:v>78.273989999999941</c:v>
                </c:pt>
                <c:pt idx="380">
                  <c:v>78.273989999999941</c:v>
                </c:pt>
                <c:pt idx="381">
                  <c:v>78.273989999999941</c:v>
                </c:pt>
                <c:pt idx="382">
                  <c:v>78.273989999999941</c:v>
                </c:pt>
                <c:pt idx="383">
                  <c:v>78.273989999999941</c:v>
                </c:pt>
                <c:pt idx="384">
                  <c:v>78.273989999999941</c:v>
                </c:pt>
                <c:pt idx="385">
                  <c:v>78.273989999999941</c:v>
                </c:pt>
                <c:pt idx="386">
                  <c:v>78.273989999999941</c:v>
                </c:pt>
                <c:pt idx="387">
                  <c:v>78.273989999999941</c:v>
                </c:pt>
                <c:pt idx="388">
                  <c:v>78.273989999999941</c:v>
                </c:pt>
                <c:pt idx="389">
                  <c:v>78.273989999999941</c:v>
                </c:pt>
                <c:pt idx="390">
                  <c:v>78.273989999999941</c:v>
                </c:pt>
                <c:pt idx="391">
                  <c:v>78.273989999999941</c:v>
                </c:pt>
                <c:pt idx="392">
                  <c:v>78.273989999999941</c:v>
                </c:pt>
                <c:pt idx="393">
                  <c:v>78.273989999999941</c:v>
                </c:pt>
                <c:pt idx="394">
                  <c:v>78.273989999999941</c:v>
                </c:pt>
                <c:pt idx="395">
                  <c:v>78.273989999999941</c:v>
                </c:pt>
                <c:pt idx="396">
                  <c:v>78.273989999999941</c:v>
                </c:pt>
                <c:pt idx="397">
                  <c:v>78.273989999999941</c:v>
                </c:pt>
                <c:pt idx="398">
                  <c:v>78.273989999999941</c:v>
                </c:pt>
                <c:pt idx="399">
                  <c:v>78.273989999999941</c:v>
                </c:pt>
                <c:pt idx="400">
                  <c:v>78.273989999999941</c:v>
                </c:pt>
                <c:pt idx="401">
                  <c:v>78.273989999999941</c:v>
                </c:pt>
                <c:pt idx="402">
                  <c:v>78.273989999999941</c:v>
                </c:pt>
                <c:pt idx="403">
                  <c:v>78.273989999999941</c:v>
                </c:pt>
                <c:pt idx="404">
                  <c:v>78.273989999999941</c:v>
                </c:pt>
                <c:pt idx="405">
                  <c:v>78.273989999999941</c:v>
                </c:pt>
                <c:pt idx="406">
                  <c:v>78.273989999999941</c:v>
                </c:pt>
                <c:pt idx="407">
                  <c:v>78.273989999999941</c:v>
                </c:pt>
                <c:pt idx="408">
                  <c:v>78.273989999999941</c:v>
                </c:pt>
                <c:pt idx="409">
                  <c:v>78.273989999999941</c:v>
                </c:pt>
                <c:pt idx="410">
                  <c:v>78.273989999999941</c:v>
                </c:pt>
                <c:pt idx="411">
                  <c:v>78.273989999999941</c:v>
                </c:pt>
                <c:pt idx="412">
                  <c:v>78.273989999999941</c:v>
                </c:pt>
                <c:pt idx="413">
                  <c:v>78.273989999999941</c:v>
                </c:pt>
                <c:pt idx="414">
                  <c:v>78.273989999999941</c:v>
                </c:pt>
                <c:pt idx="415">
                  <c:v>78.273989999999941</c:v>
                </c:pt>
                <c:pt idx="416">
                  <c:v>78.273989999999941</c:v>
                </c:pt>
                <c:pt idx="417">
                  <c:v>78.273989999999941</c:v>
                </c:pt>
                <c:pt idx="418">
                  <c:v>78.273989999999941</c:v>
                </c:pt>
                <c:pt idx="419">
                  <c:v>78.273989999999941</c:v>
                </c:pt>
                <c:pt idx="420">
                  <c:v>78.273989999999941</c:v>
                </c:pt>
                <c:pt idx="421">
                  <c:v>78.273989999999941</c:v>
                </c:pt>
                <c:pt idx="422">
                  <c:v>78.273989999999941</c:v>
                </c:pt>
                <c:pt idx="423">
                  <c:v>78.273989999999941</c:v>
                </c:pt>
                <c:pt idx="424">
                  <c:v>78.273989999999941</c:v>
                </c:pt>
                <c:pt idx="425">
                  <c:v>78.273989999999941</c:v>
                </c:pt>
                <c:pt idx="426">
                  <c:v>78.273989999999941</c:v>
                </c:pt>
                <c:pt idx="427">
                  <c:v>78.273989999999941</c:v>
                </c:pt>
                <c:pt idx="428">
                  <c:v>78.273989999999941</c:v>
                </c:pt>
                <c:pt idx="429">
                  <c:v>78.273989999999941</c:v>
                </c:pt>
                <c:pt idx="430">
                  <c:v>78.273989999999941</c:v>
                </c:pt>
                <c:pt idx="431">
                  <c:v>78.273989999999941</c:v>
                </c:pt>
                <c:pt idx="432">
                  <c:v>78.273989999999941</c:v>
                </c:pt>
                <c:pt idx="433">
                  <c:v>78.273989999999941</c:v>
                </c:pt>
                <c:pt idx="434">
                  <c:v>78.273989999999941</c:v>
                </c:pt>
                <c:pt idx="435">
                  <c:v>78.273989999999941</c:v>
                </c:pt>
                <c:pt idx="436">
                  <c:v>78.273989999999941</c:v>
                </c:pt>
                <c:pt idx="437">
                  <c:v>78.273989999999941</c:v>
                </c:pt>
                <c:pt idx="438">
                  <c:v>78.273989999999941</c:v>
                </c:pt>
                <c:pt idx="439">
                  <c:v>78.273989999999941</c:v>
                </c:pt>
                <c:pt idx="440">
                  <c:v>78.273989999999941</c:v>
                </c:pt>
                <c:pt idx="441">
                  <c:v>78.273989999999941</c:v>
                </c:pt>
                <c:pt idx="442">
                  <c:v>78.273989999999941</c:v>
                </c:pt>
                <c:pt idx="443">
                  <c:v>78.273989999999941</c:v>
                </c:pt>
                <c:pt idx="444">
                  <c:v>78.273989999999941</c:v>
                </c:pt>
                <c:pt idx="445">
                  <c:v>78.273989999999941</c:v>
                </c:pt>
                <c:pt idx="446">
                  <c:v>78.273989999999941</c:v>
                </c:pt>
                <c:pt idx="447">
                  <c:v>78.273989999999941</c:v>
                </c:pt>
                <c:pt idx="448">
                  <c:v>78.273989999999941</c:v>
                </c:pt>
                <c:pt idx="449">
                  <c:v>78.273989999999941</c:v>
                </c:pt>
                <c:pt idx="450">
                  <c:v>78.273989999999941</c:v>
                </c:pt>
                <c:pt idx="451">
                  <c:v>78.273989999999941</c:v>
                </c:pt>
                <c:pt idx="452">
                  <c:v>78.273989999999941</c:v>
                </c:pt>
                <c:pt idx="453">
                  <c:v>78.273989999999941</c:v>
                </c:pt>
                <c:pt idx="454">
                  <c:v>78.273989999999941</c:v>
                </c:pt>
                <c:pt idx="455">
                  <c:v>78.273989999999941</c:v>
                </c:pt>
                <c:pt idx="456">
                  <c:v>78.273989999999941</c:v>
                </c:pt>
                <c:pt idx="457">
                  <c:v>78.273989999999941</c:v>
                </c:pt>
                <c:pt idx="458">
                  <c:v>78.273989999999941</c:v>
                </c:pt>
                <c:pt idx="459">
                  <c:v>78.273989999999941</c:v>
                </c:pt>
                <c:pt idx="460">
                  <c:v>78.273989999999941</c:v>
                </c:pt>
                <c:pt idx="461">
                  <c:v>78.273989999999941</c:v>
                </c:pt>
                <c:pt idx="462">
                  <c:v>78.273989999999941</c:v>
                </c:pt>
                <c:pt idx="463">
                  <c:v>78.273989999999941</c:v>
                </c:pt>
                <c:pt idx="464">
                  <c:v>78.273989999999941</c:v>
                </c:pt>
                <c:pt idx="465">
                  <c:v>78.273989999999941</c:v>
                </c:pt>
                <c:pt idx="466">
                  <c:v>78.273989999999941</c:v>
                </c:pt>
                <c:pt idx="467">
                  <c:v>78.273989999999941</c:v>
                </c:pt>
                <c:pt idx="468">
                  <c:v>78.273989999999941</c:v>
                </c:pt>
                <c:pt idx="469">
                  <c:v>78.273989999999941</c:v>
                </c:pt>
                <c:pt idx="470">
                  <c:v>78.273989999999941</c:v>
                </c:pt>
                <c:pt idx="471">
                  <c:v>78.273989999999941</c:v>
                </c:pt>
                <c:pt idx="472">
                  <c:v>78.273989999999941</c:v>
                </c:pt>
                <c:pt idx="473">
                  <c:v>78.273989999999941</c:v>
                </c:pt>
                <c:pt idx="474">
                  <c:v>78.273989999999941</c:v>
                </c:pt>
                <c:pt idx="475">
                  <c:v>78.273989999999941</c:v>
                </c:pt>
                <c:pt idx="476">
                  <c:v>78.273989999999941</c:v>
                </c:pt>
                <c:pt idx="477">
                  <c:v>78.273989999999941</c:v>
                </c:pt>
                <c:pt idx="478">
                  <c:v>78.273989999999941</c:v>
                </c:pt>
                <c:pt idx="479">
                  <c:v>78.273989999999941</c:v>
                </c:pt>
                <c:pt idx="480">
                  <c:v>78.273989999999941</c:v>
                </c:pt>
                <c:pt idx="481">
                  <c:v>78.273989999999941</c:v>
                </c:pt>
                <c:pt idx="482">
                  <c:v>78.273989999999941</c:v>
                </c:pt>
                <c:pt idx="483">
                  <c:v>78.273989999999941</c:v>
                </c:pt>
                <c:pt idx="484">
                  <c:v>78.273989999999941</c:v>
                </c:pt>
                <c:pt idx="485">
                  <c:v>78.273989999999941</c:v>
                </c:pt>
                <c:pt idx="486">
                  <c:v>78.273989999999941</c:v>
                </c:pt>
                <c:pt idx="487">
                  <c:v>78.273989999999941</c:v>
                </c:pt>
                <c:pt idx="488">
                  <c:v>78.273989999999941</c:v>
                </c:pt>
                <c:pt idx="489">
                  <c:v>78.273989999999941</c:v>
                </c:pt>
                <c:pt idx="490">
                  <c:v>78.273989999999941</c:v>
                </c:pt>
                <c:pt idx="491">
                  <c:v>78.273989999999941</c:v>
                </c:pt>
                <c:pt idx="492">
                  <c:v>78.273989999999941</c:v>
                </c:pt>
                <c:pt idx="493">
                  <c:v>78.273989999999941</c:v>
                </c:pt>
                <c:pt idx="494">
                  <c:v>78.273989999999941</c:v>
                </c:pt>
                <c:pt idx="495">
                  <c:v>78.273989999999941</c:v>
                </c:pt>
                <c:pt idx="496">
                  <c:v>78.273989999999941</c:v>
                </c:pt>
                <c:pt idx="497">
                  <c:v>78.273989999999941</c:v>
                </c:pt>
                <c:pt idx="498">
                  <c:v>78.273989999999941</c:v>
                </c:pt>
                <c:pt idx="499">
                  <c:v>78.273989999999941</c:v>
                </c:pt>
                <c:pt idx="500">
                  <c:v>78.273989999999941</c:v>
                </c:pt>
                <c:pt idx="501">
                  <c:v>78.273989999999941</c:v>
                </c:pt>
                <c:pt idx="502">
                  <c:v>78.273989999999941</c:v>
                </c:pt>
                <c:pt idx="503">
                  <c:v>78.273989999999941</c:v>
                </c:pt>
                <c:pt idx="504">
                  <c:v>78.273989999999941</c:v>
                </c:pt>
                <c:pt idx="505">
                  <c:v>78.273989999999941</c:v>
                </c:pt>
                <c:pt idx="506">
                  <c:v>78.273989999999941</c:v>
                </c:pt>
                <c:pt idx="507">
                  <c:v>78.273989999999941</c:v>
                </c:pt>
                <c:pt idx="508">
                  <c:v>78.273989999999941</c:v>
                </c:pt>
                <c:pt idx="509">
                  <c:v>78.273989999999941</c:v>
                </c:pt>
                <c:pt idx="510">
                  <c:v>78.273989999999941</c:v>
                </c:pt>
                <c:pt idx="511">
                  <c:v>78.273989999999941</c:v>
                </c:pt>
                <c:pt idx="512">
                  <c:v>78.273989999999941</c:v>
                </c:pt>
                <c:pt idx="513">
                  <c:v>78.273989999999941</c:v>
                </c:pt>
                <c:pt idx="514">
                  <c:v>78.273989999999941</c:v>
                </c:pt>
                <c:pt idx="515">
                  <c:v>78.273989999999941</c:v>
                </c:pt>
                <c:pt idx="516">
                  <c:v>78.273989999999941</c:v>
                </c:pt>
                <c:pt idx="517">
                  <c:v>78.273989999999941</c:v>
                </c:pt>
                <c:pt idx="518">
                  <c:v>78.273989999999941</c:v>
                </c:pt>
                <c:pt idx="519">
                  <c:v>78.273989999999941</c:v>
                </c:pt>
                <c:pt idx="520">
                  <c:v>78.273989999999941</c:v>
                </c:pt>
                <c:pt idx="521">
                  <c:v>78.273989999999941</c:v>
                </c:pt>
                <c:pt idx="522">
                  <c:v>78.273989999999941</c:v>
                </c:pt>
                <c:pt idx="523">
                  <c:v>78.273989999999941</c:v>
                </c:pt>
                <c:pt idx="524">
                  <c:v>78.273989999999941</c:v>
                </c:pt>
                <c:pt idx="525">
                  <c:v>78.273989999999941</c:v>
                </c:pt>
                <c:pt idx="526">
                  <c:v>78.273989999999941</c:v>
                </c:pt>
                <c:pt idx="527">
                  <c:v>78.273989999999941</c:v>
                </c:pt>
                <c:pt idx="528">
                  <c:v>78.273989999999941</c:v>
                </c:pt>
                <c:pt idx="529">
                  <c:v>78.273989999999941</c:v>
                </c:pt>
                <c:pt idx="530">
                  <c:v>78.273989999999941</c:v>
                </c:pt>
                <c:pt idx="531">
                  <c:v>78.273989999999941</c:v>
                </c:pt>
                <c:pt idx="532">
                  <c:v>78.273989999999941</c:v>
                </c:pt>
                <c:pt idx="533">
                  <c:v>78.273989999999941</c:v>
                </c:pt>
                <c:pt idx="534">
                  <c:v>78.273989999999941</c:v>
                </c:pt>
                <c:pt idx="535">
                  <c:v>78.273989999999941</c:v>
                </c:pt>
                <c:pt idx="536">
                  <c:v>78.273989999999941</c:v>
                </c:pt>
                <c:pt idx="537">
                  <c:v>78.273989999999941</c:v>
                </c:pt>
                <c:pt idx="538">
                  <c:v>78.273989999999941</c:v>
                </c:pt>
                <c:pt idx="539">
                  <c:v>78.273989999999941</c:v>
                </c:pt>
                <c:pt idx="540">
                  <c:v>78.273989999999941</c:v>
                </c:pt>
                <c:pt idx="541">
                  <c:v>78.273989999999941</c:v>
                </c:pt>
                <c:pt idx="542">
                  <c:v>78.273989999999941</c:v>
                </c:pt>
                <c:pt idx="543">
                  <c:v>78.273989999999941</c:v>
                </c:pt>
                <c:pt idx="544">
                  <c:v>78.273989999999941</c:v>
                </c:pt>
                <c:pt idx="545">
                  <c:v>78.273989999999941</c:v>
                </c:pt>
                <c:pt idx="546">
                  <c:v>78.273989999999941</c:v>
                </c:pt>
                <c:pt idx="547">
                  <c:v>78.273989999999941</c:v>
                </c:pt>
                <c:pt idx="548">
                  <c:v>78.273989999999941</c:v>
                </c:pt>
                <c:pt idx="549">
                  <c:v>78.273989999999941</c:v>
                </c:pt>
                <c:pt idx="550">
                  <c:v>78.273989999999941</c:v>
                </c:pt>
                <c:pt idx="551">
                  <c:v>78.273989999999941</c:v>
                </c:pt>
                <c:pt idx="552">
                  <c:v>78.273989999999941</c:v>
                </c:pt>
                <c:pt idx="553">
                  <c:v>78.273989999999941</c:v>
                </c:pt>
                <c:pt idx="554">
                  <c:v>78.273989999999941</c:v>
                </c:pt>
                <c:pt idx="555">
                  <c:v>78.273989999999941</c:v>
                </c:pt>
                <c:pt idx="556">
                  <c:v>78.273989999999941</c:v>
                </c:pt>
                <c:pt idx="557">
                  <c:v>78.273989999999941</c:v>
                </c:pt>
                <c:pt idx="558">
                  <c:v>78.273989999999941</c:v>
                </c:pt>
                <c:pt idx="559">
                  <c:v>78.273989999999941</c:v>
                </c:pt>
                <c:pt idx="560">
                  <c:v>78.273989999999941</c:v>
                </c:pt>
                <c:pt idx="561">
                  <c:v>78.273989999999941</c:v>
                </c:pt>
                <c:pt idx="562">
                  <c:v>78.273989999999941</c:v>
                </c:pt>
                <c:pt idx="563">
                  <c:v>78.273989999999941</c:v>
                </c:pt>
                <c:pt idx="564">
                  <c:v>78.273989999999941</c:v>
                </c:pt>
                <c:pt idx="565">
                  <c:v>78.273989999999941</c:v>
                </c:pt>
                <c:pt idx="566">
                  <c:v>78.273989999999941</c:v>
                </c:pt>
                <c:pt idx="567">
                  <c:v>78.273989999999941</c:v>
                </c:pt>
                <c:pt idx="568">
                  <c:v>78.273989999999941</c:v>
                </c:pt>
                <c:pt idx="569">
                  <c:v>78.273989999999941</c:v>
                </c:pt>
                <c:pt idx="570">
                  <c:v>78.273989999999941</c:v>
                </c:pt>
                <c:pt idx="571">
                  <c:v>78.273989999999941</c:v>
                </c:pt>
                <c:pt idx="572">
                  <c:v>78.273989999999941</c:v>
                </c:pt>
                <c:pt idx="573">
                  <c:v>78.273989999999941</c:v>
                </c:pt>
                <c:pt idx="574">
                  <c:v>78.273989999999941</c:v>
                </c:pt>
                <c:pt idx="575">
                  <c:v>78.273989999999941</c:v>
                </c:pt>
                <c:pt idx="576">
                  <c:v>78.273989999999941</c:v>
                </c:pt>
                <c:pt idx="577">
                  <c:v>78.273989999999941</c:v>
                </c:pt>
                <c:pt idx="578">
                  <c:v>78.273989999999941</c:v>
                </c:pt>
                <c:pt idx="579">
                  <c:v>78.273989999999941</c:v>
                </c:pt>
                <c:pt idx="580">
                  <c:v>78.273989999999941</c:v>
                </c:pt>
                <c:pt idx="581">
                  <c:v>78.273989999999941</c:v>
                </c:pt>
                <c:pt idx="582">
                  <c:v>78.273989999999941</c:v>
                </c:pt>
                <c:pt idx="583">
                  <c:v>78.273989999999941</c:v>
                </c:pt>
                <c:pt idx="584">
                  <c:v>78.273989999999941</c:v>
                </c:pt>
                <c:pt idx="585">
                  <c:v>78.273989999999941</c:v>
                </c:pt>
                <c:pt idx="586">
                  <c:v>78.273989999999941</c:v>
                </c:pt>
                <c:pt idx="587">
                  <c:v>78.273989999999941</c:v>
                </c:pt>
                <c:pt idx="588">
                  <c:v>78.273989999999941</c:v>
                </c:pt>
                <c:pt idx="589">
                  <c:v>78.273989999999941</c:v>
                </c:pt>
                <c:pt idx="590">
                  <c:v>78.273989999999941</c:v>
                </c:pt>
                <c:pt idx="591">
                  <c:v>78.273989999999941</c:v>
                </c:pt>
                <c:pt idx="592">
                  <c:v>78.273989999999941</c:v>
                </c:pt>
                <c:pt idx="593">
                  <c:v>78.273989999999941</c:v>
                </c:pt>
                <c:pt idx="594">
                  <c:v>78.273989999999941</c:v>
                </c:pt>
                <c:pt idx="595">
                  <c:v>78.273989999999941</c:v>
                </c:pt>
                <c:pt idx="596">
                  <c:v>78.273989999999941</c:v>
                </c:pt>
                <c:pt idx="597">
                  <c:v>78.273989999999941</c:v>
                </c:pt>
                <c:pt idx="598">
                  <c:v>78.273989999999941</c:v>
                </c:pt>
                <c:pt idx="599">
                  <c:v>78.273989999999941</c:v>
                </c:pt>
                <c:pt idx="600">
                  <c:v>78.273989999999941</c:v>
                </c:pt>
                <c:pt idx="601">
                  <c:v>78.273989999999941</c:v>
                </c:pt>
                <c:pt idx="602">
                  <c:v>78.273989999999941</c:v>
                </c:pt>
                <c:pt idx="603">
                  <c:v>78.273989999999941</c:v>
                </c:pt>
                <c:pt idx="604">
                  <c:v>78.273989999999941</c:v>
                </c:pt>
                <c:pt idx="605">
                  <c:v>78.273989999999941</c:v>
                </c:pt>
                <c:pt idx="606">
                  <c:v>78.273989999999941</c:v>
                </c:pt>
                <c:pt idx="607">
                  <c:v>78.273989999999941</c:v>
                </c:pt>
                <c:pt idx="608">
                  <c:v>78.273989999999941</c:v>
                </c:pt>
                <c:pt idx="609">
                  <c:v>78.273989999999941</c:v>
                </c:pt>
                <c:pt idx="610">
                  <c:v>78.273989999999941</c:v>
                </c:pt>
                <c:pt idx="611">
                  <c:v>78.273989999999941</c:v>
                </c:pt>
                <c:pt idx="612">
                  <c:v>78.273989999999941</c:v>
                </c:pt>
                <c:pt idx="613">
                  <c:v>78.273989999999941</c:v>
                </c:pt>
                <c:pt idx="614">
                  <c:v>78.273989999999941</c:v>
                </c:pt>
                <c:pt idx="615">
                  <c:v>78.273989999999941</c:v>
                </c:pt>
                <c:pt idx="616">
                  <c:v>78.273989999999941</c:v>
                </c:pt>
                <c:pt idx="617">
                  <c:v>78.273989999999941</c:v>
                </c:pt>
                <c:pt idx="618">
                  <c:v>78.273989999999941</c:v>
                </c:pt>
                <c:pt idx="619">
                  <c:v>78.273989999999941</c:v>
                </c:pt>
                <c:pt idx="620">
                  <c:v>78.273989999999941</c:v>
                </c:pt>
                <c:pt idx="621">
                  <c:v>78.273989999999941</c:v>
                </c:pt>
                <c:pt idx="622">
                  <c:v>78.273989999999941</c:v>
                </c:pt>
                <c:pt idx="623">
                  <c:v>78.273989999999941</c:v>
                </c:pt>
                <c:pt idx="624">
                  <c:v>78.273989999999941</c:v>
                </c:pt>
                <c:pt idx="625">
                  <c:v>78.273989999999941</c:v>
                </c:pt>
                <c:pt idx="626">
                  <c:v>78.273989999999941</c:v>
                </c:pt>
                <c:pt idx="627">
                  <c:v>78.273989999999941</c:v>
                </c:pt>
                <c:pt idx="628">
                  <c:v>78.273989999999941</c:v>
                </c:pt>
                <c:pt idx="629">
                  <c:v>78.273989999999941</c:v>
                </c:pt>
                <c:pt idx="630">
                  <c:v>78.273989999999941</c:v>
                </c:pt>
                <c:pt idx="631">
                  <c:v>78.273989999999941</c:v>
                </c:pt>
                <c:pt idx="632">
                  <c:v>78.273989999999941</c:v>
                </c:pt>
                <c:pt idx="633">
                  <c:v>78.273989999999941</c:v>
                </c:pt>
                <c:pt idx="634">
                  <c:v>78.273989999999941</c:v>
                </c:pt>
                <c:pt idx="635">
                  <c:v>78.273989999999941</c:v>
                </c:pt>
                <c:pt idx="636">
                  <c:v>78.273989999999941</c:v>
                </c:pt>
                <c:pt idx="637">
                  <c:v>78.273989999999941</c:v>
                </c:pt>
                <c:pt idx="638">
                  <c:v>78.273989999999941</c:v>
                </c:pt>
                <c:pt idx="639">
                  <c:v>78.273989999999941</c:v>
                </c:pt>
                <c:pt idx="640">
                  <c:v>78.273989999999941</c:v>
                </c:pt>
                <c:pt idx="641">
                  <c:v>78.273989999999941</c:v>
                </c:pt>
                <c:pt idx="642">
                  <c:v>78.273989999999941</c:v>
                </c:pt>
                <c:pt idx="643">
                  <c:v>78.273989999999941</c:v>
                </c:pt>
                <c:pt idx="644">
                  <c:v>78.273989999999941</c:v>
                </c:pt>
                <c:pt idx="645">
                  <c:v>78.273989999999941</c:v>
                </c:pt>
                <c:pt idx="646">
                  <c:v>78.273989999999941</c:v>
                </c:pt>
                <c:pt idx="647">
                  <c:v>78.273989999999941</c:v>
                </c:pt>
                <c:pt idx="648">
                  <c:v>78.273989999999941</c:v>
                </c:pt>
                <c:pt idx="649">
                  <c:v>78.273989999999941</c:v>
                </c:pt>
                <c:pt idx="650">
                  <c:v>78.273989999999941</c:v>
                </c:pt>
                <c:pt idx="651">
                  <c:v>78.273989999999941</c:v>
                </c:pt>
                <c:pt idx="652">
                  <c:v>78.273989999999941</c:v>
                </c:pt>
                <c:pt idx="653">
                  <c:v>78.273989999999941</c:v>
                </c:pt>
                <c:pt idx="654">
                  <c:v>78.273989999999941</c:v>
                </c:pt>
                <c:pt idx="655">
                  <c:v>78.273989999999941</c:v>
                </c:pt>
                <c:pt idx="656">
                  <c:v>78.273989999999941</c:v>
                </c:pt>
                <c:pt idx="657">
                  <c:v>78.273989999999941</c:v>
                </c:pt>
                <c:pt idx="658">
                  <c:v>78.273989999999941</c:v>
                </c:pt>
                <c:pt idx="659">
                  <c:v>78.273989999999941</c:v>
                </c:pt>
                <c:pt idx="660">
                  <c:v>78.273989999999941</c:v>
                </c:pt>
                <c:pt idx="661">
                  <c:v>78.273989999999941</c:v>
                </c:pt>
                <c:pt idx="662">
                  <c:v>78.273989999999941</c:v>
                </c:pt>
                <c:pt idx="663">
                  <c:v>78.273989999999941</c:v>
                </c:pt>
                <c:pt idx="664">
                  <c:v>78.273989999999941</c:v>
                </c:pt>
                <c:pt idx="665">
                  <c:v>78.273989999999941</c:v>
                </c:pt>
                <c:pt idx="666">
                  <c:v>78.273989999999941</c:v>
                </c:pt>
                <c:pt idx="667">
                  <c:v>78.273989999999941</c:v>
                </c:pt>
                <c:pt idx="668">
                  <c:v>78.273989999999941</c:v>
                </c:pt>
                <c:pt idx="669">
                  <c:v>78.273989999999941</c:v>
                </c:pt>
                <c:pt idx="670">
                  <c:v>78.273989999999941</c:v>
                </c:pt>
                <c:pt idx="671">
                  <c:v>78.273989999999941</c:v>
                </c:pt>
                <c:pt idx="672">
                  <c:v>78.273989999999941</c:v>
                </c:pt>
                <c:pt idx="673">
                  <c:v>78.273989999999941</c:v>
                </c:pt>
                <c:pt idx="674">
                  <c:v>78.273989999999941</c:v>
                </c:pt>
                <c:pt idx="675">
                  <c:v>78.273989999999941</c:v>
                </c:pt>
                <c:pt idx="676">
                  <c:v>78.273989999999941</c:v>
                </c:pt>
                <c:pt idx="677">
                  <c:v>78.273989999999941</c:v>
                </c:pt>
                <c:pt idx="678">
                  <c:v>78.273989999999941</c:v>
                </c:pt>
                <c:pt idx="679">
                  <c:v>78.273989999999941</c:v>
                </c:pt>
                <c:pt idx="680">
                  <c:v>78.273989999999941</c:v>
                </c:pt>
                <c:pt idx="681">
                  <c:v>78.273989999999941</c:v>
                </c:pt>
                <c:pt idx="682">
                  <c:v>78.273989999999941</c:v>
                </c:pt>
                <c:pt idx="683">
                  <c:v>78.273989999999941</c:v>
                </c:pt>
                <c:pt idx="684">
                  <c:v>78.273989999999941</c:v>
                </c:pt>
                <c:pt idx="685">
                  <c:v>78.273989999999941</c:v>
                </c:pt>
                <c:pt idx="686">
                  <c:v>78.273989999999941</c:v>
                </c:pt>
                <c:pt idx="687">
                  <c:v>78.273989999999941</c:v>
                </c:pt>
                <c:pt idx="688">
                  <c:v>78.273989999999941</c:v>
                </c:pt>
                <c:pt idx="689">
                  <c:v>78.273989999999941</c:v>
                </c:pt>
                <c:pt idx="690">
                  <c:v>78.273989999999941</c:v>
                </c:pt>
                <c:pt idx="691">
                  <c:v>78.273989999999941</c:v>
                </c:pt>
                <c:pt idx="692">
                  <c:v>78.273989999999941</c:v>
                </c:pt>
                <c:pt idx="693">
                  <c:v>78.273989999999941</c:v>
                </c:pt>
                <c:pt idx="694">
                  <c:v>78.273989999999941</c:v>
                </c:pt>
                <c:pt idx="695">
                  <c:v>78.273989999999941</c:v>
                </c:pt>
                <c:pt idx="696">
                  <c:v>78.273989999999941</c:v>
                </c:pt>
                <c:pt idx="697">
                  <c:v>78.273989999999941</c:v>
                </c:pt>
                <c:pt idx="698">
                  <c:v>78.273989999999941</c:v>
                </c:pt>
                <c:pt idx="699">
                  <c:v>78.273989999999941</c:v>
                </c:pt>
                <c:pt idx="700">
                  <c:v>78.273989999999941</c:v>
                </c:pt>
                <c:pt idx="701">
                  <c:v>78.273989999999941</c:v>
                </c:pt>
                <c:pt idx="702">
                  <c:v>78.273989999999941</c:v>
                </c:pt>
                <c:pt idx="703">
                  <c:v>78.273989999999941</c:v>
                </c:pt>
                <c:pt idx="704">
                  <c:v>78.273989999999941</c:v>
                </c:pt>
                <c:pt idx="705">
                  <c:v>78.273989999999941</c:v>
                </c:pt>
                <c:pt idx="706">
                  <c:v>78.273989999999941</c:v>
                </c:pt>
                <c:pt idx="707">
                  <c:v>78.273989999999941</c:v>
                </c:pt>
                <c:pt idx="708">
                  <c:v>78.273989999999941</c:v>
                </c:pt>
                <c:pt idx="709">
                  <c:v>78.273989999999941</c:v>
                </c:pt>
                <c:pt idx="710">
                  <c:v>78.273989999999941</c:v>
                </c:pt>
                <c:pt idx="711">
                  <c:v>78.273989999999941</c:v>
                </c:pt>
                <c:pt idx="712">
                  <c:v>78.273989999999941</c:v>
                </c:pt>
                <c:pt idx="713">
                  <c:v>78.273989999999941</c:v>
                </c:pt>
                <c:pt idx="714">
                  <c:v>78.273989999999941</c:v>
                </c:pt>
                <c:pt idx="715">
                  <c:v>78.273989999999941</c:v>
                </c:pt>
                <c:pt idx="716">
                  <c:v>78.273989999999941</c:v>
                </c:pt>
                <c:pt idx="717">
                  <c:v>78.273989999999941</c:v>
                </c:pt>
                <c:pt idx="718">
                  <c:v>78.273989999999941</c:v>
                </c:pt>
                <c:pt idx="719">
                  <c:v>78.273989999999941</c:v>
                </c:pt>
                <c:pt idx="720">
                  <c:v>78.273989999999941</c:v>
                </c:pt>
                <c:pt idx="721">
                  <c:v>78.273989999999941</c:v>
                </c:pt>
                <c:pt idx="722">
                  <c:v>78.273989999999941</c:v>
                </c:pt>
                <c:pt idx="723">
                  <c:v>78.273989999999941</c:v>
                </c:pt>
                <c:pt idx="724">
                  <c:v>78.273989999999941</c:v>
                </c:pt>
                <c:pt idx="725">
                  <c:v>78.273989999999941</c:v>
                </c:pt>
                <c:pt idx="726">
                  <c:v>78.273989999999941</c:v>
                </c:pt>
                <c:pt idx="727">
                  <c:v>78.273989999999941</c:v>
                </c:pt>
                <c:pt idx="728">
                  <c:v>78.273989999999941</c:v>
                </c:pt>
                <c:pt idx="729">
                  <c:v>78.273989999999941</c:v>
                </c:pt>
                <c:pt idx="730">
                  <c:v>78.273989999999941</c:v>
                </c:pt>
                <c:pt idx="731">
                  <c:v>78.273989999999941</c:v>
                </c:pt>
                <c:pt idx="732">
                  <c:v>78.273989999999941</c:v>
                </c:pt>
                <c:pt idx="733">
                  <c:v>78.273989999999941</c:v>
                </c:pt>
                <c:pt idx="734">
                  <c:v>78.273989999999941</c:v>
                </c:pt>
                <c:pt idx="735">
                  <c:v>78.273989999999941</c:v>
                </c:pt>
                <c:pt idx="736">
                  <c:v>78.273989999999941</c:v>
                </c:pt>
                <c:pt idx="737">
                  <c:v>78.273989999999941</c:v>
                </c:pt>
                <c:pt idx="738">
                  <c:v>78.273989999999941</c:v>
                </c:pt>
                <c:pt idx="739">
                  <c:v>78.273989999999941</c:v>
                </c:pt>
                <c:pt idx="740">
                  <c:v>78.273989999999941</c:v>
                </c:pt>
                <c:pt idx="741">
                  <c:v>78.273989999999941</c:v>
                </c:pt>
                <c:pt idx="742">
                  <c:v>78.273989999999941</c:v>
                </c:pt>
                <c:pt idx="743">
                  <c:v>78.273989999999941</c:v>
                </c:pt>
                <c:pt idx="744">
                  <c:v>78.273989999999941</c:v>
                </c:pt>
                <c:pt idx="745">
                  <c:v>78.273989999999941</c:v>
                </c:pt>
                <c:pt idx="746">
                  <c:v>78.273989999999941</c:v>
                </c:pt>
                <c:pt idx="747">
                  <c:v>78.273989999999941</c:v>
                </c:pt>
                <c:pt idx="748">
                  <c:v>78.273989999999941</c:v>
                </c:pt>
                <c:pt idx="749">
                  <c:v>78.273989999999941</c:v>
                </c:pt>
                <c:pt idx="750">
                  <c:v>78.273989999999941</c:v>
                </c:pt>
                <c:pt idx="751">
                  <c:v>78.273989999999941</c:v>
                </c:pt>
                <c:pt idx="752">
                  <c:v>78.273989999999941</c:v>
                </c:pt>
                <c:pt idx="753">
                  <c:v>78.273989999999941</c:v>
                </c:pt>
                <c:pt idx="754">
                  <c:v>78.273989999999941</c:v>
                </c:pt>
                <c:pt idx="755">
                  <c:v>78.273989999999941</c:v>
                </c:pt>
                <c:pt idx="756">
                  <c:v>78.273989999999941</c:v>
                </c:pt>
                <c:pt idx="757">
                  <c:v>78.273989999999941</c:v>
                </c:pt>
                <c:pt idx="758">
                  <c:v>78.273989999999941</c:v>
                </c:pt>
                <c:pt idx="759">
                  <c:v>78.273989999999941</c:v>
                </c:pt>
                <c:pt idx="760">
                  <c:v>78.273989999999941</c:v>
                </c:pt>
                <c:pt idx="761">
                  <c:v>78.273989999999941</c:v>
                </c:pt>
                <c:pt idx="762">
                  <c:v>78.273989999999941</c:v>
                </c:pt>
                <c:pt idx="763">
                  <c:v>78.273989999999941</c:v>
                </c:pt>
                <c:pt idx="764">
                  <c:v>78.273989999999941</c:v>
                </c:pt>
                <c:pt idx="765">
                  <c:v>78.273989999999941</c:v>
                </c:pt>
                <c:pt idx="766">
                  <c:v>78.273989999999941</c:v>
                </c:pt>
                <c:pt idx="767">
                  <c:v>78.273989999999941</c:v>
                </c:pt>
                <c:pt idx="768">
                  <c:v>78.273989999999941</c:v>
                </c:pt>
                <c:pt idx="769">
                  <c:v>78.273989999999941</c:v>
                </c:pt>
                <c:pt idx="770">
                  <c:v>78.273989999999941</c:v>
                </c:pt>
                <c:pt idx="771">
                  <c:v>78.273989999999941</c:v>
                </c:pt>
                <c:pt idx="772">
                  <c:v>78.273989999999941</c:v>
                </c:pt>
                <c:pt idx="773">
                  <c:v>78.273989999999941</c:v>
                </c:pt>
                <c:pt idx="774">
                  <c:v>78.273989999999941</c:v>
                </c:pt>
                <c:pt idx="775">
                  <c:v>78.273989999999941</c:v>
                </c:pt>
                <c:pt idx="776">
                  <c:v>78.273989999999941</c:v>
                </c:pt>
                <c:pt idx="777">
                  <c:v>78.273989999999941</c:v>
                </c:pt>
                <c:pt idx="778">
                  <c:v>78.273989999999941</c:v>
                </c:pt>
                <c:pt idx="779">
                  <c:v>78.273989999999941</c:v>
                </c:pt>
                <c:pt idx="780">
                  <c:v>78.273989999999941</c:v>
                </c:pt>
                <c:pt idx="781">
                  <c:v>78.273989999999941</c:v>
                </c:pt>
                <c:pt idx="782">
                  <c:v>78.273989999999941</c:v>
                </c:pt>
                <c:pt idx="783">
                  <c:v>78.273989999999941</c:v>
                </c:pt>
                <c:pt idx="784">
                  <c:v>78.273989999999941</c:v>
                </c:pt>
                <c:pt idx="785">
                  <c:v>78.273989999999941</c:v>
                </c:pt>
                <c:pt idx="786">
                  <c:v>78.273989999999941</c:v>
                </c:pt>
                <c:pt idx="787">
                  <c:v>78.273989999999941</c:v>
                </c:pt>
                <c:pt idx="788">
                  <c:v>78.273989999999941</c:v>
                </c:pt>
                <c:pt idx="789">
                  <c:v>78.273989999999941</c:v>
                </c:pt>
                <c:pt idx="790">
                  <c:v>78.273989999999941</c:v>
                </c:pt>
                <c:pt idx="791">
                  <c:v>78.273989999999941</c:v>
                </c:pt>
                <c:pt idx="792">
                  <c:v>78.273989999999941</c:v>
                </c:pt>
                <c:pt idx="793">
                  <c:v>78.273989999999941</c:v>
                </c:pt>
                <c:pt idx="794">
                  <c:v>78.273989999999941</c:v>
                </c:pt>
                <c:pt idx="795">
                  <c:v>78.273989999999941</c:v>
                </c:pt>
                <c:pt idx="796">
                  <c:v>78.273989999999941</c:v>
                </c:pt>
                <c:pt idx="797">
                  <c:v>78.273989999999941</c:v>
                </c:pt>
                <c:pt idx="798">
                  <c:v>78.273989999999941</c:v>
                </c:pt>
                <c:pt idx="799">
                  <c:v>78.273989999999941</c:v>
                </c:pt>
                <c:pt idx="800">
                  <c:v>78.273989999999941</c:v>
                </c:pt>
                <c:pt idx="801">
                  <c:v>78.273989999999941</c:v>
                </c:pt>
                <c:pt idx="802">
                  <c:v>78.273989999999941</c:v>
                </c:pt>
                <c:pt idx="803">
                  <c:v>78.273989999999941</c:v>
                </c:pt>
                <c:pt idx="804">
                  <c:v>78.273989999999941</c:v>
                </c:pt>
                <c:pt idx="805">
                  <c:v>78.273989999999941</c:v>
                </c:pt>
                <c:pt idx="806">
                  <c:v>78.273989999999941</c:v>
                </c:pt>
                <c:pt idx="807">
                  <c:v>78.273989999999941</c:v>
                </c:pt>
                <c:pt idx="808">
                  <c:v>78.273989999999941</c:v>
                </c:pt>
                <c:pt idx="809">
                  <c:v>78.273989999999941</c:v>
                </c:pt>
                <c:pt idx="810">
                  <c:v>78.273989999999941</c:v>
                </c:pt>
                <c:pt idx="811">
                  <c:v>78.273989999999941</c:v>
                </c:pt>
                <c:pt idx="812">
                  <c:v>78.273989999999941</c:v>
                </c:pt>
                <c:pt idx="813">
                  <c:v>78.273989999999941</c:v>
                </c:pt>
                <c:pt idx="814">
                  <c:v>78.273989999999941</c:v>
                </c:pt>
                <c:pt idx="815">
                  <c:v>78.273989999999941</c:v>
                </c:pt>
                <c:pt idx="816">
                  <c:v>78.273989999999941</c:v>
                </c:pt>
                <c:pt idx="817">
                  <c:v>78.273989999999941</c:v>
                </c:pt>
                <c:pt idx="818">
                  <c:v>78.273989999999941</c:v>
                </c:pt>
                <c:pt idx="819">
                  <c:v>78.273989999999941</c:v>
                </c:pt>
                <c:pt idx="820">
                  <c:v>78.273989999999941</c:v>
                </c:pt>
                <c:pt idx="821">
                  <c:v>78.273989999999941</c:v>
                </c:pt>
                <c:pt idx="822">
                  <c:v>78.273989999999941</c:v>
                </c:pt>
                <c:pt idx="823">
                  <c:v>78.273989999999941</c:v>
                </c:pt>
                <c:pt idx="824">
                  <c:v>78.273989999999941</c:v>
                </c:pt>
                <c:pt idx="825">
                  <c:v>78.273989999999941</c:v>
                </c:pt>
                <c:pt idx="826">
                  <c:v>78.273989999999941</c:v>
                </c:pt>
                <c:pt idx="827">
                  <c:v>78.273989999999941</c:v>
                </c:pt>
                <c:pt idx="828">
                  <c:v>78.273989999999941</c:v>
                </c:pt>
                <c:pt idx="829">
                  <c:v>78.273989999999941</c:v>
                </c:pt>
                <c:pt idx="830">
                  <c:v>78.273989999999941</c:v>
                </c:pt>
                <c:pt idx="831">
                  <c:v>78.273989999999941</c:v>
                </c:pt>
                <c:pt idx="832">
                  <c:v>78.273989999999941</c:v>
                </c:pt>
                <c:pt idx="833">
                  <c:v>78.273989999999941</c:v>
                </c:pt>
                <c:pt idx="834">
                  <c:v>78.273989999999941</c:v>
                </c:pt>
                <c:pt idx="835">
                  <c:v>78.273989999999941</c:v>
                </c:pt>
                <c:pt idx="836">
                  <c:v>78.273989999999941</c:v>
                </c:pt>
                <c:pt idx="837">
                  <c:v>78.273989999999941</c:v>
                </c:pt>
                <c:pt idx="838">
                  <c:v>78.273989999999941</c:v>
                </c:pt>
                <c:pt idx="839">
                  <c:v>78.273989999999941</c:v>
                </c:pt>
                <c:pt idx="840">
                  <c:v>78.273989999999941</c:v>
                </c:pt>
                <c:pt idx="841">
                  <c:v>78.273989999999941</c:v>
                </c:pt>
                <c:pt idx="842">
                  <c:v>78.273989999999941</c:v>
                </c:pt>
                <c:pt idx="843">
                  <c:v>78.273989999999941</c:v>
                </c:pt>
                <c:pt idx="844">
                  <c:v>78.273989999999941</c:v>
                </c:pt>
                <c:pt idx="845">
                  <c:v>78.273989999999941</c:v>
                </c:pt>
                <c:pt idx="846">
                  <c:v>78.273989999999941</c:v>
                </c:pt>
                <c:pt idx="847">
                  <c:v>78.273989999999941</c:v>
                </c:pt>
                <c:pt idx="848">
                  <c:v>78.273989999999941</c:v>
                </c:pt>
                <c:pt idx="849">
                  <c:v>78.273989999999941</c:v>
                </c:pt>
                <c:pt idx="850">
                  <c:v>78.273989999999941</c:v>
                </c:pt>
                <c:pt idx="851">
                  <c:v>78.273989999999941</c:v>
                </c:pt>
                <c:pt idx="852">
                  <c:v>78.273989999999941</c:v>
                </c:pt>
                <c:pt idx="853">
                  <c:v>78.273989999999941</c:v>
                </c:pt>
                <c:pt idx="854">
                  <c:v>78.273989999999941</c:v>
                </c:pt>
                <c:pt idx="855">
                  <c:v>78.273989999999941</c:v>
                </c:pt>
                <c:pt idx="856">
                  <c:v>78.273989999999941</c:v>
                </c:pt>
                <c:pt idx="857">
                  <c:v>78.273989999999941</c:v>
                </c:pt>
                <c:pt idx="858">
                  <c:v>78.273989999999941</c:v>
                </c:pt>
                <c:pt idx="859">
                  <c:v>78.273989999999941</c:v>
                </c:pt>
                <c:pt idx="860">
                  <c:v>78.273989999999941</c:v>
                </c:pt>
                <c:pt idx="861">
                  <c:v>78.273989999999941</c:v>
                </c:pt>
                <c:pt idx="862">
                  <c:v>78.273989999999941</c:v>
                </c:pt>
                <c:pt idx="863">
                  <c:v>78.273989999999941</c:v>
                </c:pt>
                <c:pt idx="864">
                  <c:v>78.273989999999941</c:v>
                </c:pt>
                <c:pt idx="865">
                  <c:v>78.273989999999941</c:v>
                </c:pt>
                <c:pt idx="866">
                  <c:v>78.273989999999941</c:v>
                </c:pt>
                <c:pt idx="867">
                  <c:v>78.273989999999941</c:v>
                </c:pt>
                <c:pt idx="868">
                  <c:v>78.273989999999941</c:v>
                </c:pt>
                <c:pt idx="869">
                  <c:v>78.273989999999941</c:v>
                </c:pt>
                <c:pt idx="870">
                  <c:v>78.273989999999941</c:v>
                </c:pt>
                <c:pt idx="871">
                  <c:v>78.273989999999941</c:v>
                </c:pt>
                <c:pt idx="872">
                  <c:v>78.273989999999941</c:v>
                </c:pt>
                <c:pt idx="873">
                  <c:v>78.273989999999941</c:v>
                </c:pt>
                <c:pt idx="874">
                  <c:v>78.273989999999941</c:v>
                </c:pt>
                <c:pt idx="875">
                  <c:v>78.273989999999941</c:v>
                </c:pt>
                <c:pt idx="876">
                  <c:v>78.273989999999941</c:v>
                </c:pt>
                <c:pt idx="877">
                  <c:v>78.273989999999941</c:v>
                </c:pt>
                <c:pt idx="878">
                  <c:v>78.273989999999941</c:v>
                </c:pt>
                <c:pt idx="879">
                  <c:v>78.273989999999941</c:v>
                </c:pt>
                <c:pt idx="880">
                  <c:v>78.273989999999941</c:v>
                </c:pt>
                <c:pt idx="881">
                  <c:v>78.273989999999941</c:v>
                </c:pt>
                <c:pt idx="882">
                  <c:v>78.273989999999941</c:v>
                </c:pt>
                <c:pt idx="883">
                  <c:v>78.273989999999941</c:v>
                </c:pt>
                <c:pt idx="884">
                  <c:v>78.273989999999941</c:v>
                </c:pt>
                <c:pt idx="885">
                  <c:v>78.273989999999941</c:v>
                </c:pt>
                <c:pt idx="886">
                  <c:v>78.273989999999941</c:v>
                </c:pt>
                <c:pt idx="887">
                  <c:v>78.273989999999941</c:v>
                </c:pt>
                <c:pt idx="888">
                  <c:v>78.273989999999941</c:v>
                </c:pt>
                <c:pt idx="889">
                  <c:v>78.273989999999941</c:v>
                </c:pt>
                <c:pt idx="890">
                  <c:v>78.273989999999941</c:v>
                </c:pt>
                <c:pt idx="891">
                  <c:v>78.273989999999941</c:v>
                </c:pt>
                <c:pt idx="892">
                  <c:v>78.273989999999941</c:v>
                </c:pt>
                <c:pt idx="893">
                  <c:v>78.273989999999941</c:v>
                </c:pt>
                <c:pt idx="894">
                  <c:v>78.273989999999941</c:v>
                </c:pt>
                <c:pt idx="895">
                  <c:v>78.273989999999941</c:v>
                </c:pt>
                <c:pt idx="896">
                  <c:v>78.273989999999941</c:v>
                </c:pt>
                <c:pt idx="897">
                  <c:v>78.273989999999941</c:v>
                </c:pt>
                <c:pt idx="898">
                  <c:v>78.273989999999941</c:v>
                </c:pt>
                <c:pt idx="899">
                  <c:v>78.273989999999941</c:v>
                </c:pt>
                <c:pt idx="900">
                  <c:v>78.273989999999941</c:v>
                </c:pt>
                <c:pt idx="901">
                  <c:v>78.273989999999941</c:v>
                </c:pt>
                <c:pt idx="902">
                  <c:v>78.273989999999941</c:v>
                </c:pt>
                <c:pt idx="903">
                  <c:v>78.273989999999941</c:v>
                </c:pt>
                <c:pt idx="904">
                  <c:v>78.273989999999941</c:v>
                </c:pt>
                <c:pt idx="905">
                  <c:v>78.273989999999941</c:v>
                </c:pt>
                <c:pt idx="906">
                  <c:v>78.273989999999941</c:v>
                </c:pt>
                <c:pt idx="907">
                  <c:v>78.273989999999941</c:v>
                </c:pt>
                <c:pt idx="908">
                  <c:v>78.273989999999941</c:v>
                </c:pt>
                <c:pt idx="909">
                  <c:v>78.273989999999941</c:v>
                </c:pt>
                <c:pt idx="910">
                  <c:v>78.273989999999941</c:v>
                </c:pt>
                <c:pt idx="911">
                  <c:v>78.273989999999941</c:v>
                </c:pt>
                <c:pt idx="912">
                  <c:v>78.273989999999941</c:v>
                </c:pt>
                <c:pt idx="913">
                  <c:v>78.273989999999941</c:v>
                </c:pt>
                <c:pt idx="914">
                  <c:v>78.273989999999941</c:v>
                </c:pt>
                <c:pt idx="915">
                  <c:v>78.273989999999941</c:v>
                </c:pt>
                <c:pt idx="916">
                  <c:v>78.273989999999941</c:v>
                </c:pt>
                <c:pt idx="917">
                  <c:v>78.273989999999941</c:v>
                </c:pt>
                <c:pt idx="918">
                  <c:v>78.273989999999941</c:v>
                </c:pt>
                <c:pt idx="919">
                  <c:v>78.273989999999941</c:v>
                </c:pt>
                <c:pt idx="920">
                  <c:v>78.273989999999941</c:v>
                </c:pt>
                <c:pt idx="921">
                  <c:v>78.273989999999941</c:v>
                </c:pt>
                <c:pt idx="922">
                  <c:v>78.273989999999941</c:v>
                </c:pt>
                <c:pt idx="923">
                  <c:v>78.273989999999941</c:v>
                </c:pt>
                <c:pt idx="924">
                  <c:v>78.273989999999941</c:v>
                </c:pt>
                <c:pt idx="925">
                  <c:v>78.273989999999941</c:v>
                </c:pt>
                <c:pt idx="926">
                  <c:v>78.273989999999941</c:v>
                </c:pt>
                <c:pt idx="927">
                  <c:v>78.273989999999941</c:v>
                </c:pt>
                <c:pt idx="928">
                  <c:v>78.273989999999941</c:v>
                </c:pt>
                <c:pt idx="929">
                  <c:v>78.273989999999941</c:v>
                </c:pt>
                <c:pt idx="930">
                  <c:v>78.273989999999941</c:v>
                </c:pt>
                <c:pt idx="931">
                  <c:v>78.273989999999941</c:v>
                </c:pt>
                <c:pt idx="932">
                  <c:v>78.273989999999941</c:v>
                </c:pt>
                <c:pt idx="933">
                  <c:v>78.273989999999941</c:v>
                </c:pt>
                <c:pt idx="934">
                  <c:v>78.273989999999941</c:v>
                </c:pt>
                <c:pt idx="935">
                  <c:v>78.273989999999941</c:v>
                </c:pt>
                <c:pt idx="936">
                  <c:v>78.273989999999941</c:v>
                </c:pt>
                <c:pt idx="937">
                  <c:v>78.273989999999941</c:v>
                </c:pt>
                <c:pt idx="938">
                  <c:v>78.273989999999941</c:v>
                </c:pt>
                <c:pt idx="939">
                  <c:v>78.273989999999941</c:v>
                </c:pt>
                <c:pt idx="940">
                  <c:v>78.273989999999941</c:v>
                </c:pt>
                <c:pt idx="941">
                  <c:v>78.273989999999941</c:v>
                </c:pt>
                <c:pt idx="942">
                  <c:v>78.273989999999941</c:v>
                </c:pt>
                <c:pt idx="943">
                  <c:v>78.273989999999941</c:v>
                </c:pt>
                <c:pt idx="944">
                  <c:v>78.273989999999941</c:v>
                </c:pt>
                <c:pt idx="945">
                  <c:v>78.273989999999941</c:v>
                </c:pt>
                <c:pt idx="946">
                  <c:v>78.273989999999941</c:v>
                </c:pt>
                <c:pt idx="947">
                  <c:v>78.273989999999941</c:v>
                </c:pt>
                <c:pt idx="948">
                  <c:v>78.273989999999941</c:v>
                </c:pt>
                <c:pt idx="949">
                  <c:v>78.273989999999941</c:v>
                </c:pt>
                <c:pt idx="950">
                  <c:v>78.273989999999941</c:v>
                </c:pt>
                <c:pt idx="951">
                  <c:v>78.273989999999941</c:v>
                </c:pt>
                <c:pt idx="952">
                  <c:v>78.273989999999941</c:v>
                </c:pt>
                <c:pt idx="953">
                  <c:v>78.273989999999941</c:v>
                </c:pt>
                <c:pt idx="954">
                  <c:v>78.273989999999941</c:v>
                </c:pt>
                <c:pt idx="955">
                  <c:v>78.273989999999941</c:v>
                </c:pt>
                <c:pt idx="956">
                  <c:v>78.273989999999941</c:v>
                </c:pt>
                <c:pt idx="957">
                  <c:v>78.273989999999941</c:v>
                </c:pt>
                <c:pt idx="958">
                  <c:v>78.273989999999941</c:v>
                </c:pt>
                <c:pt idx="959">
                  <c:v>78.273989999999941</c:v>
                </c:pt>
                <c:pt idx="960">
                  <c:v>78.273989999999941</c:v>
                </c:pt>
                <c:pt idx="961">
                  <c:v>78.273989999999941</c:v>
                </c:pt>
                <c:pt idx="962">
                  <c:v>78.273989999999941</c:v>
                </c:pt>
                <c:pt idx="963">
                  <c:v>78.273989999999941</c:v>
                </c:pt>
                <c:pt idx="964">
                  <c:v>78.273989999999941</c:v>
                </c:pt>
                <c:pt idx="965">
                  <c:v>78.273989999999941</c:v>
                </c:pt>
                <c:pt idx="966">
                  <c:v>78.273989999999941</c:v>
                </c:pt>
                <c:pt idx="967">
                  <c:v>78.273989999999941</c:v>
                </c:pt>
                <c:pt idx="968">
                  <c:v>78.273989999999941</c:v>
                </c:pt>
                <c:pt idx="969">
                  <c:v>78.273989999999941</c:v>
                </c:pt>
                <c:pt idx="970">
                  <c:v>78.273989999999941</c:v>
                </c:pt>
                <c:pt idx="971">
                  <c:v>78.273989999999941</c:v>
                </c:pt>
                <c:pt idx="972">
                  <c:v>78.273989999999941</c:v>
                </c:pt>
                <c:pt idx="973">
                  <c:v>78.273989999999941</c:v>
                </c:pt>
                <c:pt idx="974">
                  <c:v>78.273989999999941</c:v>
                </c:pt>
                <c:pt idx="975">
                  <c:v>78.273989999999941</c:v>
                </c:pt>
                <c:pt idx="976">
                  <c:v>78.273989999999941</c:v>
                </c:pt>
                <c:pt idx="977">
                  <c:v>78.273989999999941</c:v>
                </c:pt>
                <c:pt idx="978">
                  <c:v>78.273989999999941</c:v>
                </c:pt>
                <c:pt idx="979">
                  <c:v>78.273989999999941</c:v>
                </c:pt>
                <c:pt idx="980">
                  <c:v>78.273989999999941</c:v>
                </c:pt>
                <c:pt idx="981">
                  <c:v>78.273989999999941</c:v>
                </c:pt>
                <c:pt idx="982">
                  <c:v>78.273989999999941</c:v>
                </c:pt>
                <c:pt idx="983">
                  <c:v>78.273989999999941</c:v>
                </c:pt>
                <c:pt idx="984">
                  <c:v>78.273989999999941</c:v>
                </c:pt>
                <c:pt idx="985">
                  <c:v>78.273989999999941</c:v>
                </c:pt>
                <c:pt idx="986">
                  <c:v>78.273989999999941</c:v>
                </c:pt>
                <c:pt idx="987">
                  <c:v>78.273989999999941</c:v>
                </c:pt>
                <c:pt idx="988">
                  <c:v>78.273989999999941</c:v>
                </c:pt>
                <c:pt idx="989">
                  <c:v>78.273989999999941</c:v>
                </c:pt>
                <c:pt idx="990">
                  <c:v>78.273989999999941</c:v>
                </c:pt>
                <c:pt idx="991">
                  <c:v>78.273989999999941</c:v>
                </c:pt>
                <c:pt idx="992">
                  <c:v>78.273989999999941</c:v>
                </c:pt>
                <c:pt idx="993">
                  <c:v>78.273989999999941</c:v>
                </c:pt>
                <c:pt idx="994">
                  <c:v>78.273989999999941</c:v>
                </c:pt>
                <c:pt idx="995">
                  <c:v>78.273989999999941</c:v>
                </c:pt>
                <c:pt idx="996">
                  <c:v>78.273989999999941</c:v>
                </c:pt>
                <c:pt idx="997">
                  <c:v>78.273989999999941</c:v>
                </c:pt>
                <c:pt idx="998">
                  <c:v>78.273989999999941</c:v>
                </c:pt>
                <c:pt idx="999">
                  <c:v>78.273989999999941</c:v>
                </c:pt>
                <c:pt idx="1000">
                  <c:v>78.273989999999941</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35.800100000000199</c:v>
                </c:pt>
                <c:pt idx="720">
                  <c:v>35.800200000000203</c:v>
                </c:pt>
                <c:pt idx="721">
                  <c:v>35.800300000000206</c:v>
                </c:pt>
                <c:pt idx="722">
                  <c:v>35.800400000000209</c:v>
                </c:pt>
                <c:pt idx="723">
                  <c:v>35.800500000000213</c:v>
                </c:pt>
                <c:pt idx="724">
                  <c:v>35.800600000000216</c:v>
                </c:pt>
                <c:pt idx="725">
                  <c:v>35.800700000000219</c:v>
                </c:pt>
                <c:pt idx="726">
                  <c:v>35.800800000000223</c:v>
                </c:pt>
                <c:pt idx="727">
                  <c:v>35.800900000000226</c:v>
                </c:pt>
                <c:pt idx="728">
                  <c:v>35.801000000000229</c:v>
                </c:pt>
                <c:pt idx="729">
                  <c:v>35.801100000000233</c:v>
                </c:pt>
                <c:pt idx="730">
                  <c:v>35.801200000000236</c:v>
                </c:pt>
                <c:pt idx="731">
                  <c:v>35.801300000000239</c:v>
                </c:pt>
                <c:pt idx="732">
                  <c:v>35.801400000000243</c:v>
                </c:pt>
                <c:pt idx="733">
                  <c:v>35.801500000000246</c:v>
                </c:pt>
                <c:pt idx="734">
                  <c:v>35.801600000000249</c:v>
                </c:pt>
                <c:pt idx="735">
                  <c:v>35.801700000000253</c:v>
                </c:pt>
                <c:pt idx="736">
                  <c:v>35.801800000000256</c:v>
                </c:pt>
                <c:pt idx="737">
                  <c:v>35.801900000000259</c:v>
                </c:pt>
                <c:pt idx="738">
                  <c:v>35.802000000000263</c:v>
                </c:pt>
                <c:pt idx="739">
                  <c:v>35.802100000000266</c:v>
                </c:pt>
                <c:pt idx="740">
                  <c:v>35.802200000000269</c:v>
                </c:pt>
                <c:pt idx="741">
                  <c:v>35.802300000000272</c:v>
                </c:pt>
                <c:pt idx="742">
                  <c:v>35.802400000000276</c:v>
                </c:pt>
                <c:pt idx="743">
                  <c:v>35.802500000000279</c:v>
                </c:pt>
                <c:pt idx="744">
                  <c:v>35.802600000000282</c:v>
                </c:pt>
                <c:pt idx="745">
                  <c:v>35.802700000000286</c:v>
                </c:pt>
                <c:pt idx="746">
                  <c:v>35.802800000000289</c:v>
                </c:pt>
                <c:pt idx="747">
                  <c:v>35.802900000000292</c:v>
                </c:pt>
                <c:pt idx="748">
                  <c:v>35.803000000000296</c:v>
                </c:pt>
                <c:pt idx="749">
                  <c:v>35.803100000000299</c:v>
                </c:pt>
                <c:pt idx="750">
                  <c:v>35.803200000000302</c:v>
                </c:pt>
                <c:pt idx="751">
                  <c:v>35.803300000000306</c:v>
                </c:pt>
                <c:pt idx="752">
                  <c:v>35.803400000000309</c:v>
                </c:pt>
                <c:pt idx="753">
                  <c:v>35.803500000000312</c:v>
                </c:pt>
                <c:pt idx="754">
                  <c:v>35.803600000000316</c:v>
                </c:pt>
                <c:pt idx="755">
                  <c:v>35.803700000000319</c:v>
                </c:pt>
                <c:pt idx="756">
                  <c:v>35.803800000000322</c:v>
                </c:pt>
                <c:pt idx="757">
                  <c:v>35.803900000000326</c:v>
                </c:pt>
                <c:pt idx="758">
                  <c:v>35.804000000000329</c:v>
                </c:pt>
                <c:pt idx="759">
                  <c:v>35.804100000000332</c:v>
                </c:pt>
                <c:pt idx="760">
                  <c:v>35.804200000000336</c:v>
                </c:pt>
                <c:pt idx="761">
                  <c:v>35.804300000000339</c:v>
                </c:pt>
                <c:pt idx="762">
                  <c:v>35.804400000000342</c:v>
                </c:pt>
                <c:pt idx="763">
                  <c:v>35.804500000000345</c:v>
                </c:pt>
                <c:pt idx="764">
                  <c:v>35.804600000000349</c:v>
                </c:pt>
                <c:pt idx="765">
                  <c:v>35.804700000000352</c:v>
                </c:pt>
                <c:pt idx="766">
                  <c:v>35.804800000000355</c:v>
                </c:pt>
                <c:pt idx="767">
                  <c:v>35.804900000000359</c:v>
                </c:pt>
                <c:pt idx="768">
                  <c:v>35.805000000000362</c:v>
                </c:pt>
                <c:pt idx="769">
                  <c:v>35.805100000000365</c:v>
                </c:pt>
                <c:pt idx="770">
                  <c:v>35.805200000000369</c:v>
                </c:pt>
                <c:pt idx="771">
                  <c:v>35.805300000000372</c:v>
                </c:pt>
                <c:pt idx="772">
                  <c:v>35.805400000000375</c:v>
                </c:pt>
                <c:pt idx="773">
                  <c:v>35.805500000000379</c:v>
                </c:pt>
                <c:pt idx="774">
                  <c:v>35.805600000000382</c:v>
                </c:pt>
                <c:pt idx="775">
                  <c:v>35.805700000000385</c:v>
                </c:pt>
                <c:pt idx="776">
                  <c:v>35.805800000000389</c:v>
                </c:pt>
                <c:pt idx="777">
                  <c:v>35.805900000000392</c:v>
                </c:pt>
                <c:pt idx="778">
                  <c:v>35.806000000000395</c:v>
                </c:pt>
                <c:pt idx="779">
                  <c:v>35.806100000000399</c:v>
                </c:pt>
                <c:pt idx="780">
                  <c:v>35.806200000000402</c:v>
                </c:pt>
                <c:pt idx="781">
                  <c:v>35.806300000000405</c:v>
                </c:pt>
                <c:pt idx="782">
                  <c:v>35.806400000000409</c:v>
                </c:pt>
                <c:pt idx="783">
                  <c:v>35.806500000000412</c:v>
                </c:pt>
                <c:pt idx="784">
                  <c:v>35.806600000000415</c:v>
                </c:pt>
                <c:pt idx="785">
                  <c:v>35.806700000000419</c:v>
                </c:pt>
                <c:pt idx="786">
                  <c:v>35.806800000000422</c:v>
                </c:pt>
                <c:pt idx="787">
                  <c:v>35.806900000000425</c:v>
                </c:pt>
                <c:pt idx="788">
                  <c:v>35.807000000000428</c:v>
                </c:pt>
                <c:pt idx="789">
                  <c:v>35.807100000000432</c:v>
                </c:pt>
                <c:pt idx="790">
                  <c:v>35.807200000000435</c:v>
                </c:pt>
                <c:pt idx="791">
                  <c:v>35.807300000000438</c:v>
                </c:pt>
                <c:pt idx="792">
                  <c:v>35.807400000000442</c:v>
                </c:pt>
                <c:pt idx="793">
                  <c:v>35.807500000000445</c:v>
                </c:pt>
                <c:pt idx="794">
                  <c:v>35.807600000000448</c:v>
                </c:pt>
                <c:pt idx="795">
                  <c:v>35.807700000000452</c:v>
                </c:pt>
                <c:pt idx="796">
                  <c:v>35.807800000000455</c:v>
                </c:pt>
                <c:pt idx="797">
                  <c:v>35.807900000000458</c:v>
                </c:pt>
                <c:pt idx="798">
                  <c:v>35.808000000000462</c:v>
                </c:pt>
                <c:pt idx="799">
                  <c:v>35.808100000000465</c:v>
                </c:pt>
                <c:pt idx="800">
                  <c:v>35.808200000000468</c:v>
                </c:pt>
                <c:pt idx="801">
                  <c:v>35.808300000000472</c:v>
                </c:pt>
                <c:pt idx="802">
                  <c:v>35.808400000000475</c:v>
                </c:pt>
                <c:pt idx="803">
                  <c:v>35.808500000000478</c:v>
                </c:pt>
                <c:pt idx="804">
                  <c:v>35.808600000000482</c:v>
                </c:pt>
                <c:pt idx="805">
                  <c:v>35.808700000000485</c:v>
                </c:pt>
                <c:pt idx="806">
                  <c:v>35.808800000000488</c:v>
                </c:pt>
                <c:pt idx="807">
                  <c:v>35.808900000000492</c:v>
                </c:pt>
                <c:pt idx="808">
                  <c:v>35.809000000000495</c:v>
                </c:pt>
                <c:pt idx="809">
                  <c:v>35.809100000000498</c:v>
                </c:pt>
                <c:pt idx="810">
                  <c:v>35.809200000000502</c:v>
                </c:pt>
                <c:pt idx="811">
                  <c:v>35.809300000000505</c:v>
                </c:pt>
                <c:pt idx="812">
                  <c:v>35.809400000000508</c:v>
                </c:pt>
                <c:pt idx="813">
                  <c:v>35.809500000000511</c:v>
                </c:pt>
                <c:pt idx="814">
                  <c:v>35.809600000000515</c:v>
                </c:pt>
                <c:pt idx="815">
                  <c:v>35.809700000000518</c:v>
                </c:pt>
                <c:pt idx="816">
                  <c:v>35.809800000000521</c:v>
                </c:pt>
                <c:pt idx="817">
                  <c:v>35.809900000000525</c:v>
                </c:pt>
                <c:pt idx="818">
                  <c:v>35.810000000000528</c:v>
                </c:pt>
                <c:pt idx="819">
                  <c:v>35.810100000000531</c:v>
                </c:pt>
                <c:pt idx="820">
                  <c:v>35.810200000000535</c:v>
                </c:pt>
                <c:pt idx="821">
                  <c:v>35.810300000000538</c:v>
                </c:pt>
                <c:pt idx="822">
                  <c:v>35.810400000000541</c:v>
                </c:pt>
                <c:pt idx="823">
                  <c:v>35.810500000000545</c:v>
                </c:pt>
                <c:pt idx="824">
                  <c:v>35.810600000000548</c:v>
                </c:pt>
                <c:pt idx="825">
                  <c:v>35.810700000000551</c:v>
                </c:pt>
                <c:pt idx="826">
                  <c:v>35.810800000000555</c:v>
                </c:pt>
                <c:pt idx="827">
                  <c:v>35.810900000000558</c:v>
                </c:pt>
                <c:pt idx="828">
                  <c:v>35.811000000000561</c:v>
                </c:pt>
                <c:pt idx="829">
                  <c:v>35.811100000000565</c:v>
                </c:pt>
                <c:pt idx="830">
                  <c:v>35.811200000000568</c:v>
                </c:pt>
                <c:pt idx="831">
                  <c:v>35.811300000000571</c:v>
                </c:pt>
                <c:pt idx="832">
                  <c:v>35.811400000000575</c:v>
                </c:pt>
                <c:pt idx="833">
                  <c:v>35.811500000000578</c:v>
                </c:pt>
                <c:pt idx="834">
                  <c:v>35.811600000000581</c:v>
                </c:pt>
                <c:pt idx="835">
                  <c:v>35.811700000000585</c:v>
                </c:pt>
                <c:pt idx="836">
                  <c:v>35.811800000000588</c:v>
                </c:pt>
                <c:pt idx="837">
                  <c:v>35.811900000000591</c:v>
                </c:pt>
                <c:pt idx="838">
                  <c:v>35.812000000000594</c:v>
                </c:pt>
                <c:pt idx="839">
                  <c:v>35.812100000000598</c:v>
                </c:pt>
                <c:pt idx="840">
                  <c:v>35.812200000000601</c:v>
                </c:pt>
                <c:pt idx="841">
                  <c:v>35.812300000000604</c:v>
                </c:pt>
                <c:pt idx="842">
                  <c:v>35.812400000000608</c:v>
                </c:pt>
                <c:pt idx="843">
                  <c:v>35.812500000000611</c:v>
                </c:pt>
                <c:pt idx="844">
                  <c:v>35.812600000000614</c:v>
                </c:pt>
                <c:pt idx="845">
                  <c:v>35.812700000000618</c:v>
                </c:pt>
                <c:pt idx="846">
                  <c:v>35.812800000000621</c:v>
                </c:pt>
                <c:pt idx="847">
                  <c:v>35.812900000000624</c:v>
                </c:pt>
                <c:pt idx="848">
                  <c:v>35.813000000000628</c:v>
                </c:pt>
                <c:pt idx="849">
                  <c:v>35.813100000000631</c:v>
                </c:pt>
                <c:pt idx="850">
                  <c:v>35.813200000000634</c:v>
                </c:pt>
                <c:pt idx="851">
                  <c:v>35.813300000000638</c:v>
                </c:pt>
                <c:pt idx="852">
                  <c:v>35.813400000000641</c:v>
                </c:pt>
                <c:pt idx="853">
                  <c:v>35.813500000000644</c:v>
                </c:pt>
                <c:pt idx="854">
                  <c:v>35.813600000000648</c:v>
                </c:pt>
                <c:pt idx="855">
                  <c:v>35.813700000000651</c:v>
                </c:pt>
                <c:pt idx="856">
                  <c:v>35.813800000000654</c:v>
                </c:pt>
                <c:pt idx="857">
                  <c:v>35.813900000000658</c:v>
                </c:pt>
                <c:pt idx="858">
                  <c:v>35.814000000000661</c:v>
                </c:pt>
                <c:pt idx="859">
                  <c:v>35.814100000000664</c:v>
                </c:pt>
                <c:pt idx="860">
                  <c:v>35.814200000000668</c:v>
                </c:pt>
                <c:pt idx="861">
                  <c:v>35.814300000000671</c:v>
                </c:pt>
                <c:pt idx="862">
                  <c:v>35.814400000000674</c:v>
                </c:pt>
                <c:pt idx="863">
                  <c:v>35.814500000000677</c:v>
                </c:pt>
                <c:pt idx="864">
                  <c:v>35.814600000000681</c:v>
                </c:pt>
                <c:pt idx="865">
                  <c:v>35.814700000000684</c:v>
                </c:pt>
                <c:pt idx="866">
                  <c:v>35.814800000000687</c:v>
                </c:pt>
                <c:pt idx="867">
                  <c:v>35.814900000000691</c:v>
                </c:pt>
                <c:pt idx="868">
                  <c:v>35.815000000000694</c:v>
                </c:pt>
                <c:pt idx="869">
                  <c:v>35.815100000000697</c:v>
                </c:pt>
                <c:pt idx="870">
                  <c:v>35.815200000000701</c:v>
                </c:pt>
                <c:pt idx="871">
                  <c:v>35.815300000000704</c:v>
                </c:pt>
                <c:pt idx="872">
                  <c:v>35.815400000000707</c:v>
                </c:pt>
                <c:pt idx="873">
                  <c:v>35.815500000000711</c:v>
                </c:pt>
                <c:pt idx="874">
                  <c:v>35.815600000000714</c:v>
                </c:pt>
                <c:pt idx="875">
                  <c:v>35.815700000000717</c:v>
                </c:pt>
                <c:pt idx="876">
                  <c:v>35.815800000000721</c:v>
                </c:pt>
                <c:pt idx="877">
                  <c:v>35.815900000000724</c:v>
                </c:pt>
                <c:pt idx="878">
                  <c:v>35.816000000000727</c:v>
                </c:pt>
                <c:pt idx="879">
                  <c:v>35.816100000000731</c:v>
                </c:pt>
                <c:pt idx="880">
                  <c:v>35.816200000000734</c:v>
                </c:pt>
                <c:pt idx="881">
                  <c:v>35.816300000000737</c:v>
                </c:pt>
                <c:pt idx="882">
                  <c:v>35.816400000000741</c:v>
                </c:pt>
                <c:pt idx="883">
                  <c:v>35.816500000000744</c:v>
                </c:pt>
                <c:pt idx="884">
                  <c:v>35.816600000000747</c:v>
                </c:pt>
                <c:pt idx="885">
                  <c:v>35.81670000000075</c:v>
                </c:pt>
                <c:pt idx="886">
                  <c:v>35.816800000000754</c:v>
                </c:pt>
                <c:pt idx="887">
                  <c:v>35.816900000000757</c:v>
                </c:pt>
                <c:pt idx="888">
                  <c:v>35.81700000000076</c:v>
                </c:pt>
                <c:pt idx="889">
                  <c:v>35.817100000000764</c:v>
                </c:pt>
                <c:pt idx="890">
                  <c:v>35.817200000000767</c:v>
                </c:pt>
                <c:pt idx="891">
                  <c:v>35.81730000000077</c:v>
                </c:pt>
                <c:pt idx="892">
                  <c:v>35.817400000000774</c:v>
                </c:pt>
                <c:pt idx="893">
                  <c:v>35.817500000000777</c:v>
                </c:pt>
                <c:pt idx="894">
                  <c:v>35.81760000000078</c:v>
                </c:pt>
                <c:pt idx="895">
                  <c:v>35.817700000000784</c:v>
                </c:pt>
                <c:pt idx="896">
                  <c:v>35.817800000000787</c:v>
                </c:pt>
                <c:pt idx="897">
                  <c:v>35.81790000000079</c:v>
                </c:pt>
                <c:pt idx="898">
                  <c:v>35.818000000000794</c:v>
                </c:pt>
                <c:pt idx="899">
                  <c:v>35.818100000000797</c:v>
                </c:pt>
                <c:pt idx="900">
                  <c:v>35.8182000000008</c:v>
                </c:pt>
                <c:pt idx="901">
                  <c:v>35.818300000000804</c:v>
                </c:pt>
                <c:pt idx="902">
                  <c:v>35.818400000000807</c:v>
                </c:pt>
                <c:pt idx="903">
                  <c:v>35.81850000000081</c:v>
                </c:pt>
                <c:pt idx="904">
                  <c:v>35.818600000000814</c:v>
                </c:pt>
                <c:pt idx="905">
                  <c:v>35.818700000000817</c:v>
                </c:pt>
                <c:pt idx="906">
                  <c:v>35.81880000000082</c:v>
                </c:pt>
                <c:pt idx="907">
                  <c:v>35.818900000000824</c:v>
                </c:pt>
                <c:pt idx="908">
                  <c:v>35.819000000000827</c:v>
                </c:pt>
                <c:pt idx="909">
                  <c:v>35.81910000000083</c:v>
                </c:pt>
                <c:pt idx="910">
                  <c:v>35.819200000000833</c:v>
                </c:pt>
                <c:pt idx="911">
                  <c:v>35.819300000000837</c:v>
                </c:pt>
                <c:pt idx="912">
                  <c:v>35.81940000000084</c:v>
                </c:pt>
                <c:pt idx="913">
                  <c:v>35.819500000000843</c:v>
                </c:pt>
                <c:pt idx="914">
                  <c:v>35.819600000000847</c:v>
                </c:pt>
                <c:pt idx="915">
                  <c:v>35.81970000000085</c:v>
                </c:pt>
                <c:pt idx="916">
                  <c:v>35.819800000000853</c:v>
                </c:pt>
                <c:pt idx="917">
                  <c:v>35.819900000000857</c:v>
                </c:pt>
                <c:pt idx="918">
                  <c:v>35.82000000000086</c:v>
                </c:pt>
                <c:pt idx="919">
                  <c:v>35.820100000000863</c:v>
                </c:pt>
                <c:pt idx="920">
                  <c:v>35.820200000000867</c:v>
                </c:pt>
                <c:pt idx="921">
                  <c:v>35.82030000000087</c:v>
                </c:pt>
                <c:pt idx="922">
                  <c:v>35.820400000000873</c:v>
                </c:pt>
                <c:pt idx="923">
                  <c:v>35.820500000000877</c:v>
                </c:pt>
                <c:pt idx="924">
                  <c:v>35.82060000000088</c:v>
                </c:pt>
                <c:pt idx="925">
                  <c:v>35.820700000000883</c:v>
                </c:pt>
                <c:pt idx="926">
                  <c:v>35.820800000000887</c:v>
                </c:pt>
                <c:pt idx="927">
                  <c:v>35.82090000000089</c:v>
                </c:pt>
                <c:pt idx="928">
                  <c:v>35.821000000000893</c:v>
                </c:pt>
                <c:pt idx="929">
                  <c:v>35.821100000000897</c:v>
                </c:pt>
                <c:pt idx="930">
                  <c:v>35.8212000000009</c:v>
                </c:pt>
                <c:pt idx="931">
                  <c:v>35.821300000000903</c:v>
                </c:pt>
                <c:pt idx="932">
                  <c:v>35.821400000000907</c:v>
                </c:pt>
                <c:pt idx="933">
                  <c:v>35.82150000000091</c:v>
                </c:pt>
                <c:pt idx="934">
                  <c:v>35.821600000000913</c:v>
                </c:pt>
                <c:pt idx="935">
                  <c:v>35.821700000000916</c:v>
                </c:pt>
                <c:pt idx="936">
                  <c:v>35.82180000000092</c:v>
                </c:pt>
                <c:pt idx="937">
                  <c:v>35.821900000000923</c:v>
                </c:pt>
                <c:pt idx="938">
                  <c:v>35.822000000000926</c:v>
                </c:pt>
                <c:pt idx="939">
                  <c:v>35.82210000000093</c:v>
                </c:pt>
                <c:pt idx="940">
                  <c:v>35.822200000000933</c:v>
                </c:pt>
                <c:pt idx="941">
                  <c:v>35.822300000000936</c:v>
                </c:pt>
                <c:pt idx="942">
                  <c:v>35.82240000000094</c:v>
                </c:pt>
                <c:pt idx="943">
                  <c:v>35.822500000000943</c:v>
                </c:pt>
                <c:pt idx="944">
                  <c:v>35.822600000000946</c:v>
                </c:pt>
                <c:pt idx="945">
                  <c:v>35.82270000000095</c:v>
                </c:pt>
                <c:pt idx="946">
                  <c:v>35.822800000000953</c:v>
                </c:pt>
                <c:pt idx="947">
                  <c:v>35.822900000000956</c:v>
                </c:pt>
                <c:pt idx="948">
                  <c:v>35.82300000000096</c:v>
                </c:pt>
                <c:pt idx="949">
                  <c:v>35.823100000000963</c:v>
                </c:pt>
                <c:pt idx="950">
                  <c:v>35.823200000000966</c:v>
                </c:pt>
                <c:pt idx="951">
                  <c:v>35.82330000000097</c:v>
                </c:pt>
                <c:pt idx="952">
                  <c:v>35.823400000000973</c:v>
                </c:pt>
                <c:pt idx="953">
                  <c:v>35.823500000000976</c:v>
                </c:pt>
                <c:pt idx="954">
                  <c:v>35.82360000000098</c:v>
                </c:pt>
                <c:pt idx="955">
                  <c:v>35.823700000000983</c:v>
                </c:pt>
                <c:pt idx="956">
                  <c:v>35.823800000000986</c:v>
                </c:pt>
                <c:pt idx="957">
                  <c:v>35.82390000000099</c:v>
                </c:pt>
                <c:pt idx="958">
                  <c:v>35.824000000000993</c:v>
                </c:pt>
                <c:pt idx="959">
                  <c:v>35.824100000000996</c:v>
                </c:pt>
                <c:pt idx="960">
                  <c:v>35.824200000000999</c:v>
                </c:pt>
                <c:pt idx="961">
                  <c:v>35.824300000001003</c:v>
                </c:pt>
                <c:pt idx="962">
                  <c:v>35.824400000001006</c:v>
                </c:pt>
                <c:pt idx="963">
                  <c:v>35.824500000001009</c:v>
                </c:pt>
                <c:pt idx="964">
                  <c:v>35.824600000001013</c:v>
                </c:pt>
                <c:pt idx="965">
                  <c:v>35.824700000001016</c:v>
                </c:pt>
                <c:pt idx="966">
                  <c:v>35.824800000001019</c:v>
                </c:pt>
                <c:pt idx="967">
                  <c:v>35.824900000001023</c:v>
                </c:pt>
                <c:pt idx="968">
                  <c:v>35.825000000001026</c:v>
                </c:pt>
                <c:pt idx="969">
                  <c:v>35.825100000001029</c:v>
                </c:pt>
                <c:pt idx="970">
                  <c:v>35.825200000001033</c:v>
                </c:pt>
                <c:pt idx="971">
                  <c:v>35.825300000001036</c:v>
                </c:pt>
                <c:pt idx="972">
                  <c:v>35.825400000001039</c:v>
                </c:pt>
                <c:pt idx="973">
                  <c:v>35.825500000001043</c:v>
                </c:pt>
                <c:pt idx="974">
                  <c:v>35.825600000001046</c:v>
                </c:pt>
                <c:pt idx="975">
                  <c:v>35.825700000001049</c:v>
                </c:pt>
                <c:pt idx="976">
                  <c:v>35.825800000001053</c:v>
                </c:pt>
                <c:pt idx="977">
                  <c:v>35.825900000001056</c:v>
                </c:pt>
                <c:pt idx="978">
                  <c:v>35.826000000001059</c:v>
                </c:pt>
                <c:pt idx="979">
                  <c:v>35.826100000001063</c:v>
                </c:pt>
                <c:pt idx="980">
                  <c:v>35.826200000001066</c:v>
                </c:pt>
                <c:pt idx="981">
                  <c:v>35.826300000001069</c:v>
                </c:pt>
                <c:pt idx="982">
                  <c:v>35.826400000001072</c:v>
                </c:pt>
                <c:pt idx="983">
                  <c:v>35.826500000001076</c:v>
                </c:pt>
                <c:pt idx="984">
                  <c:v>35.826600000001079</c:v>
                </c:pt>
                <c:pt idx="985">
                  <c:v>35.826700000001082</c:v>
                </c:pt>
                <c:pt idx="986">
                  <c:v>35.826800000001086</c:v>
                </c:pt>
                <c:pt idx="987">
                  <c:v>35.826900000001089</c:v>
                </c:pt>
                <c:pt idx="988">
                  <c:v>35.827000000001092</c:v>
                </c:pt>
                <c:pt idx="989">
                  <c:v>35.827100000001096</c:v>
                </c:pt>
                <c:pt idx="990">
                  <c:v>35.827200000001099</c:v>
                </c:pt>
                <c:pt idx="991">
                  <c:v>35.827300000001102</c:v>
                </c:pt>
                <c:pt idx="992">
                  <c:v>35.827400000001106</c:v>
                </c:pt>
                <c:pt idx="993">
                  <c:v>35.827500000001109</c:v>
                </c:pt>
                <c:pt idx="994">
                  <c:v>35.827600000001112</c:v>
                </c:pt>
                <c:pt idx="995">
                  <c:v>35.827700000001116</c:v>
                </c:pt>
                <c:pt idx="996">
                  <c:v>35.827800000001119</c:v>
                </c:pt>
                <c:pt idx="997">
                  <c:v>35.827900000001122</c:v>
                </c:pt>
                <c:pt idx="998">
                  <c:v>35.828000000001126</c:v>
                </c:pt>
                <c:pt idx="999">
                  <c:v>35.828100000001129</c:v>
                </c:pt>
                <c:pt idx="1000">
                  <c:v>35.828200000001132</c:v>
                </c:pt>
              </c:numCache>
            </c:numRef>
          </c:xVal>
          <c:yVal>
            <c:numRef>
              <c:f>Calculs!$W$4:$W$1004</c:f>
              <c:numCache>
                <c:formatCode>0.00</c:formatCode>
                <c:ptCount val="1001"/>
                <c:pt idx="0">
                  <c:v>0</c:v>
                </c:pt>
                <c:pt idx="1">
                  <c:v>7.007130490018561E-9</c:v>
                </c:pt>
                <c:pt idx="2">
                  <c:v>1.5115604091674821E-4</c:v>
                </c:pt>
                <c:pt idx="3">
                  <c:v>1.3424275417407358E-3</c:v>
                </c:pt>
                <c:pt idx="4">
                  <c:v>5.3476571190191413E-3</c:v>
                </c:pt>
                <c:pt idx="5">
                  <c:v>1.4828853767232477E-2</c:v>
                </c:pt>
                <c:pt idx="6">
                  <c:v>3.1133526802331713E-2</c:v>
                </c:pt>
                <c:pt idx="7">
                  <c:v>5.3363435399586372E-2</c:v>
                </c:pt>
                <c:pt idx="8">
                  <c:v>8.1480606033825773E-2</c:v>
                </c:pt>
                <c:pt idx="9">
                  <c:v>0.11544685909482356</c:v>
                </c:pt>
                <c:pt idx="10">
                  <c:v>0.15522381186602668</c:v>
                </c:pt>
                <c:pt idx="11">
                  <c:v>0.20077288151896741</c:v>
                </c:pt>
                <c:pt idx="12">
                  <c:v>0.25205528812294797</c:v>
                </c:pt>
                <c:pt idx="13">
                  <c:v>0.30903205766958458</c:v>
                </c:pt>
                <c:pt idx="14">
                  <c:v>0.37166402511179569</c:v>
                </c:pt>
                <c:pt idx="15">
                  <c:v>0.43991183741681839</c:v>
                </c:pt>
                <c:pt idx="16">
                  <c:v>0.513735956632836</c:v>
                </c:pt>
                <c:pt idx="17">
                  <c:v>0.59309666296879593</c:v>
                </c:pt>
                <c:pt idx="18">
                  <c:v>0.67795405788699592</c:v>
                </c:pt>
                <c:pt idx="19">
                  <c:v>0.76826806720802387</c:v>
                </c:pt>
                <c:pt idx="20">
                  <c:v>0.8639984442276174</c:v>
                </c:pt>
                <c:pt idx="21">
                  <c:v>0.96510477284502572</c:v>
                </c:pt>
                <c:pt idx="22">
                  <c:v>1.0715464707024502</c:v>
                </c:pt>
                <c:pt idx="23">
                  <c:v>1.1832827923351295</c:v>
                </c:pt>
                <c:pt idx="24">
                  <c:v>1.3002728323316506</c:v>
                </c:pt>
                <c:pt idx="25">
                  <c:v>1.4224755285040553</c:v>
                </c:pt>
                <c:pt idx="26">
                  <c:v>1.5498496650673117</c:v>
                </c:pt>
                <c:pt idx="27">
                  <c:v>1.6823538758277219</c:v>
                </c:pt>
                <c:pt idx="28">
                  <c:v>1.8199466473798434</c:v>
                </c:pt>
                <c:pt idx="29">
                  <c:v>1.9625863223114834</c:v>
                </c:pt>
                <c:pt idx="30">
                  <c:v>2.1102311024163534</c:v>
                </c:pt>
                <c:pt idx="31">
                  <c:v>2.2628390519139194</c:v>
                </c:pt>
                <c:pt idx="32">
                  <c:v>2.4203681006760767</c:v>
                </c:pt>
                <c:pt idx="33">
                  <c:v>2.5827760474601456</c:v>
                </c:pt>
                <c:pt idx="34">
                  <c:v>2.7500208295296997</c:v>
                </c:pt>
                <c:pt idx="35">
                  <c:v>2.9220603036532409</c:v>
                </c:pt>
                <c:pt idx="36">
                  <c:v>3.0988519318867791</c:v>
                </c:pt>
                <c:pt idx="37">
                  <c:v>3.2803530571260726</c:v>
                </c:pt>
                <c:pt idx="38">
                  <c:v>3.4665209064108113</c:v>
                </c:pt>
                <c:pt idx="39">
                  <c:v>3.6573125942312585</c:v>
                </c:pt>
                <c:pt idx="40">
                  <c:v>3.852685125834761</c:v>
                </c:pt>
                <c:pt idx="41">
                  <c:v>4.0525954005320965</c:v>
                </c:pt>
                <c:pt idx="42">
                  <c:v>4.2570002150034725</c:v>
                </c:pt>
                <c:pt idx="43">
                  <c:v>4.4658562666041117</c:v>
                </c:pt>
                <c:pt idx="44">
                  <c:v>4.6791201566691649</c:v>
                </c:pt>
                <c:pt idx="45">
                  <c:v>4.8967483938177869</c:v>
                </c:pt>
                <c:pt idx="46">
                  <c:v>5.1186973972561134</c:v>
                </c:pt>
                <c:pt idx="47">
                  <c:v>5.3449235000789033</c:v>
                </c:pt>
                <c:pt idx="48">
                  <c:v>5.5753829525695746</c:v>
                </c:pt>
                <c:pt idx="49">
                  <c:v>5.8100319254983503</c:v>
                </c:pt>
                <c:pt idx="50">
                  <c:v>6.0488265134181916</c:v>
                </c:pt>
                <c:pt idx="51">
                  <c:v>6.2918849824449037</c:v>
                </c:pt>
                <c:pt idx="52">
                  <c:v>6.5393383795262805</c:v>
                </c:pt>
                <c:pt idx="53">
                  <c:v>6.7911617834020275</c:v>
                </c:pt>
                <c:pt idx="54">
                  <c:v>7.0473301368940433</c:v>
                </c:pt>
                <c:pt idx="55">
                  <c:v>7.3078182485316558</c:v>
                </c:pt>
                <c:pt idx="56">
                  <c:v>7.5726007941848001</c:v>
                </c:pt>
                <c:pt idx="57">
                  <c:v>7.841652318704984</c:v>
                </c:pt>
                <c:pt idx="58">
                  <c:v>8.1149472375738672</c:v>
                </c:pt>
                <c:pt idx="59">
                  <c:v>8.3924598385593772</c:v>
                </c:pt>
                <c:pt idx="60">
                  <c:v>8.6741642833790955</c:v>
                </c:pt>
                <c:pt idx="61">
                  <c:v>8.9600346093709113</c:v>
                </c:pt>
                <c:pt idx="62">
                  <c:v>9.2500447311706058</c:v>
                </c:pt>
                <c:pt idx="63">
                  <c:v>9.5441684423963729</c:v>
                </c:pt>
                <c:pt idx="64">
                  <c:v>9.8423794173399735</c:v>
                </c:pt>
                <c:pt idx="65">
                  <c:v>10.144651212664458</c:v>
                </c:pt>
                <c:pt idx="66">
                  <c:v>10.450957269108196</c:v>
                </c:pt>
                <c:pt idx="67">
                  <c:v>10.761270913195139</c:v>
                </c:pt>
                <c:pt idx="68">
                  <c:v>11.075565358951026</c:v>
                </c:pt>
                <c:pt idx="69">
                  <c:v>11.393813709625448</c:v>
                </c:pt>
                <c:pt idx="70">
                  <c:v>11.715988959419565</c:v>
                </c:pt>
                <c:pt idx="71">
                  <c:v>12.042063995219271</c:v>
                </c:pt>
                <c:pt idx="72">
                  <c:v>12.372011598333621</c:v>
                </c:pt>
                <c:pt idx="73">
                  <c:v>12.705804446238401</c:v>
                </c:pt>
                <c:pt idx="74">
                  <c:v>13.043415114324583</c:v>
                </c:pt>
                <c:pt idx="75">
                  <c:v>13.384816077651502</c:v>
                </c:pt>
                <c:pt idx="76">
                  <c:v>13.729979712704573</c:v>
                </c:pt>
                <c:pt idx="77">
                  <c:v>14.078878299157388</c:v>
                </c:pt>
                <c:pt idx="78">
                  <c:v>14.431484021637937</c:v>
                </c:pt>
                <c:pt idx="79">
                  <c:v>14.787768971498815</c:v>
                </c:pt>
                <c:pt idx="80">
                  <c:v>15.147705148591212</c:v>
                </c:pt>
                <c:pt idx="81">
                  <c:v>15.511264463042492</c:v>
                </c:pt>
                <c:pt idx="82">
                  <c:v>15.878418737037181</c:v>
                </c:pt>
                <c:pt idx="83">
                  <c:v>16.249139706601149</c:v>
                </c:pt>
                <c:pt idx="84">
                  <c:v>16.623399023388743</c:v>
                </c:pt>
                <c:pt idx="85">
                  <c:v>17.001168256472948</c:v>
                </c:pt>
                <c:pt idx="86">
                  <c:v>17.382418894137924</c:v>
                </c:pt>
                <c:pt idx="87">
                  <c:v>17.767122345674117</c:v>
                </c:pt>
                <c:pt idx="88">
                  <c:v>18.155249943175601</c:v>
                </c:pt>
                <c:pt idx="89">
                  <c:v>18.546772943339437</c:v>
                </c:pt>
                <c:pt idx="90">
                  <c:v>18.941662529266942</c:v>
                </c:pt>
                <c:pt idx="91">
                  <c:v>19.339889812266538</c:v>
                </c:pt>
                <c:pt idx="92">
                  <c:v>19.741425833658152</c:v>
                </c:pt>
                <c:pt idx="93">
                  <c:v>20.146241566578837</c:v>
                </c:pt>
                <c:pt idx="94">
                  <c:v>20.554307917789515</c:v>
                </c:pt>
                <c:pt idx="95">
                  <c:v>20.965595729482597</c:v>
                </c:pt>
                <c:pt idx="96">
                  <c:v>21.380075781090245</c:v>
                </c:pt>
                <c:pt idx="97">
                  <c:v>21.797718791093278</c:v>
                </c:pt>
                <c:pt idx="98">
                  <c:v>22.218495418830241</c:v>
                </c:pt>
                <c:pt idx="99">
                  <c:v>22.642376266306698</c:v>
                </c:pt>
                <c:pt idx="100">
                  <c:v>23.069331880004395</c:v>
                </c:pt>
                <c:pt idx="101">
                  <c:v>23.499188379744968</c:v>
                </c:pt>
                <c:pt idx="102">
                  <c:v>23.931766420995789</c:v>
                </c:pt>
                <c:pt idx="103">
                  <c:v>24.367028361147888</c:v>
                </c:pt>
                <c:pt idx="104">
                  <c:v>24.804936553615963</c:v>
                </c:pt>
                <c:pt idx="105">
                  <c:v>25.245453350225109</c:v>
                </c:pt>
                <c:pt idx="106">
                  <c:v>25.688541103589664</c:v>
                </c:pt>
                <c:pt idx="107">
                  <c:v>26.134162169483879</c:v>
                </c:pt>
                <c:pt idx="108">
                  <c:v>26.58227890920416</c:v>
                </c:pt>
                <c:pt idx="109">
                  <c:v>27.032853691922657</c:v>
                </c:pt>
                <c:pt idx="110">
                  <c:v>27.485848897032014</c:v>
                </c:pt>
                <c:pt idx="111">
                  <c:v>27.941226916480776</c:v>
                </c:pt>
                <c:pt idx="112">
                  <c:v>28.398950157099868</c:v>
                </c:pt>
                <c:pt idx="113">
                  <c:v>28.858981042918945</c:v>
                </c:pt>
                <c:pt idx="114">
                  <c:v>29.321282017473351</c:v>
                </c:pt>
                <c:pt idx="115">
                  <c:v>29.785815546100881</c:v>
                </c:pt>
                <c:pt idx="116">
                  <c:v>30.2525441182283</c:v>
                </c:pt>
                <c:pt idx="117">
                  <c:v>30.721430249647273</c:v>
                </c:pt>
                <c:pt idx="118">
                  <c:v>31.192436484779883</c:v>
                </c:pt>
                <c:pt idx="119">
                  <c:v>31.66552539893285</c:v>
                </c:pt>
                <c:pt idx="120">
                  <c:v>32.140659600540999</c:v>
                </c:pt>
                <c:pt idx="121">
                  <c:v>32.617801733399162</c:v>
                </c:pt>
                <c:pt idx="122">
                  <c:v>33.096914478882603</c:v>
                </c:pt>
                <c:pt idx="123">
                  <c:v>33.577960558155695</c:v>
                </c:pt>
                <c:pt idx="124">
                  <c:v>34.060902734368803</c:v>
                </c:pt>
                <c:pt idx="125">
                  <c:v>34.545703814842717</c:v>
                </c:pt>
                <c:pt idx="126">
                  <c:v>35.032326653241007</c:v>
                </c:pt>
                <c:pt idx="127">
                  <c:v>35.520734151729869</c:v>
                </c:pt>
                <c:pt idx="128">
                  <c:v>36.010889263125016</c:v>
                </c:pt>
                <c:pt idx="129">
                  <c:v>36.502754993025832</c:v>
                </c:pt>
                <c:pt idx="130">
                  <c:v>36.996294401936545</c:v>
                </c:pt>
                <c:pt idx="131">
                  <c:v>37.491470607373827</c:v>
                </c:pt>
                <c:pt idx="132">
                  <c:v>37.988246785961245</c:v>
                </c:pt>
                <c:pt idx="133">
                  <c:v>38.486586175509935</c:v>
                </c:pt>
                <c:pt idx="134">
                  <c:v>38.986452077085517</c:v>
                </c:pt>
                <c:pt idx="135">
                  <c:v>39.487807857060986</c:v>
                </c:pt>
                <c:pt idx="136">
                  <c:v>39.990616949155672</c:v>
                </c:pt>
                <c:pt idx="137">
                  <c:v>40.494842856459634</c:v>
                </c:pt>
                <c:pt idx="138">
                  <c:v>41.000449153443824</c:v>
                </c:pt>
                <c:pt idx="139">
                  <c:v>41.507399487955496</c:v>
                </c:pt>
                <c:pt idx="140">
                  <c:v>42.015657583198902</c:v>
                </c:pt>
                <c:pt idx="141">
                  <c:v>42.525187239701175</c:v>
                </c:pt>
                <c:pt idx="142">
                  <c:v>43.035952337262941</c:v>
                </c:pt>
                <c:pt idx="143">
                  <c:v>43.547916836893869</c:v>
                </c:pt>
                <c:pt idx="144">
                  <c:v>44.061044782732857</c:v>
                </c:pt>
                <c:pt idx="145">
                  <c:v>44.575300303952659</c:v>
                </c:pt>
                <c:pt idx="146">
                  <c:v>45.090647616648987</c:v>
                </c:pt>
                <c:pt idx="147">
                  <c:v>45.607051025713716</c:v>
                </c:pt>
                <c:pt idx="148">
                  <c:v>46.124474926692372</c:v>
                </c:pt>
                <c:pt idx="149">
                  <c:v>46.642883807625452</c:v>
                </c:pt>
                <c:pt idx="150">
                  <c:v>47.162242250873668</c:v>
                </c:pt>
                <c:pt idx="151">
                  <c:v>47.68258473550339</c:v>
                </c:pt>
                <c:pt idx="152">
                  <c:v>48.203947378039068</c:v>
                </c:pt>
                <c:pt idx="153">
                  <c:v>48.726297311228137</c:v>
                </c:pt>
                <c:pt idx="154">
                  <c:v>49.249601748718135</c:v>
                </c:pt>
                <c:pt idx="155">
                  <c:v>49.773827986684481</c:v>
                </c:pt>
                <c:pt idx="156">
                  <c:v>50.298943405444398</c:v>
                </c:pt>
                <c:pt idx="157">
                  <c:v>50.824915471056471</c:v>
                </c:pt>
                <c:pt idx="158">
                  <c:v>51.351711736906182</c:v>
                </c:pt>
                <c:pt idx="159">
                  <c:v>51.879299845277046</c:v>
                </c:pt>
                <c:pt idx="160">
                  <c:v>52.407647528907376</c:v>
                </c:pt>
                <c:pt idx="161">
                  <c:v>52.936722612532435</c:v>
                </c:pt>
                <c:pt idx="162">
                  <c:v>53.466493014412158</c:v>
                </c:pt>
                <c:pt idx="163">
                  <c:v>53.996926747844206</c:v>
                </c:pt>
                <c:pt idx="164">
                  <c:v>54.527991922661897</c:v>
                </c:pt>
                <c:pt idx="165">
                  <c:v>55.059656746717813</c:v>
                </c:pt>
                <c:pt idx="166">
                  <c:v>55.59188952735218</c:v>
                </c:pt>
                <c:pt idx="167">
                  <c:v>56.124658672846223</c:v>
                </c:pt>
                <c:pt idx="168">
                  <c:v>56.657932693860573</c:v>
                </c:pt>
                <c:pt idx="169">
                  <c:v>57.191680204858528</c:v>
                </c:pt>
                <c:pt idx="170">
                  <c:v>57.725869925513948</c:v>
                </c:pt>
                <c:pt idx="171">
                  <c:v>58.260470682104021</c:v>
                </c:pt>
                <c:pt idx="172">
                  <c:v>58.795451408886699</c:v>
                </c:pt>
                <c:pt idx="173">
                  <c:v>59.330781149462553</c:v>
                </c:pt>
                <c:pt idx="174">
                  <c:v>59.866429058121383</c:v>
                </c:pt>
                <c:pt idx="175">
                  <c:v>60.402364401173173</c:v>
                </c:pt>
                <c:pt idx="176">
                  <c:v>60.938556558263393</c:v>
                </c:pt>
                <c:pt idx="177">
                  <c:v>61.474975023672975</c:v>
                </c:pt>
                <c:pt idx="178">
                  <c:v>62.011589407602337</c:v>
                </c:pt>
                <c:pt idx="179">
                  <c:v>62.548369437439753</c:v>
                </c:pt>
                <c:pt idx="180">
                  <c:v>63.085284959014011</c:v>
                </c:pt>
                <c:pt idx="181">
                  <c:v>63.6223059378313</c:v>
                </c:pt>
                <c:pt idx="182">
                  <c:v>64.159402460296164</c:v>
                </c:pt>
                <c:pt idx="183">
                  <c:v>64.696544734916657</c:v>
                </c:pt>
                <c:pt idx="184">
                  <c:v>65.233703093493475</c:v>
                </c:pt>
                <c:pt idx="185">
                  <c:v>65.770847992293369</c:v>
                </c:pt>
                <c:pt idx="186">
                  <c:v>66.307950013206224</c:v>
                </c:pt>
                <c:pt idx="187">
                  <c:v>66.844979864886668</c:v>
                </c:pt>
                <c:pt idx="188">
                  <c:v>67.381908383879065</c:v>
                </c:pt>
                <c:pt idx="189">
                  <c:v>67.918706535726997</c:v>
                </c:pt>
                <c:pt idx="190">
                  <c:v>68.45534541606628</c:v>
                </c:pt>
                <c:pt idx="191">
                  <c:v>68.991796251702183</c:v>
                </c:pt>
                <c:pt idx="192">
                  <c:v>69.528030401670478</c:v>
                </c:pt>
                <c:pt idx="193">
                  <c:v>70.064019358282181</c:v>
                </c:pt>
                <c:pt idx="194">
                  <c:v>70.599734748152571</c:v>
                </c:pt>
                <c:pt idx="195">
                  <c:v>71.135148333213806</c:v>
                </c:pt>
                <c:pt idx="196">
                  <c:v>71.670232011711519</c:v>
                </c:pt>
                <c:pt idx="197">
                  <c:v>72.20495781918514</c:v>
                </c:pt>
                <c:pt idx="198">
                  <c:v>72.739297929432382</c:v>
                </c:pt>
                <c:pt idx="199">
                  <c:v>73.273224655457284</c:v>
                </c:pt>
                <c:pt idx="200">
                  <c:v>73.806710450402477</c:v>
                </c:pt>
                <c:pt idx="201">
                  <c:v>74.339727908464951</c:v>
                </c:pt>
                <c:pt idx="202">
                  <c:v>74.872249765795843</c:v>
                </c:pt>
                <c:pt idx="203">
                  <c:v>75.404248901384548</c:v>
                </c:pt>
                <c:pt idx="204">
                  <c:v>75.935698337925999</c:v>
                </c:pt>
                <c:pt idx="205">
                  <c:v>76.466571242672472</c:v>
                </c:pt>
                <c:pt idx="206">
                  <c:v>76.996840928269151</c:v>
                </c:pt>
                <c:pt idx="207">
                  <c:v>77.52648085357346</c:v>
                </c:pt>
                <c:pt idx="208">
                  <c:v>78.055464624458821</c:v>
                </c:pt>
                <c:pt idx="209">
                  <c:v>78.583765994601904</c:v>
                </c:pt>
                <c:pt idx="210">
                  <c:v>79.11135886625452</c:v>
                </c:pt>
                <c:pt idx="211">
                  <c:v>79.638217290998824</c:v>
                </c:pt>
                <c:pt idx="212">
                  <c:v>80.164315470487352</c:v>
                </c:pt>
                <c:pt idx="213">
                  <c:v>80.689627757166633</c:v>
                </c:pt>
                <c:pt idx="214">
                  <c:v>81.214128654985416</c:v>
                </c:pt>
                <c:pt idx="215">
                  <c:v>81.737792820086639</c:v>
                </c:pt>
                <c:pt idx="216">
                  <c:v>82.260595061483784</c:v>
                </c:pt>
                <c:pt idx="217">
                  <c:v>82.782510341721903</c:v>
                </c:pt>
                <c:pt idx="218">
                  <c:v>83.303513777522085</c:v>
                </c:pt>
                <c:pt idx="219">
                  <c:v>83.823580640411336</c:v>
                </c:pt>
                <c:pt idx="220">
                  <c:v>84.342686357335808</c:v>
                </c:pt>
                <c:pt idx="221">
                  <c:v>84.860806511259256</c:v>
                </c:pt>
                <c:pt idx="222">
                  <c:v>85.37791684174563</c:v>
                </c:pt>
                <c:pt idx="223">
                  <c:v>85.893993245526161</c:v>
                </c:pt>
                <c:pt idx="224">
                  <c:v>86.409011777051262</c:v>
                </c:pt>
                <c:pt idx="225">
                  <c:v>86.922948649026765</c:v>
                </c:pt>
                <c:pt idx="226">
                  <c:v>87.435780232935215</c:v>
                </c:pt>
                <c:pt idx="227">
                  <c:v>87.947483059541639</c:v>
                </c:pt>
                <c:pt idx="228">
                  <c:v>88.458033819384141</c:v>
                </c:pt>
                <c:pt idx="229">
                  <c:v>88.967409363249487</c:v>
                </c:pt>
                <c:pt idx="230">
                  <c:v>89.475586702633663</c:v>
                </c:pt>
                <c:pt idx="231">
                  <c:v>89.982543010186987</c:v>
                </c:pt>
                <c:pt idx="232">
                  <c:v>90.488255620145139</c:v>
                </c:pt>
                <c:pt idx="233">
                  <c:v>90.992702028744233</c:v>
                </c:pt>
                <c:pt idx="234">
                  <c:v>91.495859894621887</c:v>
                </c:pt>
                <c:pt idx="235">
                  <c:v>91.997707039203348</c:v>
                </c:pt>
                <c:pt idx="236">
                  <c:v>92.49822144707268</c:v>
                </c:pt>
                <c:pt idx="237">
                  <c:v>92.997381266329583</c:v>
                </c:pt>
                <c:pt idx="238">
                  <c:v>93.495164808931847</c:v>
                </c:pt>
                <c:pt idx="239">
                  <c:v>93.991550551022797</c:v>
                </c:pt>
                <c:pt idx="240">
                  <c:v>94.486517133244931</c:v>
                </c:pt>
                <c:pt idx="241">
                  <c:v>94.980043361038952</c:v>
                </c:pt>
                <c:pt idx="242">
                  <c:v>95.472108204928546</c:v>
                </c:pt>
                <c:pt idx="243">
                  <c:v>95.962690800791236</c:v>
                </c:pt>
                <c:pt idx="244">
                  <c:v>96.451770450114878</c:v>
                </c:pt>
                <c:pt idx="245">
                  <c:v>96.939326620240436</c:v>
                </c:pt>
                <c:pt idx="246">
                  <c:v>97.425338944590663</c:v>
                </c:pt>
                <c:pt idx="247">
                  <c:v>97.909787222885029</c:v>
                </c:pt>
                <c:pt idx="248">
                  <c:v>98.392651421340858</c:v>
                </c:pt>
                <c:pt idx="249">
                  <c:v>98.873911672860814</c:v>
                </c:pt>
                <c:pt idx="250">
                  <c:v>99.35354827720721</c:v>
                </c:pt>
                <c:pt idx="251">
                  <c:v>99.831109398379326</c:v>
                </c:pt>
                <c:pt idx="252">
                  <c:v>100.30613955727596</c:v>
                </c:pt>
                <c:pt idx="253">
                  <c:v>100.77861427087412</c:v>
                </c:pt>
                <c:pt idx="254">
                  <c:v>101.24850933126294</c:v>
                </c:pt>
                <c:pt idx="255">
                  <c:v>101.71580080556568</c:v>
                </c:pt>
                <c:pt idx="256">
                  <c:v>102.18046503583894</c:v>
                </c:pt>
                <c:pt idx="257">
                  <c:v>102.64247863895012</c:v>
                </c:pt>
                <c:pt idx="258">
                  <c:v>103.10181850643224</c:v>
                </c:pt>
                <c:pt idx="259">
                  <c:v>103.55846180431671</c:v>
                </c:pt>
                <c:pt idx="260">
                  <c:v>104.01238597294498</c:v>
                </c:pt>
                <c:pt idx="261">
                  <c:v>104.46356872675808</c:v>
                </c:pt>
                <c:pt idx="262">
                  <c:v>104.91198805406526</c:v>
                </c:pt>
                <c:pt idx="263">
                  <c:v>105.35762221679123</c:v>
                </c:pt>
                <c:pt idx="264">
                  <c:v>105.80044975020283</c:v>
                </c:pt>
                <c:pt idx="265">
                  <c:v>106.2404494626151</c:v>
                </c:pt>
                <c:pt idx="266">
                  <c:v>106.67760043507668</c:v>
                </c:pt>
                <c:pt idx="267">
                  <c:v>107.11188202103534</c:v>
                </c:pt>
                <c:pt idx="268">
                  <c:v>107.54327384598341</c:v>
                </c:pt>
                <c:pt idx="269">
                  <c:v>107.97175580708357</c:v>
                </c:pt>
                <c:pt idx="270">
                  <c:v>108.39730807277506</c:v>
                </c:pt>
                <c:pt idx="271">
                  <c:v>108.81991108236082</c:v>
                </c:pt>
                <c:pt idx="272">
                  <c:v>109.23954554557545</c:v>
                </c:pt>
                <c:pt idx="273">
                  <c:v>109.65619244213431</c:v>
                </c:pt>
                <c:pt idx="274">
                  <c:v>110.06983302126444</c:v>
                </c:pt>
                <c:pt idx="275">
                  <c:v>110.48044880121657</c:v>
                </c:pt>
                <c:pt idx="276">
                  <c:v>110.88802156875951</c:v>
                </c:pt>
                <c:pt idx="277">
                  <c:v>111.29253337865649</c:v>
                </c:pt>
                <c:pt idx="278">
                  <c:v>111.69396655312384</c:v>
                </c:pt>
                <c:pt idx="279">
                  <c:v>112.09230368127238</c:v>
                </c:pt>
                <c:pt idx="280">
                  <c:v>112.48752761853142</c:v>
                </c:pt>
                <c:pt idx="281">
                  <c:v>112.87962148605605</c:v>
                </c:pt>
                <c:pt idx="282">
                  <c:v>113.2685686701178</c:v>
                </c:pt>
                <c:pt idx="283">
                  <c:v>113.65435282147844</c:v>
                </c:pt>
                <c:pt idx="284">
                  <c:v>114.03695785474773</c:v>
                </c:pt>
                <c:pt idx="285">
                  <c:v>114.41636794772565</c:v>
                </c:pt>
                <c:pt idx="286">
                  <c:v>114.79256754072793</c:v>
                </c:pt>
                <c:pt idx="287">
                  <c:v>115.16554133589688</c:v>
                </c:pt>
                <c:pt idx="288">
                  <c:v>115.53527429649642</c:v>
                </c:pt>
                <c:pt idx="289">
                  <c:v>115.90175164619217</c:v>
                </c:pt>
                <c:pt idx="290">
                  <c:v>116.26495886831702</c:v>
                </c:pt>
                <c:pt idx="291">
                  <c:v>116.62488170512133</c:v>
                </c:pt>
                <c:pt idx="292">
                  <c:v>116.98150615700978</c:v>
                </c:pt>
                <c:pt idx="293">
                  <c:v>117.33481848176322</c:v>
                </c:pt>
                <c:pt idx="294">
                  <c:v>117.68480519374694</c:v>
                </c:pt>
                <c:pt idx="295">
                  <c:v>118.03145306310542</c:v>
                </c:pt>
                <c:pt idx="296">
                  <c:v>118.3747491149433</c:v>
                </c:pt>
                <c:pt idx="297">
                  <c:v>118.71468062849361</c:v>
                </c:pt>
                <c:pt idx="298">
                  <c:v>119.04607747210457</c:v>
                </c:pt>
                <c:pt idx="299">
                  <c:v>119.36374752157259</c:v>
                </c:pt>
                <c:pt idx="300">
                  <c:v>119.6676520848892</c:v>
                </c:pt>
                <c:pt idx="301">
                  <c:v>119.95775539186776</c:v>
                </c:pt>
                <c:pt idx="302">
                  <c:v>120.23402457936672</c:v>
                </c:pt>
                <c:pt idx="303">
                  <c:v>120.49642967622506</c:v>
                </c:pt>
                <c:pt idx="304">
                  <c:v>120.74494358792157</c:v>
                </c:pt>
                <c:pt idx="305">
                  <c:v>120.97954208096644</c:v>
                </c:pt>
                <c:pt idx="306">
                  <c:v>121.20020376703341</c:v>
                </c:pt>
                <c:pt idx="307">
                  <c:v>121.40691008684247</c:v>
                </c:pt>
                <c:pt idx="308">
                  <c:v>121.59964529380183</c:v>
                </c:pt>
                <c:pt idx="309">
                  <c:v>121.77839643741733</c:v>
                </c:pt>
                <c:pt idx="310">
                  <c:v>121.94315334647926</c:v>
                </c:pt>
                <c:pt idx="311">
                  <c:v>122.09390861203437</c:v>
                </c:pt>
                <c:pt idx="312">
                  <c:v>122.23065757015249</c:v>
                </c:pt>
                <c:pt idx="313">
                  <c:v>122.35339828449628</c:v>
                </c:pt>
                <c:pt idx="314">
                  <c:v>122.462131528702</c:v>
                </c:pt>
                <c:pt idx="315">
                  <c:v>122.55686076858134</c:v>
                </c:pt>
                <c:pt idx="316">
                  <c:v>122.6375921441513</c:v>
                </c:pt>
                <c:pt idx="317">
                  <c:v>122.70433445150134</c:v>
                </c:pt>
                <c:pt idx="318">
                  <c:v>122.75709912450576</c:v>
                </c:pt>
                <c:pt idx="319">
                  <c:v>122.79590021639005</c:v>
                </c:pt>
                <c:pt idx="320">
                  <c:v>122.82075438115903</c:v>
                </c:pt>
                <c:pt idx="321">
                  <c:v>122.83375947819189</c:v>
                </c:pt>
                <c:pt idx="322">
                  <c:v>122.83701245094642</c:v>
                </c:pt>
                <c:pt idx="323">
                  <c:v>122.83052954695857</c:v>
                </c:pt>
                <c:pt idx="324">
                  <c:v>122.81432825011977</c:v>
                </c:pt>
                <c:pt idx="325">
                  <c:v>122.78842727134533</c:v>
                </c:pt>
                <c:pt idx="326">
                  <c:v>122.7528465392235</c:v>
                </c:pt>
                <c:pt idx="327">
                  <c:v>122.70760719064849</c:v>
                </c:pt>
                <c:pt idx="328">
                  <c:v>122.65273156143986</c:v>
                </c:pt>
                <c:pt idx="329">
                  <c:v>122.58824317695019</c:v>
                </c:pt>
                <c:pt idx="330">
                  <c:v>122.51416674266459</c:v>
                </c:pt>
                <c:pt idx="331">
                  <c:v>122.43052813479348</c:v>
                </c:pt>
                <c:pt idx="332">
                  <c:v>122.33735439086161</c:v>
                </c:pt>
                <c:pt idx="333">
                  <c:v>122.23467370029563</c:v>
                </c:pt>
                <c:pt idx="334">
                  <c:v>122.12251539501227</c:v>
                </c:pt>
                <c:pt idx="335">
                  <c:v>122.00090994000981</c:v>
                </c:pt>
                <c:pt idx="336">
                  <c:v>121.86988892396522</c:v>
                </c:pt>
                <c:pt idx="337">
                  <c:v>121.72948504983859</c:v>
                </c:pt>
                <c:pt idx="338">
                  <c:v>121.57973212548781</c:v>
                </c:pt>
                <c:pt idx="339">
                  <c:v>121.4206650542948</c:v>
                </c:pt>
                <c:pt idx="340">
                  <c:v>121.25231982580678</c:v>
                </c:pt>
                <c:pt idx="341">
                  <c:v>121.07473350639353</c:v>
                </c:pt>
                <c:pt idx="342">
                  <c:v>120.88794422992264</c:v>
                </c:pt>
                <c:pt idx="343">
                  <c:v>120.69199118845646</c:v>
                </c:pt>
                <c:pt idx="344">
                  <c:v>120.48691462296986</c:v>
                </c:pt>
                <c:pt idx="345">
                  <c:v>120.27275581409454</c:v>
                </c:pt>
                <c:pt idx="346">
                  <c:v>120.04955707288811</c:v>
                </c:pt>
                <c:pt idx="347">
                  <c:v>119.81736173163232</c:v>
                </c:pt>
                <c:pt idx="348">
                  <c:v>119.5764347295618</c:v>
                </c:pt>
                <c:pt idx="349">
                  <c:v>119.32704063872856</c:v>
                </c:pt>
                <c:pt idx="350">
                  <c:v>119.06922347018576</c:v>
                </c:pt>
                <c:pt idx="351">
                  <c:v>118.8030281205188</c:v>
                </c:pt>
                <c:pt idx="352">
                  <c:v>118.52850036370651</c:v>
                </c:pt>
                <c:pt idx="353">
                  <c:v>118.24568684301914</c:v>
                </c:pt>
                <c:pt idx="354">
                  <c:v>117.95463506295657</c:v>
                </c:pt>
                <c:pt idx="355">
                  <c:v>117.65539338122633</c:v>
                </c:pt>
                <c:pt idx="356">
                  <c:v>117.34801100076307</c:v>
                </c:pt>
                <c:pt idx="357">
                  <c:v>117.03253796179231</c:v>
                </c:pt>
                <c:pt idx="358">
                  <c:v>116.70902513393767</c:v>
                </c:pt>
                <c:pt idx="359">
                  <c:v>116.37752420837479</c:v>
                </c:pt>
                <c:pt idx="360">
                  <c:v>116.04260212003676</c:v>
                </c:pt>
                <c:pt idx="361">
                  <c:v>115.70879039453636</c:v>
                </c:pt>
                <c:pt idx="362">
                  <c:v>115.37608420777748</c:v>
                </c:pt>
                <c:pt idx="363">
                  <c:v>115.04447876222453</c:v>
                </c:pt>
                <c:pt idx="364">
                  <c:v>114.71396928672675</c:v>
                </c:pt>
                <c:pt idx="365">
                  <c:v>114.38455103634372</c:v>
                </c:pt>
                <c:pt idx="366">
                  <c:v>114.05621929217224</c:v>
                </c:pt>
                <c:pt idx="367">
                  <c:v>113.72896936117452</c:v>
                </c:pt>
                <c:pt idx="368">
                  <c:v>113.40279657600782</c:v>
                </c:pt>
                <c:pt idx="369">
                  <c:v>113.07769629485544</c:v>
                </c:pt>
                <c:pt idx="370">
                  <c:v>112.75366390125863</c:v>
                </c:pt>
                <c:pt idx="371">
                  <c:v>112.43069480395035</c:v>
                </c:pt>
                <c:pt idx="372">
                  <c:v>112.10878443668973</c:v>
                </c:pt>
                <c:pt idx="373">
                  <c:v>111.7879282580984</c:v>
                </c:pt>
                <c:pt idx="374">
                  <c:v>111.46812175149746</c:v>
                </c:pt>
                <c:pt idx="375">
                  <c:v>111.14936042474625</c:v>
                </c:pt>
                <c:pt idx="376">
                  <c:v>110.83163981008202</c:v>
                </c:pt>
                <c:pt idx="377">
                  <c:v>110.51495546396082</c:v>
                </c:pt>
                <c:pt idx="378">
                  <c:v>110.19930296689991</c:v>
                </c:pt>
                <c:pt idx="379">
                  <c:v>109.88467792332084</c:v>
                </c:pt>
                <c:pt idx="380">
                  <c:v>109.57107596139436</c:v>
                </c:pt>
                <c:pt idx="381">
                  <c:v>109.25849273288608</c:v>
                </c:pt>
                <c:pt idx="382">
                  <c:v>108.94692391300325</c:v>
                </c:pt>
                <c:pt idx="383">
                  <c:v>108.6363652002432</c:v>
                </c:pt>
                <c:pt idx="384">
                  <c:v>108.32681231624217</c:v>
                </c:pt>
                <c:pt idx="385">
                  <c:v>108.01826100562613</c:v>
                </c:pt>
                <c:pt idx="386">
                  <c:v>107.7107070358621</c:v>
                </c:pt>
                <c:pt idx="387">
                  <c:v>107.40414619711076</c:v>
                </c:pt>
                <c:pt idx="388">
                  <c:v>107.09857430208028</c:v>
                </c:pt>
                <c:pt idx="389">
                  <c:v>106.79398718588122</c:v>
                </c:pt>
                <c:pt idx="390">
                  <c:v>106.49038070588249</c:v>
                </c:pt>
                <c:pt idx="391">
                  <c:v>106.18775074156825</c:v>
                </c:pt>
                <c:pt idx="392">
                  <c:v>105.88609319439618</c:v>
                </c:pt>
                <c:pt idx="393">
                  <c:v>105.58540398765662</c:v>
                </c:pt>
                <c:pt idx="394">
                  <c:v>105.28567906633288</c:v>
                </c:pt>
                <c:pt idx="395">
                  <c:v>104.98691439696229</c:v>
                </c:pt>
                <c:pt idx="396">
                  <c:v>104.6891059674988</c:v>
                </c:pt>
                <c:pt idx="397">
                  <c:v>104.3922497871762</c:v>
                </c:pt>
                <c:pt idx="398">
                  <c:v>104.09634188637237</c:v>
                </c:pt>
                <c:pt idx="399">
                  <c:v>103.80137831647497</c:v>
                </c:pt>
                <c:pt idx="400">
                  <c:v>103.50735514974754</c:v>
                </c:pt>
                <c:pt idx="401">
                  <c:v>100.59839236398359</c:v>
                </c:pt>
                <c:pt idx="402">
                  <c:v>97.780789962446491</c:v>
                </c:pt>
                <c:pt idx="403">
                  <c:v>95.050841425461329</c:v>
                </c:pt>
                <c:pt idx="404">
                  <c:v>92.405029794899519</c:v>
                </c:pt>
                <c:pt idx="405">
                  <c:v>89.840016121914147</c:v>
                </c:pt>
                <c:pt idx="406">
                  <c:v>87.352628731765051</c:v>
                </c:pt>
                <c:pt idx="407">
                  <c:v>84.939853240149858</c:v>
                </c:pt>
                <c:pt idx="408">
                  <c:v>82.59882326133652</c:v>
                </c:pt>
                <c:pt idx="409">
                  <c:v>80.326811753689682</c:v>
                </c:pt>
                <c:pt idx="410">
                  <c:v>78.121222952963024</c:v>
                </c:pt>
                <c:pt idx="411">
                  <c:v>75.979584848045917</c:v>
                </c:pt>
                <c:pt idx="412">
                  <c:v>73.899542157755633</c:v>
                </c:pt>
                <c:pt idx="413">
                  <c:v>71.878849770796819</c:v>
                </c:pt>
                <c:pt idx="414">
                  <c:v>69.915366614210456</c:v>
                </c:pt>
                <c:pt idx="415">
                  <c:v>68.007049918536879</c:v>
                </c:pt>
                <c:pt idx="416">
                  <c:v>66.151949850548263</c:v>
                </c:pt>
                <c:pt idx="417">
                  <c:v>64.348204486801947</c:v>
                </c:pt>
                <c:pt idx="418">
                  <c:v>62.594035103440113</c:v>
                </c:pt>
                <c:pt idx="419">
                  <c:v>60.887741759642807</c:v>
                </c:pt>
                <c:pt idx="420">
                  <c:v>59.227699153945714</c:v>
                </c:pt>
                <c:pt idx="421">
                  <c:v>57.612352734279838</c:v>
                </c:pt>
                <c:pt idx="422">
                  <c:v>56.040215044091994</c:v>
                </c:pt>
                <c:pt idx="423">
                  <c:v>54.509862288276317</c:v>
                </c:pt>
                <c:pt idx="424">
                  <c:v>53.019931103902138</c:v>
                </c:pt>
                <c:pt idx="425">
                  <c:v>51.569115521869449</c:v>
                </c:pt>
                <c:pt idx="426">
                  <c:v>50.156164106675206</c:v>
                </c:pt>
                <c:pt idx="427">
                  <c:v>48.779877262435342</c:v>
                </c:pt>
                <c:pt idx="428">
                  <c:v>47.439104694190952</c:v>
                </c:pt>
                <c:pt idx="429">
                  <c:v>46.132743014336924</c:v>
                </c:pt>
                <c:pt idx="430">
                  <c:v>44.859733484756127</c:v>
                </c:pt>
                <c:pt idx="431">
                  <c:v>43.619059885925367</c:v>
                </c:pt>
                <c:pt idx="432">
                  <c:v>42.409746504889561</c:v>
                </c:pt>
                <c:pt idx="433">
                  <c:v>41.230856234579207</c:v>
                </c:pt>
                <c:pt idx="434">
                  <c:v>40.081488777479315</c:v>
                </c:pt>
                <c:pt idx="435">
                  <c:v>38.960778947150253</c:v>
                </c:pt>
                <c:pt idx="436">
                  <c:v>37.867895061554542</c:v>
                </c:pt>
                <c:pt idx="437">
                  <c:v>36.802037422561035</c:v>
                </c:pt>
                <c:pt idx="438">
                  <c:v>35.762436876386253</c:v>
                </c:pt>
                <c:pt idx="439">
                  <c:v>34.748353450088089</c:v>
                </c:pt>
                <c:pt idx="440">
                  <c:v>33.759075059558974</c:v>
                </c:pt>
                <c:pt idx="441">
                  <c:v>32.793916284769999</c:v>
                </c:pt>
                <c:pt idx="442">
                  <c:v>31.852217208301511</c:v>
                </c:pt>
                <c:pt idx="443">
                  <c:v>30.93334231345715</c:v>
                </c:pt>
                <c:pt idx="444">
                  <c:v>30.036679438501785</c:v>
                </c:pt>
                <c:pt idx="445">
                  <c:v>29.161638783789062</c:v>
                </c:pt>
                <c:pt idx="446">
                  <c:v>28.30765196875354</c:v>
                </c:pt>
                <c:pt idx="447">
                  <c:v>27.474171135936441</c:v>
                </c:pt>
                <c:pt idx="448">
                  <c:v>26.660668099395043</c:v>
                </c:pt>
                <c:pt idx="449">
                  <c:v>25.866633535012859</c:v>
                </c:pt>
                <c:pt idx="450">
                  <c:v>25.091576210384439</c:v>
                </c:pt>
                <c:pt idx="451">
                  <c:v>24.335022252093324</c:v>
                </c:pt>
                <c:pt idx="452">
                  <c:v>23.59651444833732</c:v>
                </c:pt>
                <c:pt idx="453">
                  <c:v>22.875611584981094</c:v>
                </c:pt>
                <c:pt idx="454">
                  <c:v>22.171887813233283</c:v>
                </c:pt>
                <c:pt idx="455">
                  <c:v>21.484932047255157</c:v>
                </c:pt>
                <c:pt idx="456">
                  <c:v>20.814347390109855</c:v>
                </c:pt>
                <c:pt idx="457">
                  <c:v>20.159750586556562</c:v>
                </c:pt>
                <c:pt idx="458">
                  <c:v>19.520771501282965</c:v>
                </c:pt>
                <c:pt idx="459">
                  <c:v>18.89705262125289</c:v>
                </c:pt>
                <c:pt idx="460">
                  <c:v>18.288248580923227</c:v>
                </c:pt>
                <c:pt idx="461">
                  <c:v>17.694025709157618</c:v>
                </c:pt>
                <c:pt idx="462">
                  <c:v>17.114061596731911</c:v>
                </c:pt>
                <c:pt idx="463">
                  <c:v>16.548044683390486</c:v>
                </c:pt>
                <c:pt idx="464">
                  <c:v>15.99567386347184</c:v>
                </c:pt>
                <c:pt idx="465">
                  <c:v>15.456658109178212</c:v>
                </c:pt>
                <c:pt idx="466">
                  <c:v>14.930716110615904</c:v>
                </c:pt>
                <c:pt idx="467">
                  <c:v>14.41757593178234</c:v>
                </c:pt>
                <c:pt idx="468">
                  <c:v>13.916974681722101</c:v>
                </c:pt>
                <c:pt idx="469">
                  <c:v>13.428658200117061</c:v>
                </c:pt>
                <c:pt idx="470">
                  <c:v>12.9523807566167</c:v>
                </c:pt>
                <c:pt idx="471">
                  <c:v>12.487904763252565</c:v>
                </c:pt>
                <c:pt idx="472">
                  <c:v>12.035000499316808</c:v>
                </c:pt>
                <c:pt idx="473">
                  <c:v>11.593445848118279</c:v>
                </c:pt>
                <c:pt idx="474">
                  <c:v>11.163026045061329</c:v>
                </c:pt>
                <c:pt idx="475">
                  <c:v>10.743533436522352</c:v>
                </c:pt>
                <c:pt idx="476">
                  <c:v>10.3347672490268</c:v>
                </c:pt>
                <c:pt idx="477">
                  <c:v>9.9365333682561108</c:v>
                </c:pt>
                <c:pt idx="478">
                  <c:v>9.5486441274383758</c:v>
                </c:pt>
                <c:pt idx="479">
                  <c:v>9.1709181047002399</c:v>
                </c:pt>
                <c:pt idx="480">
                  <c:v>8.803179928979155</c:v>
                </c:pt>
                <c:pt idx="481">
                  <c:v>8.4452600941160618</c:v>
                </c:pt>
                <c:pt idx="482">
                  <c:v>8.0969947807676981</c:v>
                </c:pt>
                <c:pt idx="483">
                  <c:v>7.7582256857962957</c:v>
                </c:pt>
                <c:pt idx="484">
                  <c:v>7.4287998588113666</c:v>
                </c:pt>
                <c:pt idx="485">
                  <c:v>7.1085695455546434</c:v>
                </c:pt>
                <c:pt idx="486">
                  <c:v>6.7973920378341539</c:v>
                </c:pt>
                <c:pt idx="487">
                  <c:v>6.4951295297279046</c:v>
                </c:pt>
                <c:pt idx="488">
                  <c:v>6.2016489797906527</c:v>
                </c:pt>
                <c:pt idx="489">
                  <c:v>5.9168219790098586</c:v>
                </c:pt>
                <c:pt idx="490">
                  <c:v>5.6405246242683678</c:v>
                </c:pt>
                <c:pt idx="491">
                  <c:v>5.3726373970820429</c:v>
                </c:pt>
                <c:pt idx="492">
                  <c:v>5.1130450473904938</c:v>
                </c:pt>
                <c:pt idx="493">
                  <c:v>4.8616364821879099</c:v>
                </c:pt>
                <c:pt idx="494">
                  <c:v>4.6183046587892305</c:v>
                </c:pt>
                <c:pt idx="495">
                  <c:v>4.3829464825340168</c:v>
                </c:pt>
                <c:pt idx="496">
                  <c:v>4.1554627087366178</c:v>
                </c:pt>
                <c:pt idx="497">
                  <c:v>3.9357578486965239</c:v>
                </c:pt>
                <c:pt idx="498">
                  <c:v>3.7237400795867539</c:v>
                </c:pt>
                <c:pt idx="499">
                  <c:v>3.5193211580411199</c:v>
                </c:pt>
                <c:pt idx="500">
                  <c:v>3.3224163372624993</c:v>
                </c:pt>
                <c:pt idx="501">
                  <c:v>3.1329442874741922</c:v>
                </c:pt>
                <c:pt idx="502">
                  <c:v>2.9508270195343407</c:v>
                </c:pt>
                <c:pt idx="503">
                  <c:v>2.7759898115291559</c:v>
                </c:pt>
                <c:pt idx="504">
                  <c:v>2.6083611381539002</c:v>
                </c:pt>
                <c:pt idx="505">
                  <c:v>2.4478726026806044</c:v>
                </c:pt>
                <c:pt idx="506">
                  <c:v>2.2944588712978407</c:v>
                </c:pt>
                <c:pt idx="507">
                  <c:v>2.1480576095897055</c:v>
                </c:pt>
                <c:pt idx="508">
                  <c:v>2.008609420897546</c:v>
                </c:pt>
                <c:pt idx="509">
                  <c:v>1.8760577862776842</c:v>
                </c:pt>
                <c:pt idx="510">
                  <c:v>1.7503490057302586</c:v>
                </c:pt>
                <c:pt idx="511">
                  <c:v>1.6314321403264362</c:v>
                </c:pt>
                <c:pt idx="512">
                  <c:v>1.5192589548020139</c:v>
                </c:pt>
                <c:pt idx="513">
                  <c:v>1.4137838601126784</c:v>
                </c:pt>
                <c:pt idx="514">
                  <c:v>1.314963855357743</c:v>
                </c:pt>
                <c:pt idx="515">
                  <c:v>1.2227584683731798</c:v>
                </c:pt>
                <c:pt idx="516">
                  <c:v>1.1371296941695581</c:v>
                </c:pt>
                <c:pt idx="517">
                  <c:v>1.0580419302459905</c:v>
                </c:pt>
                <c:pt idx="518">
                  <c:v>0.98546190764909436</c:v>
                </c:pt>
                <c:pt idx="519">
                  <c:v>0.9193586164719828</c:v>
                </c:pt>
                <c:pt idx="520">
                  <c:v>0.85970322431327095</c:v>
                </c:pt>
                <c:pt idx="521">
                  <c:v>0.8064689860589167</c:v>
                </c:pt>
                <c:pt idx="522">
                  <c:v>0.75963114323915537</c:v>
                </c:pt>
                <c:pt idx="523">
                  <c:v>0.71916681118883075</c:v>
                </c:pt>
                <c:pt idx="524">
                  <c:v>0.68505485235233299</c:v>
                </c:pt>
                <c:pt idx="525">
                  <c:v>0.65727573437904252</c:v>
                </c:pt>
                <c:pt idx="526">
                  <c:v>0.63581137219987849</c:v>
                </c:pt>
                <c:pt idx="527">
                  <c:v>0.62064495408368636</c:v>
                </c:pt>
                <c:pt idx="528">
                  <c:v>0.61176075272100072</c:v>
                </c:pt>
                <c:pt idx="529">
                  <c:v>0.6091439235860725</c:v>
                </c:pt>
                <c:pt idx="530">
                  <c:v>0.61278029403421197</c:v>
                </c:pt>
                <c:pt idx="531">
                  <c:v>0.6226561476057566</c:v>
                </c:pt>
                <c:pt idx="532">
                  <c:v>0.63875800863928722</c:v>
                </c:pt>
                <c:pt idx="533">
                  <c:v>0.6610724324150159</c:v>
                </c:pt>
                <c:pt idx="534">
                  <c:v>0.68958580562919203</c:v>
                </c:pt>
                <c:pt idx="535">
                  <c:v>0.72428416113002914</c:v>
                </c:pt>
                <c:pt idx="536">
                  <c:v>0.76515300969660249</c:v>
                </c:pt>
                <c:pt idx="537">
                  <c:v>0.81217719041480885</c:v>
                </c:pt>
                <c:pt idx="538">
                  <c:v>0.86534074007404782</c:v>
                </c:pt>
                <c:pt idx="539">
                  <c:v>0.92462678109083118</c:v>
                </c:pt>
                <c:pt idx="540">
                  <c:v>0.99001742680993166</c:v>
                </c:pt>
                <c:pt idx="541">
                  <c:v>1.0614937026337841</c:v>
                </c:pt>
                <c:pt idx="542">
                  <c:v>1.1390354812463304</c:v>
                </c:pt>
                <c:pt idx="543">
                  <c:v>1.2226214301740486</c:v>
                </c:pt>
                <c:pt idx="544">
                  <c:v>1.3122289700109717</c:v>
                </c:pt>
                <c:pt idx="545">
                  <c:v>1.4078342417809666</c:v>
                </c:pt>
                <c:pt idx="546">
                  <c:v>1.5094120820856993</c:v>
                </c:pt>
                <c:pt idx="547">
                  <c:v>1.6169360048676342</c:v>
                </c:pt>
                <c:pt idx="548">
                  <c:v>1.7303781887899647</c:v>
                </c:pt>
                <c:pt idx="549">
                  <c:v>1.8497094693920564</c:v>
                </c:pt>
                <c:pt idx="550">
                  <c:v>1.9748993353164948</c:v>
                </c:pt>
                <c:pt idx="551">
                  <c:v>2.1059159280218331</c:v>
                </c:pt>
                <c:pt idx="552">
                  <c:v>2.2427260444947437</c:v>
                </c:pt>
                <c:pt idx="553">
                  <c:v>2.3852951425582725</c:v>
                </c:pt>
                <c:pt idx="554">
                  <c:v>2.5335873484416465</c:v>
                </c:pt>
                <c:pt idx="555">
                  <c:v>2.6875654663335418</c:v>
                </c:pt>
                <c:pt idx="556">
                  <c:v>2.8471909896869945</c:v>
                </c:pt>
                <c:pt idx="557">
                  <c:v>3.0124241140819659</c:v>
                </c:pt>
                <c:pt idx="558">
                  <c:v>3.1832237514824491</c:v>
                </c:pt>
                <c:pt idx="559">
                  <c:v>3.3595475457501096</c:v>
                </c:pt>
                <c:pt idx="560">
                  <c:v>3.5413518892971121</c:v>
                </c:pt>
                <c:pt idx="561">
                  <c:v>3.7285919407774433</c:v>
                </c:pt>
                <c:pt idx="562">
                  <c:v>3.9212216437298246</c:v>
                </c:pt>
                <c:pt idx="563">
                  <c:v>4.1191937460965127</c:v>
                </c:pt>
                <c:pt idx="564">
                  <c:v>4.3224598205514884</c:v>
                </c:pt>
                <c:pt idx="565">
                  <c:v>4.5309702855790945</c:v>
                </c:pt>
                <c:pt idx="566">
                  <c:v>4.7446744272504136</c:v>
                </c:pt>
                <c:pt idx="567">
                  <c:v>4.9635204216497844</c:v>
                </c:pt>
                <c:pt idx="568">
                  <c:v>5.1874553579081804</c:v>
                </c:pt>
                <c:pt idx="569">
                  <c:v>5.4164252618035533</c:v>
                </c:pt>
                <c:pt idx="570">
                  <c:v>5.6503751198913168</c:v>
                </c:pt>
                <c:pt idx="571">
                  <c:v>5.889248904130473</c:v>
                </c:pt>
                <c:pt idx="572">
                  <c:v>6.1329895969729771</c:v>
                </c:pt>
                <c:pt idx="573">
                  <c:v>6.3815392168856357</c:v>
                </c:pt>
                <c:pt idx="574">
                  <c:v>6.634838844275242</c:v>
                </c:pt>
                <c:pt idx="575">
                  <c:v>6.8928286477889182</c:v>
                </c:pt>
                <c:pt idx="576">
                  <c:v>7.1554479109626694</c:v>
                </c:pt>
                <c:pt idx="577">
                  <c:v>7.422635059191955</c:v>
                </c:pt>
                <c:pt idx="578">
                  <c:v>7.6943276869990083</c:v>
                </c:pt>
                <c:pt idx="579">
                  <c:v>7.9704625855721467</c:v>
                </c:pt>
                <c:pt idx="580">
                  <c:v>8.2509757705529978</c:v>
                </c:pt>
                <c:pt idx="581">
                  <c:v>8.5358025100480504</c:v>
                </c:pt>
                <c:pt idx="582">
                  <c:v>8.8248773528414191</c:v>
                </c:pt>
                <c:pt idx="583">
                  <c:v>9.1181341567861338</c:v>
                </c:pt>
                <c:pt idx="584">
                  <c:v>9.4155061173516366</c:v>
                </c:pt>
                <c:pt idx="585">
                  <c:v>9.7169257963055653</c:v>
                </c:pt>
                <c:pt idx="586">
                  <c:v>10.022325150508278</c:v>
                </c:pt>
                <c:pt idx="587">
                  <c:v>10.331635560798768</c:v>
                </c:pt>
                <c:pt idx="588">
                  <c:v>10.644787860951141</c:v>
                </c:pt>
                <c:pt idx="589">
                  <c:v>10.96171236668094</c:v>
                </c:pt>
                <c:pt idx="590">
                  <c:v>11.282338904681104</c:v>
                </c:pt>
                <c:pt idx="591">
                  <c:v>11.606596841667475</c:v>
                </c:pt>
                <c:pt idx="592">
                  <c:v>11.934415113414218</c:v>
                </c:pt>
                <c:pt idx="593">
                  <c:v>12.265722253759732</c:v>
                </c:pt>
                <c:pt idx="594">
                  <c:v>12.600446423564074</c:v>
                </c:pt>
                <c:pt idx="595">
                  <c:v>12.938515439599009</c:v>
                </c:pt>
                <c:pt idx="596">
                  <c:v>13.279856803352464</c:v>
                </c:pt>
                <c:pt idx="597">
                  <c:v>13.624397729729116</c:v>
                </c:pt>
                <c:pt idx="598">
                  <c:v>13.972065175629522</c:v>
                </c:pt>
                <c:pt idx="599">
                  <c:v>14.322785868390261</c:v>
                </c:pt>
                <c:pt idx="600">
                  <c:v>14.676486334068228</c:v>
                </c:pt>
                <c:pt idx="601">
                  <c:v>15.033092925552209</c:v>
                </c:pt>
                <c:pt idx="602">
                  <c:v>15.392531850485545</c:v>
                </c:pt>
                <c:pt idx="603">
                  <c:v>15.754729198983938</c:v>
                </c:pt>
                <c:pt idx="604">
                  <c:v>16.119610971132829</c:v>
                </c:pt>
                <c:pt idx="605">
                  <c:v>16.487103104249226</c:v>
                </c:pt>
                <c:pt idx="606">
                  <c:v>16.857131499893168</c:v>
                </c:pt>
                <c:pt idx="607">
                  <c:v>17.229622050614562</c:v>
                </c:pt>
                <c:pt idx="608">
                  <c:v>17.604500666421412</c:v>
                </c:pt>
                <c:pt idx="609">
                  <c:v>17.981693300955826</c:v>
                </c:pt>
                <c:pt idx="610">
                  <c:v>18.361125977364917</c:v>
                </c:pt>
                <c:pt idx="611">
                  <c:v>18.742724813853737</c:v>
                </c:pt>
                <c:pt idx="612">
                  <c:v>19.126416048908059</c:v>
                </c:pt>
                <c:pt idx="613">
                  <c:v>19.512126066175288</c:v>
                </c:pt>
                <c:pt idx="614">
                  <c:v>19.899781418992024</c:v>
                </c:pt>
                <c:pt idx="615">
                  <c:v>20.289308854547471</c:v>
                </c:pt>
                <c:pt idx="616">
                  <c:v>20.680635337672204</c:v>
                </c:pt>
                <c:pt idx="617">
                  <c:v>21.073688074242128</c:v>
                </c:pt>
                <c:pt idx="618">
                  <c:v>21.468394534188413</c:v>
                </c:pt>
                <c:pt idx="619">
                  <c:v>21.864682474103866</c:v>
                </c:pt>
                <c:pt idx="620">
                  <c:v>22.262479959437524</c:v>
                </c:pt>
                <c:pt idx="621">
                  <c:v>22.661715386268849</c:v>
                </c:pt>
                <c:pt idx="622">
                  <c:v>23.062317502654132</c:v>
                </c:pt>
                <c:pt idx="623">
                  <c:v>23.464215429537635</c:v>
                </c:pt>
                <c:pt idx="624">
                  <c:v>23.867338681220648</c:v>
                </c:pt>
                <c:pt idx="625">
                  <c:v>24.271617185382176</c:v>
                </c:pt>
                <c:pt idx="626">
                  <c:v>24.676981302645142</c:v>
                </c:pt>
                <c:pt idx="627">
                  <c:v>25.083361845682948</c:v>
                </c:pt>
                <c:pt idx="628">
                  <c:v>25.490690097860906</c:v>
                </c:pt>
                <c:pt idx="629">
                  <c:v>25.89889783140838</c:v>
                </c:pt>
                <c:pt idx="630">
                  <c:v>26.307917325117167</c:v>
                </c:pt>
                <c:pt idx="631">
                  <c:v>26.717681381562649</c:v>
                </c:pt>
                <c:pt idx="632">
                  <c:v>27.128123343844141</c:v>
                </c:pt>
                <c:pt idx="633">
                  <c:v>27.539177111841877</c:v>
                </c:pt>
                <c:pt idx="634">
                  <c:v>27.950777157987904</c:v>
                </c:pt>
                <c:pt idx="635">
                  <c:v>28.362858542549073</c:v>
                </c:pt>
                <c:pt idx="636">
                  <c:v>28.77535692842039</c:v>
                </c:pt>
                <c:pt idx="637">
                  <c:v>29.188208595427501</c:v>
                </c:pt>
                <c:pt idx="638">
                  <c:v>29.601350454137584</c:v>
                </c:pt>
                <c:pt idx="639">
                  <c:v>30.014720059178028</c:v>
                </c:pt>
                <c:pt idx="640">
                  <c:v>30.428255622063073</c:v>
                </c:pt>
                <c:pt idx="641">
                  <c:v>30.841896023528562</c:v>
                </c:pt>
                <c:pt idx="642">
                  <c:v>31.25558082537562</c:v>
                </c:pt>
                <c:pt idx="643">
                  <c:v>31.66925028182402</c:v>
                </c:pt>
                <c:pt idx="644">
                  <c:v>32.082845350377212</c:v>
                </c:pt>
                <c:pt idx="645">
                  <c:v>32.496307702200006</c:v>
                </c:pt>
                <c:pt idx="646">
                  <c:v>32.909579732011608</c:v>
                </c:pt>
                <c:pt idx="647">
                  <c:v>33.322604567496079</c:v>
                </c:pt>
                <c:pt idx="648">
                  <c:v>33.735326078233065</c:v>
                </c:pt>
                <c:pt idx="649">
                  <c:v>34.14768888415162</c:v>
                </c:pt>
                <c:pt idx="650">
                  <c:v>34.55963836351085</c:v>
                </c:pt>
                <c:pt idx="651">
                  <c:v>34.971120660410421</c:v>
                </c:pt>
                <c:pt idx="652">
                  <c:v>35.382082691835336</c:v>
                </c:pt>
                <c:pt idx="653">
                  <c:v>35.792472154238929</c:v>
                </c:pt>
                <c:pt idx="654">
                  <c:v>36.202237529668274</c:v>
                </c:pt>
                <c:pt idx="655">
                  <c:v>36.611328091437116</c:v>
                </c:pt>
                <c:pt idx="656">
                  <c:v>37.019693909350906</c:v>
                </c:pt>
                <c:pt idx="657">
                  <c:v>37.427285854489213</c:v>
                </c:pt>
                <c:pt idx="658">
                  <c:v>37.834055603550738</c:v>
                </c:pt>
                <c:pt idx="659">
                  <c:v>38.239955642766802</c:v>
                </c:pt>
                <c:pt idx="660">
                  <c:v>38.644939271388651</c:v>
                </c:pt>
                <c:pt idx="661">
                  <c:v>39.048960604754953</c:v>
                </c:pt>
                <c:pt idx="662">
                  <c:v>39.451974576945418</c:v>
                </c:pt>
                <c:pt idx="663">
                  <c:v>39.853936943026838</c:v>
                </c:pt>
                <c:pt idx="664">
                  <c:v>40.254804280898199</c:v>
                </c:pt>
                <c:pt idx="665">
                  <c:v>40.654533992741378</c:v>
                </c:pt>
                <c:pt idx="666">
                  <c:v>41.053084306084187</c:v>
                </c:pt>
                <c:pt idx="667">
                  <c:v>41.450414274482831</c:v>
                </c:pt>
                <c:pt idx="668">
                  <c:v>41.846483777830578</c:v>
                </c:pt>
                <c:pt idx="669">
                  <c:v>42.241253522300227</c:v>
                </c:pt>
                <c:pt idx="670">
                  <c:v>42.634685039926985</c:v>
                </c:pt>
                <c:pt idx="671">
                  <c:v>43.026740687839869</c:v>
                </c:pt>
                <c:pt idx="672">
                  <c:v>43.417383647148519</c:v>
                </c:pt>
                <c:pt idx="673">
                  <c:v>43.806577921493258</c:v>
                </c:pt>
                <c:pt idx="674">
                  <c:v>44.194288335265824</c:v>
                </c:pt>
                <c:pt idx="675">
                  <c:v>44.580480531508577</c:v>
                </c:pt>
                <c:pt idx="676">
                  <c:v>44.965120969500049</c:v>
                </c:pt>
                <c:pt idx="677">
                  <c:v>45.348176922034099</c:v>
                </c:pt>
                <c:pt idx="678">
                  <c:v>45.72961647240119</c:v>
                </c:pt>
                <c:pt idx="679">
                  <c:v>46.109408511079025</c:v>
                </c:pt>
                <c:pt idx="680">
                  <c:v>46.487522732140739</c:v>
                </c:pt>
                <c:pt idx="681">
                  <c:v>46.863929629388664</c:v>
                </c:pt>
                <c:pt idx="682">
                  <c:v>47.238600492221011</c:v>
                </c:pt>
                <c:pt idx="683">
                  <c:v>47.61150740124004</c:v>
                </c:pt>
                <c:pt idx="684">
                  <c:v>47.982623223609139</c:v>
                </c:pt>
                <c:pt idx="685">
                  <c:v>48.351921608167117</c:v>
                </c:pt>
                <c:pt idx="686">
                  <c:v>48.71937698030689</c:v>
                </c:pt>
                <c:pt idx="687">
                  <c:v>49.084964536627339</c:v>
                </c:pt>
                <c:pt idx="688">
                  <c:v>49.448660239365417</c:v>
                </c:pt>
                <c:pt idx="689">
                  <c:v>49.810440810616583</c:v>
                </c:pt>
                <c:pt idx="690">
                  <c:v>50.170283726351308</c:v>
                </c:pt>
                <c:pt idx="691">
                  <c:v>50.528167210235203</c:v>
                </c:pt>
                <c:pt idx="692">
                  <c:v>50.884070227260786</c:v>
                </c:pt>
                <c:pt idx="693">
                  <c:v>51.237972477197836</c:v>
                </c:pt>
                <c:pt idx="694">
                  <c:v>51.589854387870538</c:v>
                </c:pt>
                <c:pt idx="695">
                  <c:v>51.939697108268433</c:v>
                </c:pt>
                <c:pt idx="696">
                  <c:v>52.287482501498665</c:v>
                </c:pt>
                <c:pt idx="697">
                  <c:v>52.633193137587057</c:v>
                </c:pt>
                <c:pt idx="698">
                  <c:v>52.976812286134745</c:v>
                </c:pt>
                <c:pt idx="699">
                  <c:v>53.318323908838259</c:v>
                </c:pt>
                <c:pt idx="700">
                  <c:v>53.657712651879329</c:v>
                </c:pt>
                <c:pt idx="701">
                  <c:v>53.994963838191893</c:v>
                </c:pt>
                <c:pt idx="702">
                  <c:v>54.330063459613214</c:v>
                </c:pt>
                <c:pt idx="703">
                  <c:v>54.662998168925377</c:v>
                </c:pt>
                <c:pt idx="704">
                  <c:v>54.993755271794676</c:v>
                </c:pt>
                <c:pt idx="705">
                  <c:v>55.322322718614501</c:v>
                </c:pt>
                <c:pt idx="706">
                  <c:v>55.648689096259183</c:v>
                </c:pt>
                <c:pt idx="707">
                  <c:v>55.972843619754329</c:v>
                </c:pt>
                <c:pt idx="708">
                  <c:v>56.294776123870427</c:v>
                </c:pt>
                <c:pt idx="709">
                  <c:v>56.614477054645924</c:v>
                </c:pt>
                <c:pt idx="710">
                  <c:v>56.931937460845198</c:v>
                </c:pt>
                <c:pt idx="711">
                  <c:v>57.247148985358031</c:v>
                </c:pt>
                <c:pt idx="712">
                  <c:v>57.56010385654637</c:v>
                </c:pt>
                <c:pt idx="713">
                  <c:v>57.870794879543169</c:v>
                </c:pt>
                <c:pt idx="714">
                  <c:v>58.179215427510265</c:v>
                </c:pt>
                <c:pt idx="715">
                  <c:v>58.485359432859639</c:v>
                </c:pt>
                <c:pt idx="716">
                  <c:v>58.789221378443706</c:v>
                </c:pt>
                <c:pt idx="717">
                  <c:v>59.090796288720369</c:v>
                </c:pt>
                <c:pt idx="718">
                  <c:v>59.390079720896871</c:v>
                </c:pt>
                <c:pt idx="719">
                  <c:v>59.390376093590419</c:v>
                </c:pt>
                <c:pt idx="720">
                  <c:v>59.390672464010699</c:v>
                </c:pt>
                <c:pt idx="721">
                  <c:v>59.390968832157682</c:v>
                </c:pt>
                <c:pt idx="722">
                  <c:v>59.391265198031377</c:v>
                </c:pt>
                <c:pt idx="723">
                  <c:v>59.391561561631775</c:v>
                </c:pt>
                <c:pt idx="724">
                  <c:v>59.391857922958906</c:v>
                </c:pt>
                <c:pt idx="725">
                  <c:v>59.392154282012712</c:v>
                </c:pt>
                <c:pt idx="726">
                  <c:v>59.392450638793235</c:v>
                </c:pt>
                <c:pt idx="727">
                  <c:v>59.392746993300449</c:v>
                </c:pt>
                <c:pt idx="728">
                  <c:v>59.393043345534359</c:v>
                </c:pt>
                <c:pt idx="729">
                  <c:v>59.393339695494959</c:v>
                </c:pt>
                <c:pt idx="730">
                  <c:v>59.393636043182241</c:v>
                </c:pt>
                <c:pt idx="731">
                  <c:v>59.393932388596184</c:v>
                </c:pt>
                <c:pt idx="732">
                  <c:v>59.394228731736845</c:v>
                </c:pt>
                <c:pt idx="733">
                  <c:v>59.394525072604168</c:v>
                </c:pt>
                <c:pt idx="734">
                  <c:v>59.394821411198151</c:v>
                </c:pt>
                <c:pt idx="735">
                  <c:v>59.39511774751881</c:v>
                </c:pt>
                <c:pt idx="736">
                  <c:v>59.39541408156613</c:v>
                </c:pt>
                <c:pt idx="737">
                  <c:v>59.395710413340105</c:v>
                </c:pt>
                <c:pt idx="738">
                  <c:v>59.39600674284074</c:v>
                </c:pt>
                <c:pt idx="739">
                  <c:v>59.396303070068051</c:v>
                </c:pt>
                <c:pt idx="740">
                  <c:v>59.396599395021994</c:v>
                </c:pt>
                <c:pt idx="741">
                  <c:v>59.396895717702577</c:v>
                </c:pt>
                <c:pt idx="742">
                  <c:v>59.397192038109814</c:v>
                </c:pt>
                <c:pt idx="743">
                  <c:v>59.397488356243691</c:v>
                </c:pt>
                <c:pt idx="744">
                  <c:v>59.39778467210423</c:v>
                </c:pt>
                <c:pt idx="745">
                  <c:v>59.398080985691372</c:v>
                </c:pt>
                <c:pt idx="746">
                  <c:v>59.39837729700514</c:v>
                </c:pt>
                <c:pt idx="747">
                  <c:v>59.398673606045563</c:v>
                </c:pt>
                <c:pt idx="748">
                  <c:v>59.398969912812582</c:v>
                </c:pt>
                <c:pt idx="749">
                  <c:v>59.399266217306248</c:v>
                </c:pt>
                <c:pt idx="750">
                  <c:v>59.399562519526505</c:v>
                </c:pt>
                <c:pt idx="751">
                  <c:v>59.399858819473401</c:v>
                </c:pt>
                <c:pt idx="752">
                  <c:v>59.40015511714688</c:v>
                </c:pt>
                <c:pt idx="753">
                  <c:v>59.400451412547007</c:v>
                </c:pt>
                <c:pt idx="754">
                  <c:v>59.400747705673659</c:v>
                </c:pt>
                <c:pt idx="755">
                  <c:v>59.401043996526965</c:v>
                </c:pt>
                <c:pt idx="756">
                  <c:v>59.401340285106862</c:v>
                </c:pt>
                <c:pt idx="757">
                  <c:v>59.401636571413356</c:v>
                </c:pt>
                <c:pt idx="758">
                  <c:v>59.401932855446404</c:v>
                </c:pt>
                <c:pt idx="759">
                  <c:v>59.402229137206078</c:v>
                </c:pt>
                <c:pt idx="760">
                  <c:v>59.402525416692313</c:v>
                </c:pt>
                <c:pt idx="761">
                  <c:v>59.402821693905132</c:v>
                </c:pt>
                <c:pt idx="762">
                  <c:v>59.403117968844519</c:v>
                </c:pt>
                <c:pt idx="763">
                  <c:v>59.403414241510504</c:v>
                </c:pt>
                <c:pt idx="764">
                  <c:v>59.403710511903043</c:v>
                </c:pt>
                <c:pt idx="765">
                  <c:v>59.404006780022158</c:v>
                </c:pt>
                <c:pt idx="766">
                  <c:v>59.404303045867785</c:v>
                </c:pt>
                <c:pt idx="767">
                  <c:v>59.404599309440002</c:v>
                </c:pt>
                <c:pt idx="768">
                  <c:v>59.404895570738809</c:v>
                </c:pt>
                <c:pt idx="769">
                  <c:v>59.405191829764107</c:v>
                </c:pt>
                <c:pt idx="770">
                  <c:v>59.405488086516002</c:v>
                </c:pt>
                <c:pt idx="771">
                  <c:v>59.405784340994444</c:v>
                </c:pt>
                <c:pt idx="772">
                  <c:v>59.406080593199391</c:v>
                </c:pt>
                <c:pt idx="773">
                  <c:v>59.406376843130886</c:v>
                </c:pt>
                <c:pt idx="774">
                  <c:v>59.4066730907889</c:v>
                </c:pt>
                <c:pt idx="775">
                  <c:v>59.406969336173482</c:v>
                </c:pt>
                <c:pt idx="776">
                  <c:v>59.407265579284569</c:v>
                </c:pt>
                <c:pt idx="777">
                  <c:v>59.407561820122169</c:v>
                </c:pt>
                <c:pt idx="778">
                  <c:v>59.40785805868633</c:v>
                </c:pt>
                <c:pt idx="779">
                  <c:v>59.408154294976974</c:v>
                </c:pt>
                <c:pt idx="780">
                  <c:v>59.408450528994145</c:v>
                </c:pt>
                <c:pt idx="781">
                  <c:v>59.408746760737806</c:v>
                </c:pt>
                <c:pt idx="782">
                  <c:v>59.409042990208015</c:v>
                </c:pt>
                <c:pt idx="783">
                  <c:v>59.409339217404693</c:v>
                </c:pt>
                <c:pt idx="784">
                  <c:v>59.409635442327861</c:v>
                </c:pt>
                <c:pt idx="785">
                  <c:v>59.409931664977556</c:v>
                </c:pt>
                <c:pt idx="786">
                  <c:v>59.410227885353741</c:v>
                </c:pt>
                <c:pt idx="787">
                  <c:v>59.410524103456382</c:v>
                </c:pt>
                <c:pt idx="788">
                  <c:v>59.410820319285534</c:v>
                </c:pt>
                <c:pt idx="789">
                  <c:v>59.411116532841163</c:v>
                </c:pt>
                <c:pt idx="790">
                  <c:v>59.411412744123275</c:v>
                </c:pt>
                <c:pt idx="791">
                  <c:v>59.411708953131878</c:v>
                </c:pt>
                <c:pt idx="792">
                  <c:v>59.412005159866915</c:v>
                </c:pt>
                <c:pt idx="793">
                  <c:v>59.412301364328464</c:v>
                </c:pt>
                <c:pt idx="794">
                  <c:v>59.41259756651646</c:v>
                </c:pt>
                <c:pt idx="795">
                  <c:v>59.412893766430898</c:v>
                </c:pt>
                <c:pt idx="796">
                  <c:v>59.413189964071819</c:v>
                </c:pt>
                <c:pt idx="797">
                  <c:v>59.413486159439188</c:v>
                </c:pt>
                <c:pt idx="798">
                  <c:v>59.413782352533019</c:v>
                </c:pt>
                <c:pt idx="799">
                  <c:v>59.414078543353284</c:v>
                </c:pt>
                <c:pt idx="800">
                  <c:v>59.414374731900004</c:v>
                </c:pt>
                <c:pt idx="801">
                  <c:v>59.414670918173158</c:v>
                </c:pt>
                <c:pt idx="802">
                  <c:v>59.414967102172753</c:v>
                </c:pt>
                <c:pt idx="803">
                  <c:v>59.415263283898774</c:v>
                </c:pt>
                <c:pt idx="804">
                  <c:v>59.415559463351244</c:v>
                </c:pt>
                <c:pt idx="805">
                  <c:v>59.41585564053014</c:v>
                </c:pt>
                <c:pt idx="806">
                  <c:v>59.41615181543547</c:v>
                </c:pt>
                <c:pt idx="807">
                  <c:v>59.416447988067176</c:v>
                </c:pt>
                <c:pt idx="808">
                  <c:v>59.416744158425338</c:v>
                </c:pt>
                <c:pt idx="809">
                  <c:v>59.417040326509905</c:v>
                </c:pt>
                <c:pt idx="810">
                  <c:v>59.417336492320899</c:v>
                </c:pt>
                <c:pt idx="811">
                  <c:v>59.41763265585827</c:v>
                </c:pt>
                <c:pt idx="812">
                  <c:v>59.417928817122075</c:v>
                </c:pt>
                <c:pt idx="813">
                  <c:v>59.418224976112263</c:v>
                </c:pt>
                <c:pt idx="814">
                  <c:v>59.418521132828829</c:v>
                </c:pt>
                <c:pt idx="815">
                  <c:v>59.418817287271807</c:v>
                </c:pt>
                <c:pt idx="816">
                  <c:v>59.41911343944119</c:v>
                </c:pt>
                <c:pt idx="817">
                  <c:v>59.419409589336937</c:v>
                </c:pt>
                <c:pt idx="818">
                  <c:v>59.419705736959081</c:v>
                </c:pt>
                <c:pt idx="819">
                  <c:v>59.420001882307602</c:v>
                </c:pt>
                <c:pt idx="820">
                  <c:v>59.4202980253825</c:v>
                </c:pt>
                <c:pt idx="821">
                  <c:v>59.420594166183747</c:v>
                </c:pt>
                <c:pt idx="822">
                  <c:v>59.420890304711413</c:v>
                </c:pt>
                <c:pt idx="823">
                  <c:v>59.421186440965435</c:v>
                </c:pt>
                <c:pt idx="824">
                  <c:v>59.421482574945792</c:v>
                </c:pt>
                <c:pt idx="825">
                  <c:v>59.421778706652496</c:v>
                </c:pt>
                <c:pt idx="826">
                  <c:v>59.422074836085606</c:v>
                </c:pt>
                <c:pt idx="827">
                  <c:v>59.422370963245058</c:v>
                </c:pt>
                <c:pt idx="828">
                  <c:v>59.422667088130858</c:v>
                </c:pt>
                <c:pt idx="829">
                  <c:v>59.422963210742978</c:v>
                </c:pt>
                <c:pt idx="830">
                  <c:v>59.423259331081454</c:v>
                </c:pt>
                <c:pt idx="831">
                  <c:v>59.423555449146278</c:v>
                </c:pt>
                <c:pt idx="832">
                  <c:v>59.423851564937401</c:v>
                </c:pt>
                <c:pt idx="833">
                  <c:v>59.424147678454901</c:v>
                </c:pt>
                <c:pt idx="834">
                  <c:v>59.424443789698742</c:v>
                </c:pt>
                <c:pt idx="835">
                  <c:v>59.424739898668861</c:v>
                </c:pt>
                <c:pt idx="836">
                  <c:v>59.425036005365335</c:v>
                </c:pt>
                <c:pt idx="837">
                  <c:v>59.425332109788116</c:v>
                </c:pt>
                <c:pt idx="838">
                  <c:v>59.425628211937195</c:v>
                </c:pt>
                <c:pt idx="839">
                  <c:v>59.425924311812587</c:v>
                </c:pt>
                <c:pt idx="840">
                  <c:v>59.42622040941432</c:v>
                </c:pt>
                <c:pt idx="841">
                  <c:v>59.426516504742352</c:v>
                </c:pt>
                <c:pt idx="842">
                  <c:v>59.426812597796655</c:v>
                </c:pt>
                <c:pt idx="843">
                  <c:v>59.427108688577285</c:v>
                </c:pt>
                <c:pt idx="844">
                  <c:v>59.427404777084199</c:v>
                </c:pt>
                <c:pt idx="845">
                  <c:v>59.427700863317426</c:v>
                </c:pt>
                <c:pt idx="846">
                  <c:v>59.42799694727691</c:v>
                </c:pt>
                <c:pt idx="847">
                  <c:v>59.428293028962685</c:v>
                </c:pt>
                <c:pt idx="848">
                  <c:v>59.428589108374773</c:v>
                </c:pt>
                <c:pt idx="849">
                  <c:v>59.42888518551311</c:v>
                </c:pt>
                <c:pt idx="850">
                  <c:v>59.429181260377725</c:v>
                </c:pt>
                <c:pt idx="851">
                  <c:v>59.429477332968617</c:v>
                </c:pt>
                <c:pt idx="852">
                  <c:v>59.429773403285765</c:v>
                </c:pt>
                <c:pt idx="853">
                  <c:v>59.430069471329155</c:v>
                </c:pt>
                <c:pt idx="854">
                  <c:v>59.430365537098844</c:v>
                </c:pt>
                <c:pt idx="855">
                  <c:v>59.430661600594796</c:v>
                </c:pt>
                <c:pt idx="856">
                  <c:v>59.430957661816983</c:v>
                </c:pt>
                <c:pt idx="857">
                  <c:v>59.431253720765447</c:v>
                </c:pt>
                <c:pt idx="858">
                  <c:v>59.431549777440132</c:v>
                </c:pt>
                <c:pt idx="859">
                  <c:v>59.431845831841059</c:v>
                </c:pt>
                <c:pt idx="860">
                  <c:v>59.432141883968249</c:v>
                </c:pt>
                <c:pt idx="861">
                  <c:v>59.432437933821646</c:v>
                </c:pt>
                <c:pt idx="862">
                  <c:v>59.432733981401327</c:v>
                </c:pt>
                <c:pt idx="863">
                  <c:v>59.433030026707193</c:v>
                </c:pt>
                <c:pt idx="864">
                  <c:v>59.433326069739287</c:v>
                </c:pt>
                <c:pt idx="865">
                  <c:v>59.433622110497616</c:v>
                </c:pt>
                <c:pt idx="866">
                  <c:v>59.433918148982187</c:v>
                </c:pt>
                <c:pt idx="867">
                  <c:v>59.43421418519295</c:v>
                </c:pt>
                <c:pt idx="868">
                  <c:v>59.434510219129926</c:v>
                </c:pt>
                <c:pt idx="869">
                  <c:v>59.434806250793109</c:v>
                </c:pt>
                <c:pt idx="870">
                  <c:v>59.435102280182527</c:v>
                </c:pt>
                <c:pt idx="871">
                  <c:v>59.435398307298129</c:v>
                </c:pt>
                <c:pt idx="872">
                  <c:v>59.43569433213991</c:v>
                </c:pt>
                <c:pt idx="873">
                  <c:v>59.43599035470794</c:v>
                </c:pt>
                <c:pt idx="874">
                  <c:v>59.436286375002133</c:v>
                </c:pt>
                <c:pt idx="875">
                  <c:v>59.436582393022491</c:v>
                </c:pt>
                <c:pt idx="876">
                  <c:v>59.436878408769054</c:v>
                </c:pt>
                <c:pt idx="877">
                  <c:v>59.437174422241796</c:v>
                </c:pt>
                <c:pt idx="878">
                  <c:v>59.437470433440716</c:v>
                </c:pt>
                <c:pt idx="879">
                  <c:v>59.437766442365827</c:v>
                </c:pt>
                <c:pt idx="880">
                  <c:v>59.438062449017131</c:v>
                </c:pt>
                <c:pt idx="881">
                  <c:v>59.438358453394571</c:v>
                </c:pt>
                <c:pt idx="882">
                  <c:v>59.438654455498188</c:v>
                </c:pt>
                <c:pt idx="883">
                  <c:v>59.438950455327976</c:v>
                </c:pt>
                <c:pt idx="884">
                  <c:v>59.4392464528839</c:v>
                </c:pt>
                <c:pt idx="885">
                  <c:v>59.439542448166009</c:v>
                </c:pt>
                <c:pt idx="886">
                  <c:v>59.439838441174246</c:v>
                </c:pt>
                <c:pt idx="887">
                  <c:v>59.440134431908668</c:v>
                </c:pt>
                <c:pt idx="888">
                  <c:v>59.440430420369204</c:v>
                </c:pt>
                <c:pt idx="889">
                  <c:v>59.440726406555889</c:v>
                </c:pt>
                <c:pt idx="890">
                  <c:v>59.441022390468696</c:v>
                </c:pt>
                <c:pt idx="891">
                  <c:v>59.441318372107673</c:v>
                </c:pt>
                <c:pt idx="892">
                  <c:v>59.441614351472758</c:v>
                </c:pt>
                <c:pt idx="893">
                  <c:v>59.441910328563978</c:v>
                </c:pt>
                <c:pt idx="894">
                  <c:v>59.442206303381333</c:v>
                </c:pt>
                <c:pt idx="895">
                  <c:v>59.442502275924802</c:v>
                </c:pt>
                <c:pt idx="896">
                  <c:v>59.442798246194393</c:v>
                </c:pt>
                <c:pt idx="897">
                  <c:v>59.443094214190111</c:v>
                </c:pt>
                <c:pt idx="898">
                  <c:v>59.443390179911923</c:v>
                </c:pt>
                <c:pt idx="899">
                  <c:v>59.443686143359869</c:v>
                </c:pt>
                <c:pt idx="900">
                  <c:v>59.44398210453388</c:v>
                </c:pt>
                <c:pt idx="901">
                  <c:v>59.44427806343402</c:v>
                </c:pt>
                <c:pt idx="902">
                  <c:v>59.444574020060251</c:v>
                </c:pt>
                <c:pt idx="903">
                  <c:v>59.444869974412597</c:v>
                </c:pt>
                <c:pt idx="904">
                  <c:v>59.445165926491008</c:v>
                </c:pt>
                <c:pt idx="905">
                  <c:v>59.445461876295539</c:v>
                </c:pt>
                <c:pt idx="906">
                  <c:v>59.445757823826121</c:v>
                </c:pt>
                <c:pt idx="907">
                  <c:v>59.446053769082802</c:v>
                </c:pt>
                <c:pt idx="908">
                  <c:v>59.446349712065555</c:v>
                </c:pt>
                <c:pt idx="909">
                  <c:v>59.446645652774407</c:v>
                </c:pt>
                <c:pt idx="910">
                  <c:v>59.446941591209303</c:v>
                </c:pt>
                <c:pt idx="911">
                  <c:v>59.447237527370284</c:v>
                </c:pt>
                <c:pt idx="912">
                  <c:v>59.447533461257315</c:v>
                </c:pt>
                <c:pt idx="913">
                  <c:v>59.447829392870418</c:v>
                </c:pt>
                <c:pt idx="914">
                  <c:v>59.44812532220957</c:v>
                </c:pt>
                <c:pt idx="915">
                  <c:v>59.44842124927478</c:v>
                </c:pt>
                <c:pt idx="916">
                  <c:v>59.448717174066047</c:v>
                </c:pt>
                <c:pt idx="917">
                  <c:v>59.449013096583386</c:v>
                </c:pt>
                <c:pt idx="918">
                  <c:v>59.449309016826732</c:v>
                </c:pt>
                <c:pt idx="919">
                  <c:v>59.44960493479612</c:v>
                </c:pt>
                <c:pt idx="920">
                  <c:v>59.449900850491581</c:v>
                </c:pt>
                <c:pt idx="921">
                  <c:v>59.450196763913034</c:v>
                </c:pt>
                <c:pt idx="922">
                  <c:v>59.450492675060552</c:v>
                </c:pt>
                <c:pt idx="923">
                  <c:v>59.450788583934091</c:v>
                </c:pt>
                <c:pt idx="924">
                  <c:v>59.451084490533617</c:v>
                </c:pt>
                <c:pt idx="925">
                  <c:v>59.451380394859221</c:v>
                </c:pt>
                <c:pt idx="926">
                  <c:v>59.451676296910819</c:v>
                </c:pt>
                <c:pt idx="927">
                  <c:v>59.451972196688438</c:v>
                </c:pt>
                <c:pt idx="928">
                  <c:v>59.45226809419205</c:v>
                </c:pt>
                <c:pt idx="929">
                  <c:v>59.452563989421684</c:v>
                </c:pt>
                <c:pt idx="930">
                  <c:v>59.452859882377332</c:v>
                </c:pt>
                <c:pt idx="931">
                  <c:v>59.45315577305896</c:v>
                </c:pt>
                <c:pt idx="932">
                  <c:v>59.453451661466609</c:v>
                </c:pt>
                <c:pt idx="933">
                  <c:v>59.45374754760023</c:v>
                </c:pt>
                <c:pt idx="934">
                  <c:v>59.454043431459858</c:v>
                </c:pt>
                <c:pt idx="935">
                  <c:v>59.45433931304548</c:v>
                </c:pt>
                <c:pt idx="936">
                  <c:v>59.45463519235706</c:v>
                </c:pt>
                <c:pt idx="937">
                  <c:v>59.45493106939464</c:v>
                </c:pt>
                <c:pt idx="938">
                  <c:v>59.455226944158213</c:v>
                </c:pt>
                <c:pt idx="939">
                  <c:v>59.455522816647729</c:v>
                </c:pt>
                <c:pt idx="940">
                  <c:v>59.455818686863225</c:v>
                </c:pt>
                <c:pt idx="941">
                  <c:v>59.456114554804685</c:v>
                </c:pt>
                <c:pt idx="942">
                  <c:v>59.456410420472132</c:v>
                </c:pt>
                <c:pt idx="943">
                  <c:v>59.456706283865508</c:v>
                </c:pt>
                <c:pt idx="944">
                  <c:v>59.45700214498487</c:v>
                </c:pt>
                <c:pt idx="945">
                  <c:v>59.457298003830182</c:v>
                </c:pt>
                <c:pt idx="946">
                  <c:v>59.457593860401452</c:v>
                </c:pt>
                <c:pt idx="947">
                  <c:v>59.457889714698624</c:v>
                </c:pt>
                <c:pt idx="948">
                  <c:v>59.458185566721802</c:v>
                </c:pt>
                <c:pt idx="949">
                  <c:v>59.458481416470903</c:v>
                </c:pt>
                <c:pt idx="950">
                  <c:v>59.458777263945933</c:v>
                </c:pt>
                <c:pt idx="951">
                  <c:v>59.459073109146878</c:v>
                </c:pt>
                <c:pt idx="952">
                  <c:v>59.459368952073781</c:v>
                </c:pt>
                <c:pt idx="953">
                  <c:v>59.459664792726613</c:v>
                </c:pt>
                <c:pt idx="954">
                  <c:v>59.459960631105353</c:v>
                </c:pt>
                <c:pt idx="955">
                  <c:v>59.460256467210051</c:v>
                </c:pt>
                <c:pt idx="956">
                  <c:v>59.460552301040615</c:v>
                </c:pt>
                <c:pt idx="957">
                  <c:v>59.460848132597121</c:v>
                </c:pt>
                <c:pt idx="958">
                  <c:v>59.461143961879522</c:v>
                </c:pt>
                <c:pt idx="959">
                  <c:v>59.461439788887844</c:v>
                </c:pt>
                <c:pt idx="960">
                  <c:v>59.461735613622082</c:v>
                </c:pt>
                <c:pt idx="961">
                  <c:v>59.462031436082185</c:v>
                </c:pt>
                <c:pt idx="962">
                  <c:v>59.462327256268217</c:v>
                </c:pt>
                <c:pt idx="963">
                  <c:v>59.462623074180129</c:v>
                </c:pt>
                <c:pt idx="964">
                  <c:v>59.462918889817949</c:v>
                </c:pt>
                <c:pt idx="965">
                  <c:v>59.463214703181634</c:v>
                </c:pt>
                <c:pt idx="966">
                  <c:v>59.463510514271221</c:v>
                </c:pt>
                <c:pt idx="967">
                  <c:v>59.463806323086679</c:v>
                </c:pt>
                <c:pt idx="968">
                  <c:v>59.464102129628039</c:v>
                </c:pt>
                <c:pt idx="969">
                  <c:v>59.464397933895242</c:v>
                </c:pt>
                <c:pt idx="970">
                  <c:v>59.464693735888339</c:v>
                </c:pt>
                <c:pt idx="971">
                  <c:v>59.464989535607288</c:v>
                </c:pt>
                <c:pt idx="972">
                  <c:v>59.465285333052115</c:v>
                </c:pt>
                <c:pt idx="973">
                  <c:v>59.46558112822278</c:v>
                </c:pt>
                <c:pt idx="974">
                  <c:v>59.46587692111931</c:v>
                </c:pt>
                <c:pt idx="975">
                  <c:v>59.466172711741706</c:v>
                </c:pt>
                <c:pt idx="976">
                  <c:v>59.466468500089945</c:v>
                </c:pt>
                <c:pt idx="977">
                  <c:v>59.466764286164029</c:v>
                </c:pt>
                <c:pt idx="978">
                  <c:v>59.467060069963956</c:v>
                </c:pt>
                <c:pt idx="979">
                  <c:v>59.467355851489735</c:v>
                </c:pt>
                <c:pt idx="980">
                  <c:v>59.467651630741351</c:v>
                </c:pt>
                <c:pt idx="981">
                  <c:v>59.467947407718796</c:v>
                </c:pt>
                <c:pt idx="982">
                  <c:v>59.468243182422064</c:v>
                </c:pt>
                <c:pt idx="983">
                  <c:v>59.468538954851176</c:v>
                </c:pt>
                <c:pt idx="984">
                  <c:v>59.468834725006111</c:v>
                </c:pt>
                <c:pt idx="985">
                  <c:v>59.469130492886862</c:v>
                </c:pt>
                <c:pt idx="986">
                  <c:v>59.469426258493421</c:v>
                </c:pt>
                <c:pt idx="987">
                  <c:v>59.46972202182581</c:v>
                </c:pt>
                <c:pt idx="988">
                  <c:v>59.470017782884007</c:v>
                </c:pt>
                <c:pt idx="989">
                  <c:v>59.470313541667998</c:v>
                </c:pt>
                <c:pt idx="990">
                  <c:v>59.470609298177806</c:v>
                </c:pt>
                <c:pt idx="991">
                  <c:v>59.470905052413407</c:v>
                </c:pt>
                <c:pt idx="992">
                  <c:v>59.471200804374831</c:v>
                </c:pt>
                <c:pt idx="993">
                  <c:v>59.471496554062014</c:v>
                </c:pt>
                <c:pt idx="994">
                  <c:v>59.471792301474999</c:v>
                </c:pt>
                <c:pt idx="995">
                  <c:v>59.47208804661377</c:v>
                </c:pt>
                <c:pt idx="996">
                  <c:v>59.472383789478336</c:v>
                </c:pt>
                <c:pt idx="997">
                  <c:v>59.472679530068696</c:v>
                </c:pt>
                <c:pt idx="998">
                  <c:v>59.472975268384822</c:v>
                </c:pt>
                <c:pt idx="999">
                  <c:v>59.473271004426707</c:v>
                </c:pt>
                <c:pt idx="1000">
                  <c:v>59.473566738194371</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35.800100000000199</c:v>
                </c:pt>
                <c:pt idx="720">
                  <c:v>35.800200000000203</c:v>
                </c:pt>
                <c:pt idx="721">
                  <c:v>35.800300000000206</c:v>
                </c:pt>
                <c:pt idx="722">
                  <c:v>35.800400000000209</c:v>
                </c:pt>
                <c:pt idx="723">
                  <c:v>35.800500000000213</c:v>
                </c:pt>
                <c:pt idx="724">
                  <c:v>35.800600000000216</c:v>
                </c:pt>
                <c:pt idx="725">
                  <c:v>35.800700000000219</c:v>
                </c:pt>
                <c:pt idx="726">
                  <c:v>35.800800000000223</c:v>
                </c:pt>
                <c:pt idx="727">
                  <c:v>35.800900000000226</c:v>
                </c:pt>
                <c:pt idx="728">
                  <c:v>35.801000000000229</c:v>
                </c:pt>
                <c:pt idx="729">
                  <c:v>35.801100000000233</c:v>
                </c:pt>
                <c:pt idx="730">
                  <c:v>35.801200000000236</c:v>
                </c:pt>
                <c:pt idx="731">
                  <c:v>35.801300000000239</c:v>
                </c:pt>
                <c:pt idx="732">
                  <c:v>35.801400000000243</c:v>
                </c:pt>
                <c:pt idx="733">
                  <c:v>35.801500000000246</c:v>
                </c:pt>
                <c:pt idx="734">
                  <c:v>35.801600000000249</c:v>
                </c:pt>
                <c:pt idx="735">
                  <c:v>35.801700000000253</c:v>
                </c:pt>
                <c:pt idx="736">
                  <c:v>35.801800000000256</c:v>
                </c:pt>
                <c:pt idx="737">
                  <c:v>35.801900000000259</c:v>
                </c:pt>
                <c:pt idx="738">
                  <c:v>35.802000000000263</c:v>
                </c:pt>
                <c:pt idx="739">
                  <c:v>35.802100000000266</c:v>
                </c:pt>
                <c:pt idx="740">
                  <c:v>35.802200000000269</c:v>
                </c:pt>
                <c:pt idx="741">
                  <c:v>35.802300000000272</c:v>
                </c:pt>
                <c:pt idx="742">
                  <c:v>35.802400000000276</c:v>
                </c:pt>
                <c:pt idx="743">
                  <c:v>35.802500000000279</c:v>
                </c:pt>
                <c:pt idx="744">
                  <c:v>35.802600000000282</c:v>
                </c:pt>
                <c:pt idx="745">
                  <c:v>35.802700000000286</c:v>
                </c:pt>
                <c:pt idx="746">
                  <c:v>35.802800000000289</c:v>
                </c:pt>
                <c:pt idx="747">
                  <c:v>35.802900000000292</c:v>
                </c:pt>
                <c:pt idx="748">
                  <c:v>35.803000000000296</c:v>
                </c:pt>
                <c:pt idx="749">
                  <c:v>35.803100000000299</c:v>
                </c:pt>
                <c:pt idx="750">
                  <c:v>35.803200000000302</c:v>
                </c:pt>
                <c:pt idx="751">
                  <c:v>35.803300000000306</c:v>
                </c:pt>
                <c:pt idx="752">
                  <c:v>35.803400000000309</c:v>
                </c:pt>
                <c:pt idx="753">
                  <c:v>35.803500000000312</c:v>
                </c:pt>
                <c:pt idx="754">
                  <c:v>35.803600000000316</c:v>
                </c:pt>
                <c:pt idx="755">
                  <c:v>35.803700000000319</c:v>
                </c:pt>
                <c:pt idx="756">
                  <c:v>35.803800000000322</c:v>
                </c:pt>
                <c:pt idx="757">
                  <c:v>35.803900000000326</c:v>
                </c:pt>
                <c:pt idx="758">
                  <c:v>35.804000000000329</c:v>
                </c:pt>
                <c:pt idx="759">
                  <c:v>35.804100000000332</c:v>
                </c:pt>
                <c:pt idx="760">
                  <c:v>35.804200000000336</c:v>
                </c:pt>
                <c:pt idx="761">
                  <c:v>35.804300000000339</c:v>
                </c:pt>
                <c:pt idx="762">
                  <c:v>35.804400000000342</c:v>
                </c:pt>
                <c:pt idx="763">
                  <c:v>35.804500000000345</c:v>
                </c:pt>
                <c:pt idx="764">
                  <c:v>35.804600000000349</c:v>
                </c:pt>
                <c:pt idx="765">
                  <c:v>35.804700000000352</c:v>
                </c:pt>
                <c:pt idx="766">
                  <c:v>35.804800000000355</c:v>
                </c:pt>
                <c:pt idx="767">
                  <c:v>35.804900000000359</c:v>
                </c:pt>
                <c:pt idx="768">
                  <c:v>35.805000000000362</c:v>
                </c:pt>
                <c:pt idx="769">
                  <c:v>35.805100000000365</c:v>
                </c:pt>
                <c:pt idx="770">
                  <c:v>35.805200000000369</c:v>
                </c:pt>
                <c:pt idx="771">
                  <c:v>35.805300000000372</c:v>
                </c:pt>
                <c:pt idx="772">
                  <c:v>35.805400000000375</c:v>
                </c:pt>
                <c:pt idx="773">
                  <c:v>35.805500000000379</c:v>
                </c:pt>
                <c:pt idx="774">
                  <c:v>35.805600000000382</c:v>
                </c:pt>
                <c:pt idx="775">
                  <c:v>35.805700000000385</c:v>
                </c:pt>
                <c:pt idx="776">
                  <c:v>35.805800000000389</c:v>
                </c:pt>
                <c:pt idx="777">
                  <c:v>35.805900000000392</c:v>
                </c:pt>
                <c:pt idx="778">
                  <c:v>35.806000000000395</c:v>
                </c:pt>
                <c:pt idx="779">
                  <c:v>35.806100000000399</c:v>
                </c:pt>
                <c:pt idx="780">
                  <c:v>35.806200000000402</c:v>
                </c:pt>
                <c:pt idx="781">
                  <c:v>35.806300000000405</c:v>
                </c:pt>
                <c:pt idx="782">
                  <c:v>35.806400000000409</c:v>
                </c:pt>
                <c:pt idx="783">
                  <c:v>35.806500000000412</c:v>
                </c:pt>
                <c:pt idx="784">
                  <c:v>35.806600000000415</c:v>
                </c:pt>
                <c:pt idx="785">
                  <c:v>35.806700000000419</c:v>
                </c:pt>
                <c:pt idx="786">
                  <c:v>35.806800000000422</c:v>
                </c:pt>
                <c:pt idx="787">
                  <c:v>35.806900000000425</c:v>
                </c:pt>
                <c:pt idx="788">
                  <c:v>35.807000000000428</c:v>
                </c:pt>
                <c:pt idx="789">
                  <c:v>35.807100000000432</c:v>
                </c:pt>
                <c:pt idx="790">
                  <c:v>35.807200000000435</c:v>
                </c:pt>
                <c:pt idx="791">
                  <c:v>35.807300000000438</c:v>
                </c:pt>
                <c:pt idx="792">
                  <c:v>35.807400000000442</c:v>
                </c:pt>
                <c:pt idx="793">
                  <c:v>35.807500000000445</c:v>
                </c:pt>
                <c:pt idx="794">
                  <c:v>35.807600000000448</c:v>
                </c:pt>
                <c:pt idx="795">
                  <c:v>35.807700000000452</c:v>
                </c:pt>
                <c:pt idx="796">
                  <c:v>35.807800000000455</c:v>
                </c:pt>
                <c:pt idx="797">
                  <c:v>35.807900000000458</c:v>
                </c:pt>
                <c:pt idx="798">
                  <c:v>35.808000000000462</c:v>
                </c:pt>
                <c:pt idx="799">
                  <c:v>35.808100000000465</c:v>
                </c:pt>
                <c:pt idx="800">
                  <c:v>35.808200000000468</c:v>
                </c:pt>
                <c:pt idx="801">
                  <c:v>35.808300000000472</c:v>
                </c:pt>
                <c:pt idx="802">
                  <c:v>35.808400000000475</c:v>
                </c:pt>
                <c:pt idx="803">
                  <c:v>35.808500000000478</c:v>
                </c:pt>
                <c:pt idx="804">
                  <c:v>35.808600000000482</c:v>
                </c:pt>
                <c:pt idx="805">
                  <c:v>35.808700000000485</c:v>
                </c:pt>
                <c:pt idx="806">
                  <c:v>35.808800000000488</c:v>
                </c:pt>
                <c:pt idx="807">
                  <c:v>35.808900000000492</c:v>
                </c:pt>
                <c:pt idx="808">
                  <c:v>35.809000000000495</c:v>
                </c:pt>
                <c:pt idx="809">
                  <c:v>35.809100000000498</c:v>
                </c:pt>
                <c:pt idx="810">
                  <c:v>35.809200000000502</c:v>
                </c:pt>
                <c:pt idx="811">
                  <c:v>35.809300000000505</c:v>
                </c:pt>
                <c:pt idx="812">
                  <c:v>35.809400000000508</c:v>
                </c:pt>
                <c:pt idx="813">
                  <c:v>35.809500000000511</c:v>
                </c:pt>
                <c:pt idx="814">
                  <c:v>35.809600000000515</c:v>
                </c:pt>
                <c:pt idx="815">
                  <c:v>35.809700000000518</c:v>
                </c:pt>
                <c:pt idx="816">
                  <c:v>35.809800000000521</c:v>
                </c:pt>
                <c:pt idx="817">
                  <c:v>35.809900000000525</c:v>
                </c:pt>
                <c:pt idx="818">
                  <c:v>35.810000000000528</c:v>
                </c:pt>
                <c:pt idx="819">
                  <c:v>35.810100000000531</c:v>
                </c:pt>
                <c:pt idx="820">
                  <c:v>35.810200000000535</c:v>
                </c:pt>
                <c:pt idx="821">
                  <c:v>35.810300000000538</c:v>
                </c:pt>
                <c:pt idx="822">
                  <c:v>35.810400000000541</c:v>
                </c:pt>
                <c:pt idx="823">
                  <c:v>35.810500000000545</c:v>
                </c:pt>
                <c:pt idx="824">
                  <c:v>35.810600000000548</c:v>
                </c:pt>
                <c:pt idx="825">
                  <c:v>35.810700000000551</c:v>
                </c:pt>
                <c:pt idx="826">
                  <c:v>35.810800000000555</c:v>
                </c:pt>
                <c:pt idx="827">
                  <c:v>35.810900000000558</c:v>
                </c:pt>
                <c:pt idx="828">
                  <c:v>35.811000000000561</c:v>
                </c:pt>
                <c:pt idx="829">
                  <c:v>35.811100000000565</c:v>
                </c:pt>
                <c:pt idx="830">
                  <c:v>35.811200000000568</c:v>
                </c:pt>
                <c:pt idx="831">
                  <c:v>35.811300000000571</c:v>
                </c:pt>
                <c:pt idx="832">
                  <c:v>35.811400000000575</c:v>
                </c:pt>
                <c:pt idx="833">
                  <c:v>35.811500000000578</c:v>
                </c:pt>
                <c:pt idx="834">
                  <c:v>35.811600000000581</c:v>
                </c:pt>
                <c:pt idx="835">
                  <c:v>35.811700000000585</c:v>
                </c:pt>
                <c:pt idx="836">
                  <c:v>35.811800000000588</c:v>
                </c:pt>
                <c:pt idx="837">
                  <c:v>35.811900000000591</c:v>
                </c:pt>
                <c:pt idx="838">
                  <c:v>35.812000000000594</c:v>
                </c:pt>
                <c:pt idx="839">
                  <c:v>35.812100000000598</c:v>
                </c:pt>
                <c:pt idx="840">
                  <c:v>35.812200000000601</c:v>
                </c:pt>
                <c:pt idx="841">
                  <c:v>35.812300000000604</c:v>
                </c:pt>
                <c:pt idx="842">
                  <c:v>35.812400000000608</c:v>
                </c:pt>
                <c:pt idx="843">
                  <c:v>35.812500000000611</c:v>
                </c:pt>
                <c:pt idx="844">
                  <c:v>35.812600000000614</c:v>
                </c:pt>
                <c:pt idx="845">
                  <c:v>35.812700000000618</c:v>
                </c:pt>
                <c:pt idx="846">
                  <c:v>35.812800000000621</c:v>
                </c:pt>
                <c:pt idx="847">
                  <c:v>35.812900000000624</c:v>
                </c:pt>
                <c:pt idx="848">
                  <c:v>35.813000000000628</c:v>
                </c:pt>
                <c:pt idx="849">
                  <c:v>35.813100000000631</c:v>
                </c:pt>
                <c:pt idx="850">
                  <c:v>35.813200000000634</c:v>
                </c:pt>
                <c:pt idx="851">
                  <c:v>35.813300000000638</c:v>
                </c:pt>
                <c:pt idx="852">
                  <c:v>35.813400000000641</c:v>
                </c:pt>
                <c:pt idx="853">
                  <c:v>35.813500000000644</c:v>
                </c:pt>
                <c:pt idx="854">
                  <c:v>35.813600000000648</c:v>
                </c:pt>
                <c:pt idx="855">
                  <c:v>35.813700000000651</c:v>
                </c:pt>
                <c:pt idx="856">
                  <c:v>35.813800000000654</c:v>
                </c:pt>
                <c:pt idx="857">
                  <c:v>35.813900000000658</c:v>
                </c:pt>
                <c:pt idx="858">
                  <c:v>35.814000000000661</c:v>
                </c:pt>
                <c:pt idx="859">
                  <c:v>35.814100000000664</c:v>
                </c:pt>
                <c:pt idx="860">
                  <c:v>35.814200000000668</c:v>
                </c:pt>
                <c:pt idx="861">
                  <c:v>35.814300000000671</c:v>
                </c:pt>
                <c:pt idx="862">
                  <c:v>35.814400000000674</c:v>
                </c:pt>
                <c:pt idx="863">
                  <c:v>35.814500000000677</c:v>
                </c:pt>
                <c:pt idx="864">
                  <c:v>35.814600000000681</c:v>
                </c:pt>
                <c:pt idx="865">
                  <c:v>35.814700000000684</c:v>
                </c:pt>
                <c:pt idx="866">
                  <c:v>35.814800000000687</c:v>
                </c:pt>
                <c:pt idx="867">
                  <c:v>35.814900000000691</c:v>
                </c:pt>
                <c:pt idx="868">
                  <c:v>35.815000000000694</c:v>
                </c:pt>
                <c:pt idx="869">
                  <c:v>35.815100000000697</c:v>
                </c:pt>
                <c:pt idx="870">
                  <c:v>35.815200000000701</c:v>
                </c:pt>
                <c:pt idx="871">
                  <c:v>35.815300000000704</c:v>
                </c:pt>
                <c:pt idx="872">
                  <c:v>35.815400000000707</c:v>
                </c:pt>
                <c:pt idx="873">
                  <c:v>35.815500000000711</c:v>
                </c:pt>
                <c:pt idx="874">
                  <c:v>35.815600000000714</c:v>
                </c:pt>
                <c:pt idx="875">
                  <c:v>35.815700000000717</c:v>
                </c:pt>
                <c:pt idx="876">
                  <c:v>35.815800000000721</c:v>
                </c:pt>
                <c:pt idx="877">
                  <c:v>35.815900000000724</c:v>
                </c:pt>
                <c:pt idx="878">
                  <c:v>35.816000000000727</c:v>
                </c:pt>
                <c:pt idx="879">
                  <c:v>35.816100000000731</c:v>
                </c:pt>
                <c:pt idx="880">
                  <c:v>35.816200000000734</c:v>
                </c:pt>
                <c:pt idx="881">
                  <c:v>35.816300000000737</c:v>
                </c:pt>
                <c:pt idx="882">
                  <c:v>35.816400000000741</c:v>
                </c:pt>
                <c:pt idx="883">
                  <c:v>35.816500000000744</c:v>
                </c:pt>
                <c:pt idx="884">
                  <c:v>35.816600000000747</c:v>
                </c:pt>
                <c:pt idx="885">
                  <c:v>35.81670000000075</c:v>
                </c:pt>
                <c:pt idx="886">
                  <c:v>35.816800000000754</c:v>
                </c:pt>
                <c:pt idx="887">
                  <c:v>35.816900000000757</c:v>
                </c:pt>
                <c:pt idx="888">
                  <c:v>35.81700000000076</c:v>
                </c:pt>
                <c:pt idx="889">
                  <c:v>35.817100000000764</c:v>
                </c:pt>
                <c:pt idx="890">
                  <c:v>35.817200000000767</c:v>
                </c:pt>
                <c:pt idx="891">
                  <c:v>35.81730000000077</c:v>
                </c:pt>
                <c:pt idx="892">
                  <c:v>35.817400000000774</c:v>
                </c:pt>
                <c:pt idx="893">
                  <c:v>35.817500000000777</c:v>
                </c:pt>
                <c:pt idx="894">
                  <c:v>35.81760000000078</c:v>
                </c:pt>
                <c:pt idx="895">
                  <c:v>35.817700000000784</c:v>
                </c:pt>
                <c:pt idx="896">
                  <c:v>35.817800000000787</c:v>
                </c:pt>
                <c:pt idx="897">
                  <c:v>35.81790000000079</c:v>
                </c:pt>
                <c:pt idx="898">
                  <c:v>35.818000000000794</c:v>
                </c:pt>
                <c:pt idx="899">
                  <c:v>35.818100000000797</c:v>
                </c:pt>
                <c:pt idx="900">
                  <c:v>35.8182000000008</c:v>
                </c:pt>
                <c:pt idx="901">
                  <c:v>35.818300000000804</c:v>
                </c:pt>
                <c:pt idx="902">
                  <c:v>35.818400000000807</c:v>
                </c:pt>
                <c:pt idx="903">
                  <c:v>35.81850000000081</c:v>
                </c:pt>
                <c:pt idx="904">
                  <c:v>35.818600000000814</c:v>
                </c:pt>
                <c:pt idx="905">
                  <c:v>35.818700000000817</c:v>
                </c:pt>
                <c:pt idx="906">
                  <c:v>35.81880000000082</c:v>
                </c:pt>
                <c:pt idx="907">
                  <c:v>35.818900000000824</c:v>
                </c:pt>
                <c:pt idx="908">
                  <c:v>35.819000000000827</c:v>
                </c:pt>
                <c:pt idx="909">
                  <c:v>35.81910000000083</c:v>
                </c:pt>
                <c:pt idx="910">
                  <c:v>35.819200000000833</c:v>
                </c:pt>
                <c:pt idx="911">
                  <c:v>35.819300000000837</c:v>
                </c:pt>
                <c:pt idx="912">
                  <c:v>35.81940000000084</c:v>
                </c:pt>
                <c:pt idx="913">
                  <c:v>35.819500000000843</c:v>
                </c:pt>
                <c:pt idx="914">
                  <c:v>35.819600000000847</c:v>
                </c:pt>
                <c:pt idx="915">
                  <c:v>35.81970000000085</c:v>
                </c:pt>
                <c:pt idx="916">
                  <c:v>35.819800000000853</c:v>
                </c:pt>
                <c:pt idx="917">
                  <c:v>35.819900000000857</c:v>
                </c:pt>
                <c:pt idx="918">
                  <c:v>35.82000000000086</c:v>
                </c:pt>
                <c:pt idx="919">
                  <c:v>35.820100000000863</c:v>
                </c:pt>
                <c:pt idx="920">
                  <c:v>35.820200000000867</c:v>
                </c:pt>
                <c:pt idx="921">
                  <c:v>35.82030000000087</c:v>
                </c:pt>
                <c:pt idx="922">
                  <c:v>35.820400000000873</c:v>
                </c:pt>
                <c:pt idx="923">
                  <c:v>35.820500000000877</c:v>
                </c:pt>
                <c:pt idx="924">
                  <c:v>35.82060000000088</c:v>
                </c:pt>
                <c:pt idx="925">
                  <c:v>35.820700000000883</c:v>
                </c:pt>
                <c:pt idx="926">
                  <c:v>35.820800000000887</c:v>
                </c:pt>
                <c:pt idx="927">
                  <c:v>35.82090000000089</c:v>
                </c:pt>
                <c:pt idx="928">
                  <c:v>35.821000000000893</c:v>
                </c:pt>
                <c:pt idx="929">
                  <c:v>35.821100000000897</c:v>
                </c:pt>
                <c:pt idx="930">
                  <c:v>35.8212000000009</c:v>
                </c:pt>
                <c:pt idx="931">
                  <c:v>35.821300000000903</c:v>
                </c:pt>
                <c:pt idx="932">
                  <c:v>35.821400000000907</c:v>
                </c:pt>
                <c:pt idx="933">
                  <c:v>35.82150000000091</c:v>
                </c:pt>
                <c:pt idx="934">
                  <c:v>35.821600000000913</c:v>
                </c:pt>
                <c:pt idx="935">
                  <c:v>35.821700000000916</c:v>
                </c:pt>
                <c:pt idx="936">
                  <c:v>35.82180000000092</c:v>
                </c:pt>
                <c:pt idx="937">
                  <c:v>35.821900000000923</c:v>
                </c:pt>
                <c:pt idx="938">
                  <c:v>35.822000000000926</c:v>
                </c:pt>
                <c:pt idx="939">
                  <c:v>35.82210000000093</c:v>
                </c:pt>
                <c:pt idx="940">
                  <c:v>35.822200000000933</c:v>
                </c:pt>
                <c:pt idx="941">
                  <c:v>35.822300000000936</c:v>
                </c:pt>
                <c:pt idx="942">
                  <c:v>35.82240000000094</c:v>
                </c:pt>
                <c:pt idx="943">
                  <c:v>35.822500000000943</c:v>
                </c:pt>
                <c:pt idx="944">
                  <c:v>35.822600000000946</c:v>
                </c:pt>
                <c:pt idx="945">
                  <c:v>35.82270000000095</c:v>
                </c:pt>
                <c:pt idx="946">
                  <c:v>35.822800000000953</c:v>
                </c:pt>
                <c:pt idx="947">
                  <c:v>35.822900000000956</c:v>
                </c:pt>
                <c:pt idx="948">
                  <c:v>35.82300000000096</c:v>
                </c:pt>
                <c:pt idx="949">
                  <c:v>35.823100000000963</c:v>
                </c:pt>
                <c:pt idx="950">
                  <c:v>35.823200000000966</c:v>
                </c:pt>
                <c:pt idx="951">
                  <c:v>35.82330000000097</c:v>
                </c:pt>
                <c:pt idx="952">
                  <c:v>35.823400000000973</c:v>
                </c:pt>
                <c:pt idx="953">
                  <c:v>35.823500000000976</c:v>
                </c:pt>
                <c:pt idx="954">
                  <c:v>35.82360000000098</c:v>
                </c:pt>
                <c:pt idx="955">
                  <c:v>35.823700000000983</c:v>
                </c:pt>
                <c:pt idx="956">
                  <c:v>35.823800000000986</c:v>
                </c:pt>
                <c:pt idx="957">
                  <c:v>35.82390000000099</c:v>
                </c:pt>
                <c:pt idx="958">
                  <c:v>35.824000000000993</c:v>
                </c:pt>
                <c:pt idx="959">
                  <c:v>35.824100000000996</c:v>
                </c:pt>
                <c:pt idx="960">
                  <c:v>35.824200000000999</c:v>
                </c:pt>
                <c:pt idx="961">
                  <c:v>35.824300000001003</c:v>
                </c:pt>
                <c:pt idx="962">
                  <c:v>35.824400000001006</c:v>
                </c:pt>
                <c:pt idx="963">
                  <c:v>35.824500000001009</c:v>
                </c:pt>
                <c:pt idx="964">
                  <c:v>35.824600000001013</c:v>
                </c:pt>
                <c:pt idx="965">
                  <c:v>35.824700000001016</c:v>
                </c:pt>
                <c:pt idx="966">
                  <c:v>35.824800000001019</c:v>
                </c:pt>
                <c:pt idx="967">
                  <c:v>35.824900000001023</c:v>
                </c:pt>
                <c:pt idx="968">
                  <c:v>35.825000000001026</c:v>
                </c:pt>
                <c:pt idx="969">
                  <c:v>35.825100000001029</c:v>
                </c:pt>
                <c:pt idx="970">
                  <c:v>35.825200000001033</c:v>
                </c:pt>
                <c:pt idx="971">
                  <c:v>35.825300000001036</c:v>
                </c:pt>
                <c:pt idx="972">
                  <c:v>35.825400000001039</c:v>
                </c:pt>
                <c:pt idx="973">
                  <c:v>35.825500000001043</c:v>
                </c:pt>
                <c:pt idx="974">
                  <c:v>35.825600000001046</c:v>
                </c:pt>
                <c:pt idx="975">
                  <c:v>35.825700000001049</c:v>
                </c:pt>
                <c:pt idx="976">
                  <c:v>35.825800000001053</c:v>
                </c:pt>
                <c:pt idx="977">
                  <c:v>35.825900000001056</c:v>
                </c:pt>
                <c:pt idx="978">
                  <c:v>35.826000000001059</c:v>
                </c:pt>
                <c:pt idx="979">
                  <c:v>35.826100000001063</c:v>
                </c:pt>
                <c:pt idx="980">
                  <c:v>35.826200000001066</c:v>
                </c:pt>
                <c:pt idx="981">
                  <c:v>35.826300000001069</c:v>
                </c:pt>
                <c:pt idx="982">
                  <c:v>35.826400000001072</c:v>
                </c:pt>
                <c:pt idx="983">
                  <c:v>35.826500000001076</c:v>
                </c:pt>
                <c:pt idx="984">
                  <c:v>35.826600000001079</c:v>
                </c:pt>
                <c:pt idx="985">
                  <c:v>35.826700000001082</c:v>
                </c:pt>
                <c:pt idx="986">
                  <c:v>35.826800000001086</c:v>
                </c:pt>
                <c:pt idx="987">
                  <c:v>35.826900000001089</c:v>
                </c:pt>
                <c:pt idx="988">
                  <c:v>35.827000000001092</c:v>
                </c:pt>
                <c:pt idx="989">
                  <c:v>35.827100000001096</c:v>
                </c:pt>
                <c:pt idx="990">
                  <c:v>35.827200000001099</c:v>
                </c:pt>
                <c:pt idx="991">
                  <c:v>35.827300000001102</c:v>
                </c:pt>
                <c:pt idx="992">
                  <c:v>35.827400000001106</c:v>
                </c:pt>
                <c:pt idx="993">
                  <c:v>35.827500000001109</c:v>
                </c:pt>
                <c:pt idx="994">
                  <c:v>35.827600000001112</c:v>
                </c:pt>
                <c:pt idx="995">
                  <c:v>35.827700000001116</c:v>
                </c:pt>
                <c:pt idx="996">
                  <c:v>35.827800000001119</c:v>
                </c:pt>
                <c:pt idx="997">
                  <c:v>35.827900000001122</c:v>
                </c:pt>
                <c:pt idx="998">
                  <c:v>35.828000000001126</c:v>
                </c:pt>
                <c:pt idx="999">
                  <c:v>35.828100000001129</c:v>
                </c:pt>
                <c:pt idx="1000">
                  <c:v>35.828200000001132</c:v>
                </c:pt>
              </c:numCache>
            </c:numRef>
          </c:xVal>
          <c:yVal>
            <c:numRef>
              <c:f>Calculs!$I$4:$I$1004</c:f>
              <c:numCache>
                <c:formatCode>0.00</c:formatCode>
                <c:ptCount val="1001"/>
                <c:pt idx="0">
                  <c:v>0</c:v>
                </c:pt>
                <c:pt idx="1">
                  <c:v>1.3683301369284116E-3</c:v>
                </c:pt>
                <c:pt idx="2">
                  <c:v>0.20097107968027977</c:v>
                </c:pt>
                <c:pt idx="3">
                  <c:v>0.5989165647303254</c:v>
                </c:pt>
                <c:pt idx="4">
                  <c:v>1.1953714218603293</c:v>
                </c:pt>
                <c:pt idx="5">
                  <c:v>1.9905597945983431</c:v>
                </c:pt>
                <c:pt idx="6">
                  <c:v>2.8842714034695822</c:v>
                </c:pt>
                <c:pt idx="7">
                  <c:v>3.7761094574400249</c:v>
                </c:pt>
                <c:pt idx="8">
                  <c:v>4.6660643374926494</c:v>
                </c:pt>
                <c:pt idx="9">
                  <c:v>5.5541264592349302</c:v>
                </c:pt>
                <c:pt idx="10">
                  <c:v>6.4402862732648574</c:v>
                </c:pt>
                <c:pt idx="11">
                  <c:v>7.3245342655341314</c:v>
                </c:pt>
                <c:pt idx="12">
                  <c:v>8.2068609577085105</c:v>
                </c:pt>
                <c:pt idx="13">
                  <c:v>9.0872569075252603</c:v>
                </c:pt>
                <c:pt idx="14">
                  <c:v>9.9657127091476916</c:v>
                </c:pt>
                <c:pt idx="15">
                  <c:v>10.842218993516736</c:v>
                </c:pt>
                <c:pt idx="16">
                  <c:v>11.716766428699543</c:v>
                </c:pt>
                <c:pt idx="17">
                  <c:v>12.58934572023507</c:v>
                </c:pt>
                <c:pt idx="18">
                  <c:v>13.459947611476599</c:v>
                </c:pt>
                <c:pt idx="19">
                  <c:v>14.328562883931241</c:v>
                </c:pt>
                <c:pt idx="20">
                  <c:v>15.195182357596273</c:v>
                </c:pt>
                <c:pt idx="21">
                  <c:v>16.059796891292383</c:v>
                </c:pt>
                <c:pt idx="22">
                  <c:v>16.922397382993751</c:v>
                </c:pt>
                <c:pt idx="23">
                  <c:v>17.78297477015494</c:v>
                </c:pt>
                <c:pt idx="24">
                  <c:v>18.641520030034581</c:v>
                </c:pt>
                <c:pt idx="25">
                  <c:v>19.498024180015804</c:v>
                </c:pt>
                <c:pt idx="26">
                  <c:v>20.352478277923446</c:v>
                </c:pt>
                <c:pt idx="27">
                  <c:v>21.204873422337894</c:v>
                </c:pt>
                <c:pt idx="28">
                  <c:v>22.055200752905694</c:v>
                </c:pt>
                <c:pt idx="29">
                  <c:v>22.903451450646763</c:v>
                </c:pt>
                <c:pt idx="30">
                  <c:v>23.749616738258283</c:v>
                </c:pt>
                <c:pt idx="31">
                  <c:v>24.593687880415136</c:v>
                </c:pt>
                <c:pt idx="32">
                  <c:v>25.435656184067014</c:v>
                </c:pt>
                <c:pt idx="33">
                  <c:v>26.275512998732037</c:v>
                </c:pt>
                <c:pt idx="34">
                  <c:v>27.113251024901491</c:v>
                </c:pt>
                <c:pt idx="35">
                  <c:v>27.948863059584525</c:v>
                </c:pt>
                <c:pt idx="36">
                  <c:v>28.782340520778789</c:v>
                </c:pt>
                <c:pt idx="37">
                  <c:v>29.613674873395027</c:v>
                </c:pt>
                <c:pt idx="38">
                  <c:v>30.44285762926355</c:v>
                </c:pt>
                <c:pt idx="39">
                  <c:v>31.269880347175171</c:v>
                </c:pt>
                <c:pt idx="40">
                  <c:v>32.094734632942618</c:v>
                </c:pt>
                <c:pt idx="41">
                  <c:v>32.917412139479303</c:v>
                </c:pt>
                <c:pt idx="42">
                  <c:v>33.737904566892745</c:v>
                </c:pt>
                <c:pt idx="43">
                  <c:v>34.556203662590605</c:v>
                </c:pt>
                <c:pt idx="44">
                  <c:v>35.37230122139718</c:v>
                </c:pt>
                <c:pt idx="45">
                  <c:v>36.186189085678912</c:v>
                </c:pt>
                <c:pt idx="46">
                  <c:v>36.997859145477328</c:v>
                </c:pt>
                <c:pt idx="47">
                  <c:v>37.807303338648268</c:v>
                </c:pt>
                <c:pt idx="48">
                  <c:v>38.614513651006249</c:v>
                </c:pt>
                <c:pt idx="49">
                  <c:v>39.419482116473098</c:v>
                </c:pt>
                <c:pt idx="50">
                  <c:v>40.222200817229918</c:v>
                </c:pt>
                <c:pt idx="51">
                  <c:v>41.023190811008348</c:v>
                </c:pt>
                <c:pt idx="52">
                  <c:v>41.822973976119734</c:v>
                </c:pt>
                <c:pt idx="53">
                  <c:v>42.621543587778866</c:v>
                </c:pt>
                <c:pt idx="54">
                  <c:v>43.418892943848981</c:v>
                </c:pt>
                <c:pt idx="55">
                  <c:v>44.215015365011993</c:v>
                </c:pt>
                <c:pt idx="56">
                  <c:v>45.009904194940866</c:v>
                </c:pt>
                <c:pt idx="57">
                  <c:v>45.803552800473639</c:v>
                </c:pt>
                <c:pt idx="58">
                  <c:v>46.595954571788923</c:v>
                </c:pt>
                <c:pt idx="59">
                  <c:v>47.38710292258255</c:v>
                </c:pt>
                <c:pt idx="60">
                  <c:v>48.17699129024512</c:v>
                </c:pt>
                <c:pt idx="61">
                  <c:v>48.965613136040353</c:v>
                </c:pt>
                <c:pt idx="62">
                  <c:v>49.75296194528385</c:v>
                </c:pt>
                <c:pt idx="63">
                  <c:v>50.539031227522244</c:v>
                </c:pt>
                <c:pt idx="64">
                  <c:v>51.323814516712538</c:v>
                </c:pt>
                <c:pt idx="65">
                  <c:v>52.107305371401431</c:v>
                </c:pt>
                <c:pt idx="66">
                  <c:v>52.889497374904572</c:v>
                </c:pt>
                <c:pt idx="67">
                  <c:v>53.670384135485563</c:v>
                </c:pt>
                <c:pt idx="68">
                  <c:v>54.449959286534543</c:v>
                </c:pt>
                <c:pt idx="69">
                  <c:v>55.228216486746426</c:v>
                </c:pt>
                <c:pt idx="70">
                  <c:v>56.005149420298508</c:v>
                </c:pt>
                <c:pt idx="71">
                  <c:v>56.780751797027399</c:v>
                </c:pt>
                <c:pt idx="72">
                  <c:v>57.555017352605304</c:v>
                </c:pt>
                <c:pt idx="73">
                  <c:v>58.327939848715374</c:v>
                </c:pt>
                <c:pt idx="74">
                  <c:v>59.099513073226291</c:v>
                </c:pt>
                <c:pt idx="75">
                  <c:v>59.869730840365776</c:v>
                </c:pt>
                <c:pt idx="76">
                  <c:v>60.63858699089316</c:v>
                </c:pt>
                <c:pt idx="77">
                  <c:v>61.406075392270864</c:v>
                </c:pt>
                <c:pt idx="78">
                  <c:v>62.17218993883467</c:v>
                </c:pt>
                <c:pt idx="79">
                  <c:v>62.93692455196291</c:v>
                </c:pt>
                <c:pt idx="80">
                  <c:v>63.700273180244338</c:v>
                </c:pt>
                <c:pt idx="81">
                  <c:v>64.462229799644732</c:v>
                </c:pt>
                <c:pt idx="82">
                  <c:v>65.222788413672205</c:v>
                </c:pt>
                <c:pt idx="83">
                  <c:v>65.98194305354113</c:v>
                </c:pt>
                <c:pt idx="84">
                  <c:v>66.739687778334527</c:v>
                </c:pt>
                <c:pt idx="85">
                  <c:v>67.49601667516535</c:v>
                </c:pt>
                <c:pt idx="86">
                  <c:v>68.250923859335913</c:v>
                </c:pt>
                <c:pt idx="87">
                  <c:v>69.004403474495987</c:v>
                </c:pt>
                <c:pt idx="88">
                  <c:v>69.756449692799407</c:v>
                </c:pt>
                <c:pt idx="89">
                  <c:v>70.507056715058937</c:v>
                </c:pt>
                <c:pt idx="90">
                  <c:v>71.256218770899764</c:v>
                </c:pt>
                <c:pt idx="91">
                  <c:v>72.003930118911143</c:v>
                </c:pt>
                <c:pt idx="92">
                  <c:v>72.750185046796588</c:v>
                </c:pt>
                <c:pt idx="93">
                  <c:v>73.494977871522195</c:v>
                </c:pt>
                <c:pt idx="94">
                  <c:v>74.238302939463509</c:v>
                </c:pt>
                <c:pt idx="95">
                  <c:v>74.980154626550444</c:v>
                </c:pt>
                <c:pt idx="96">
                  <c:v>75.720527338410591</c:v>
                </c:pt>
                <c:pt idx="97">
                  <c:v>76.459415510510794</c:v>
                </c:pt>
                <c:pt idx="98">
                  <c:v>77.19681360829685</c:v>
                </c:pt>
                <c:pt idx="99">
                  <c:v>77.93271612733156</c:v>
                </c:pt>
                <c:pt idx="100">
                  <c:v>78.667117593430802</c:v>
                </c:pt>
                <c:pt idx="101">
                  <c:v>79.399768652517309</c:v>
                </c:pt>
                <c:pt idx="102">
                  <c:v>80.130419733628599</c:v>
                </c:pt>
                <c:pt idx="103">
                  <c:v>80.859065176253097</c:v>
                </c:pt>
                <c:pt idx="104">
                  <c:v>81.585699362140176</c:v>
                </c:pt>
                <c:pt idx="105">
                  <c:v>82.31031671540407</c:v>
                </c:pt>
                <c:pt idx="106">
                  <c:v>83.032911702625142</c:v>
                </c:pt>
                <c:pt idx="107">
                  <c:v>83.753478832948346</c:v>
                </c:pt>
                <c:pt idx="108">
                  <c:v>84.472012658178869</c:v>
                </c:pt>
                <c:pt idx="109">
                  <c:v>85.188507772874928</c:v>
                </c:pt>
                <c:pt idx="110">
                  <c:v>85.902958814437923</c:v>
                </c:pt>
                <c:pt idx="111">
                  <c:v>86.615360463199494</c:v>
                </c:pt>
                <c:pt idx="112">
                  <c:v>87.325707442506157</c:v>
                </c:pt>
                <c:pt idx="113">
                  <c:v>88.033994518800682</c:v>
                </c:pt>
                <c:pt idx="114">
                  <c:v>88.740216501701013</c:v>
                </c:pt>
                <c:pt idx="115">
                  <c:v>89.444368244076173</c:v>
                </c:pt>
                <c:pt idx="116">
                  <c:v>90.146444642119462</c:v>
                </c:pt>
                <c:pt idx="117">
                  <c:v>90.846440635418659</c:v>
                </c:pt>
                <c:pt idx="118">
                  <c:v>91.544351207023595</c:v>
                </c:pt>
                <c:pt idx="119">
                  <c:v>92.240171383510813</c:v>
                </c:pt>
                <c:pt idx="120">
                  <c:v>92.933896235045339</c:v>
                </c:pt>
                <c:pt idx="121">
                  <c:v>93.625520875439832</c:v>
                </c:pt>
                <c:pt idx="122">
                  <c:v>94.315040462210646</c:v>
                </c:pt>
                <c:pt idx="123">
                  <c:v>95.002450196631301</c:v>
                </c:pt>
                <c:pt idx="124">
                  <c:v>95.687745323783076</c:v>
                </c:pt>
                <c:pt idx="125">
                  <c:v>96.370921132602703</c:v>
                </c:pt>
                <c:pt idx="126">
                  <c:v>97.051972955927326</c:v>
                </c:pt>
                <c:pt idx="127">
                  <c:v>97.730896170536738</c:v>
                </c:pt>
                <c:pt idx="128">
                  <c:v>98.407686197192646</c:v>
                </c:pt>
                <c:pt idx="129">
                  <c:v>99.082338500675277</c:v>
                </c:pt>
                <c:pt idx="130">
                  <c:v>99.754848589817144</c:v>
                </c:pt>
                <c:pt idx="131">
                  <c:v>100.42521201753399</c:v>
                </c:pt>
                <c:pt idx="132">
                  <c:v>101.09342438085315</c:v>
                </c:pt>
                <c:pt idx="133">
                  <c:v>101.7594813209388</c:v>
                </c:pt>
                <c:pt idx="134">
                  <c:v>102.42337852311482</c:v>
                </c:pt>
                <c:pt idx="135">
                  <c:v>103.08511171688454</c:v>
                </c:pt>
                <c:pt idx="136">
                  <c:v>103.74467667594811</c:v>
                </c:pt>
                <c:pt idx="137">
                  <c:v>104.40206921821685</c:v>
                </c:pt>
                <c:pt idx="138">
                  <c:v>105.05728520582494</c:v>
                </c:pt>
                <c:pt idx="139">
                  <c:v>105.71032054513844</c:v>
                </c:pt>
                <c:pt idx="140">
                  <c:v>106.36117118676158</c:v>
                </c:pt>
                <c:pt idx="141">
                  <c:v>107.00983312554031</c:v>
                </c:pt>
                <c:pt idx="142">
                  <c:v>107.65630240056316</c:v>
                </c:pt>
                <c:pt idx="143">
                  <c:v>108.3005750951595</c:v>
                </c:pt>
                <c:pt idx="144">
                  <c:v>108.94264733689496</c:v>
                </c:pt>
                <c:pt idx="145">
                  <c:v>109.58251529756438</c:v>
                </c:pt>
                <c:pt idx="146">
                  <c:v>110.22017519318194</c:v>
                </c:pt>
                <c:pt idx="147">
                  <c:v>110.85562328396878</c:v>
                </c:pt>
                <c:pt idx="148">
                  <c:v>111.48885587433784</c:v>
                </c:pt>
                <c:pt idx="149">
                  <c:v>112.1198693128763</c:v>
                </c:pt>
                <c:pt idx="150">
                  <c:v>112.74865999232517</c:v>
                </c:pt>
                <c:pt idx="151">
                  <c:v>113.37530733465279</c:v>
                </c:pt>
                <c:pt idx="152">
                  <c:v>113.99989085025369</c:v>
                </c:pt>
                <c:pt idx="153">
                  <c:v>114.6224070856362</c:v>
                </c:pt>
                <c:pt idx="154">
                  <c:v>115.24285262770812</c:v>
                </c:pt>
                <c:pt idx="155">
                  <c:v>115.86122410376041</c:v>
                </c:pt>
                <c:pt idx="156">
                  <c:v>116.47751818144889</c:v>
                </c:pt>
                <c:pt idx="157">
                  <c:v>117.09173156877344</c:v>
                </c:pt>
                <c:pt idx="158">
                  <c:v>117.70386101405499</c:v>
                </c:pt>
                <c:pt idx="159">
                  <c:v>118.31390330591032</c:v>
                </c:pt>
                <c:pt idx="160">
                  <c:v>118.92185527322445</c:v>
                </c:pt>
                <c:pt idx="161">
                  <c:v>119.52771378512101</c:v>
                </c:pt>
                <c:pt idx="162">
                  <c:v>120.13147575093022</c:v>
                </c:pt>
                <c:pt idx="163">
                  <c:v>120.73313812015472</c:v>
                </c:pt>
                <c:pt idx="164">
                  <c:v>121.33269788243314</c:v>
                </c:pt>
                <c:pt idx="165">
                  <c:v>121.93015206750165</c:v>
                </c:pt>
                <c:pt idx="166">
                  <c:v>122.52549774515313</c:v>
                </c:pt>
                <c:pt idx="167">
                  <c:v>123.11873202519426</c:v>
                </c:pt>
                <c:pt idx="168">
                  <c:v>123.70985205740054</c:v>
                </c:pt>
                <c:pt idx="169">
                  <c:v>124.29885503146906</c:v>
                </c:pt>
                <c:pt idx="170">
                  <c:v>124.88573817696917</c:v>
                </c:pt>
                <c:pt idx="171">
                  <c:v>125.4704987632911</c:v>
                </c:pt>
                <c:pt idx="172">
                  <c:v>126.05313409959244</c:v>
                </c:pt>
                <c:pt idx="173">
                  <c:v>126.63364153474252</c:v>
                </c:pt>
                <c:pt idx="174">
                  <c:v>127.21201845726483</c:v>
                </c:pt>
                <c:pt idx="175">
                  <c:v>127.78826229527721</c:v>
                </c:pt>
                <c:pt idx="176">
                  <c:v>128.36237051643013</c:v>
                </c:pt>
                <c:pt idx="177">
                  <c:v>128.93434062784294</c:v>
                </c:pt>
                <c:pt idx="178">
                  <c:v>129.50417017603809</c:v>
                </c:pt>
                <c:pt idx="179">
                  <c:v>130.07185674687329</c:v>
                </c:pt>
                <c:pt idx="180">
                  <c:v>130.63739796547179</c:v>
                </c:pt>
                <c:pt idx="181">
                  <c:v>131.20079149615071</c:v>
                </c:pt>
                <c:pt idx="182">
                  <c:v>131.76203504234726</c:v>
                </c:pt>
                <c:pt idx="183">
                  <c:v>132.32112634654325</c:v>
                </c:pt>
                <c:pt idx="184">
                  <c:v>132.87806319018745</c:v>
                </c:pt>
                <c:pt idx="185">
                  <c:v>133.43284339361628</c:v>
                </c:pt>
                <c:pt idx="186">
                  <c:v>133.98546481597236</c:v>
                </c:pt>
                <c:pt idx="187">
                  <c:v>134.53592535512149</c:v>
                </c:pt>
                <c:pt idx="188">
                  <c:v>135.08422294756747</c:v>
                </c:pt>
                <c:pt idx="189">
                  <c:v>135.63035556836527</c:v>
                </c:pt>
                <c:pt idx="190">
                  <c:v>136.17432123103237</c:v>
                </c:pt>
                <c:pt idx="191">
                  <c:v>136.71611798745815</c:v>
                </c:pt>
                <c:pt idx="192">
                  <c:v>137.25574392781172</c:v>
                </c:pt>
                <c:pt idx="193">
                  <c:v>137.79319718044772</c:v>
                </c:pt>
                <c:pt idx="194">
                  <c:v>138.32847591181053</c:v>
                </c:pt>
                <c:pt idx="195">
                  <c:v>138.86157832633677</c:v>
                </c:pt>
                <c:pt idx="196">
                  <c:v>139.39250266635594</c:v>
                </c:pt>
                <c:pt idx="197">
                  <c:v>139.92124721198942</c:v>
                </c:pt>
                <c:pt idx="198">
                  <c:v>140.44781028104777</c:v>
                </c:pt>
                <c:pt idx="199">
                  <c:v>140.97219022892634</c:v>
                </c:pt>
                <c:pt idx="200">
                  <c:v>141.4943854484994</c:v>
                </c:pt>
                <c:pt idx="201">
                  <c:v>142.01439437001227</c:v>
                </c:pt>
                <c:pt idx="202">
                  <c:v>142.53221546097211</c:v>
                </c:pt>
                <c:pt idx="203">
                  <c:v>143.04784722603713</c:v>
                </c:pt>
                <c:pt idx="204">
                  <c:v>143.56128820690407</c:v>
                </c:pt>
                <c:pt idx="205">
                  <c:v>144.07253698219401</c:v>
                </c:pt>
                <c:pt idx="206">
                  <c:v>144.58159216733696</c:v>
                </c:pt>
                <c:pt idx="207">
                  <c:v>145.08845241445471</c:v>
                </c:pt>
                <c:pt idx="208">
                  <c:v>145.59311641224207</c:v>
                </c:pt>
                <c:pt idx="209">
                  <c:v>146.0955828858468</c:v>
                </c:pt>
                <c:pt idx="210">
                  <c:v>146.59585059674802</c:v>
                </c:pt>
                <c:pt idx="211">
                  <c:v>147.093918342633</c:v>
                </c:pt>
                <c:pt idx="212">
                  <c:v>147.58978495727277</c:v>
                </c:pt>
                <c:pt idx="213">
                  <c:v>148.08344931039599</c:v>
                </c:pt>
                <c:pt idx="214">
                  <c:v>148.57491030756174</c:v>
                </c:pt>
                <c:pt idx="215">
                  <c:v>149.06416689003066</c:v>
                </c:pt>
                <c:pt idx="216">
                  <c:v>149.55121803463479</c:v>
                </c:pt>
                <c:pt idx="217">
                  <c:v>150.03606275364609</c:v>
                </c:pt>
                <c:pt idx="218">
                  <c:v>150.51870009464361</c:v>
                </c:pt>
                <c:pt idx="219">
                  <c:v>150.99912914037938</c:v>
                </c:pt>
                <c:pt idx="220">
                  <c:v>151.47734900864282</c:v>
                </c:pt>
                <c:pt idx="221">
                  <c:v>151.95335885212413</c:v>
                </c:pt>
                <c:pt idx="222">
                  <c:v>152.42715785827616</c:v>
                </c:pt>
                <c:pt idx="223">
                  <c:v>152.89874524917519</c:v>
                </c:pt>
                <c:pt idx="224">
                  <c:v>153.3681202813805</c:v>
                </c:pt>
                <c:pt idx="225">
                  <c:v>153.83528224579257</c:v>
                </c:pt>
                <c:pt idx="226">
                  <c:v>154.3002304675102</c:v>
                </c:pt>
                <c:pt idx="227">
                  <c:v>154.76296430568649</c:v>
                </c:pt>
                <c:pt idx="228">
                  <c:v>155.22348315338348</c:v>
                </c:pt>
                <c:pt idx="229">
                  <c:v>155.68178643742593</c:v>
                </c:pt>
                <c:pt idx="230">
                  <c:v>156.13787361825374</c:v>
                </c:pt>
                <c:pt idx="231">
                  <c:v>156.59174418977327</c:v>
                </c:pt>
                <c:pt idx="232">
                  <c:v>157.04339767920786</c:v>
                </c:pt>
                <c:pt idx="233">
                  <c:v>157.49283364694679</c:v>
                </c:pt>
                <c:pt idx="234">
                  <c:v>157.94005168639376</c:v>
                </c:pt>
                <c:pt idx="235">
                  <c:v>158.38505142381382</c:v>
                </c:pt>
                <c:pt idx="236">
                  <c:v>158.82783251817969</c:v>
                </c:pt>
                <c:pt idx="237">
                  <c:v>159.26839466101669</c:v>
                </c:pt>
                <c:pt idx="238">
                  <c:v>159.70673757624721</c:v>
                </c:pt>
                <c:pt idx="239">
                  <c:v>160.14286102003368</c:v>
                </c:pt>
                <c:pt idx="240">
                  <c:v>160.57676478062086</c:v>
                </c:pt>
                <c:pt idx="241">
                  <c:v>161.00844867817736</c:v>
                </c:pt>
                <c:pt idx="242">
                  <c:v>161.43791256463581</c:v>
                </c:pt>
                <c:pt idx="243">
                  <c:v>161.86515632353266</c:v>
                </c:pt>
                <c:pt idx="244">
                  <c:v>162.29017986984672</c:v>
                </c:pt>
                <c:pt idx="245">
                  <c:v>162.71298314983693</c:v>
                </c:pt>
                <c:pt idx="246">
                  <c:v>163.13356614087951</c:v>
                </c:pt>
                <c:pt idx="247">
                  <c:v>163.55192885130398</c:v>
                </c:pt>
                <c:pt idx="248">
                  <c:v>163.96807132022855</c:v>
                </c:pt>
                <c:pt idx="249">
                  <c:v>164.38199361739476</c:v>
                </c:pt>
                <c:pt idx="250">
                  <c:v>164.79369584300127</c:v>
                </c:pt>
                <c:pt idx="251">
                  <c:v>165.20282042093896</c:v>
                </c:pt>
                <c:pt idx="252">
                  <c:v>165.60900990945493</c:v>
                </c:pt>
                <c:pt idx="253">
                  <c:v>166.01226494036689</c:v>
                </c:pt>
                <c:pt idx="254">
                  <c:v>166.41258618728344</c:v>
                </c:pt>
                <c:pt idx="255">
                  <c:v>166.80997436531277</c:v>
                </c:pt>
                <c:pt idx="256">
                  <c:v>167.20443023077055</c:v>
                </c:pt>
                <c:pt idx="257">
                  <c:v>167.59595458088717</c:v>
                </c:pt>
                <c:pt idx="258">
                  <c:v>167.98454825351379</c:v>
                </c:pt>
                <c:pt idx="259">
                  <c:v>168.37021212682802</c:v>
                </c:pt>
                <c:pt idx="260">
                  <c:v>168.75294711903857</c:v>
                </c:pt>
                <c:pt idx="261">
                  <c:v>169.13275418808917</c:v>
                </c:pt>
                <c:pt idx="262">
                  <c:v>169.50963433136215</c:v>
                </c:pt>
                <c:pt idx="263">
                  <c:v>169.88358858538075</c:v>
                </c:pt>
                <c:pt idx="264">
                  <c:v>170.25461802551135</c:v>
                </c:pt>
                <c:pt idx="265">
                  <c:v>170.62272376566494</c:v>
                </c:pt>
                <c:pt idx="266">
                  <c:v>170.98790695799786</c:v>
                </c:pt>
                <c:pt idx="267">
                  <c:v>171.35016879261212</c:v>
                </c:pt>
                <c:pt idx="268">
                  <c:v>171.70951049725522</c:v>
                </c:pt>
                <c:pt idx="269">
                  <c:v>172.06593333701957</c:v>
                </c:pt>
                <c:pt idx="270">
                  <c:v>172.41943861404116</c:v>
                </c:pt>
                <c:pt idx="271">
                  <c:v>172.77002766719815</c:v>
                </c:pt>
                <c:pt idx="272">
                  <c:v>173.11770187180895</c:v>
                </c:pt>
                <c:pt idx="273">
                  <c:v>173.46246263932971</c:v>
                </c:pt>
                <c:pt idx="274">
                  <c:v>173.80431141705193</c:v>
                </c:pt>
                <c:pt idx="275">
                  <c:v>174.14324968779923</c:v>
                </c:pt>
                <c:pt idx="276">
                  <c:v>174.47927896962429</c:v>
                </c:pt>
                <c:pt idx="277">
                  <c:v>174.81240081550524</c:v>
                </c:pt>
                <c:pt idx="278">
                  <c:v>175.14261681304203</c:v>
                </c:pt>
                <c:pt idx="279">
                  <c:v>175.4699285841524</c:v>
                </c:pt>
                <c:pt idx="280">
                  <c:v>175.79433778476778</c:v>
                </c:pt>
                <c:pt idx="281">
                  <c:v>176.11584610452914</c:v>
                </c:pt>
                <c:pt idx="282">
                  <c:v>176.43445526648253</c:v>
                </c:pt>
                <c:pt idx="283">
                  <c:v>176.75016702677468</c:v>
                </c:pt>
                <c:pt idx="284">
                  <c:v>177.06298317434832</c:v>
                </c:pt>
                <c:pt idx="285">
                  <c:v>177.37290553063787</c:v>
                </c:pt>
                <c:pt idx="286">
                  <c:v>177.67993594926457</c:v>
                </c:pt>
                <c:pt idx="287">
                  <c:v>177.98407631573218</c:v>
                </c:pt>
                <c:pt idx="288">
                  <c:v>178.28532854712216</c:v>
                </c:pt>
                <c:pt idx="289">
                  <c:v>178.58369459178931</c:v>
                </c:pt>
                <c:pt idx="290">
                  <c:v>178.87917642905748</c:v>
                </c:pt>
                <c:pt idx="291">
                  <c:v>179.17177606891499</c:v>
                </c:pt>
                <c:pt idx="292">
                  <c:v>179.46149555171081</c:v>
                </c:pt>
                <c:pt idx="293">
                  <c:v>179.74833694785031</c:v>
                </c:pt>
                <c:pt idx="294">
                  <c:v>180.03230235749146</c:v>
                </c:pt>
                <c:pt idx="295">
                  <c:v>180.31339391024133</c:v>
                </c:pt>
                <c:pt idx="296">
                  <c:v>180.59161376485255</c:v>
                </c:pt>
                <c:pt idx="297">
                  <c:v>180.86696410892029</c:v>
                </c:pt>
                <c:pt idx="298">
                  <c:v>181.13552318168843</c:v>
                </c:pt>
                <c:pt idx="299">
                  <c:v>181.39337199028725</c:v>
                </c:pt>
                <c:pt idx="300">
                  <c:v>181.64052041376709</c:v>
                </c:pt>
                <c:pt idx="301">
                  <c:v>181.87697855423534</c:v>
                </c:pt>
                <c:pt idx="302">
                  <c:v>182.10275673311898</c:v>
                </c:pt>
                <c:pt idx="303">
                  <c:v>182.31786548742971</c:v>
                </c:pt>
                <c:pt idx="304">
                  <c:v>182.52231556603158</c:v>
                </c:pt>
                <c:pt idx="305">
                  <c:v>182.71611792591321</c:v>
                </c:pt>
                <c:pt idx="306">
                  <c:v>182.89928372846364</c:v>
                </c:pt>
                <c:pt idx="307">
                  <c:v>183.07182433575366</c:v>
                </c:pt>
                <c:pt idx="308">
                  <c:v>183.23375130682251</c:v>
                </c:pt>
                <c:pt idx="309">
                  <c:v>183.38507639397082</c:v>
                </c:pt>
                <c:pt idx="310">
                  <c:v>183.52581153906053</c:v>
                </c:pt>
                <c:pt idx="311">
                  <c:v>183.65596886982166</c:v>
                </c:pt>
                <c:pt idx="312">
                  <c:v>183.77556069616784</c:v>
                </c:pt>
                <c:pt idx="313">
                  <c:v>183.88459950651949</c:v>
                </c:pt>
                <c:pt idx="314">
                  <c:v>183.98309796413662</c:v>
                </c:pt>
                <c:pt idx="315">
                  <c:v>184.07106890346077</c:v>
                </c:pt>
                <c:pt idx="316">
                  <c:v>184.14852532646751</c:v>
                </c:pt>
                <c:pt idx="317">
                  <c:v>184.21548039902913</c:v>
                </c:pt>
                <c:pt idx="318">
                  <c:v>184.27194744728857</c:v>
                </c:pt>
                <c:pt idx="319">
                  <c:v>184.31793995404493</c:v>
                </c:pt>
                <c:pt idx="320">
                  <c:v>184.35347155515117</c:v>
                </c:pt>
                <c:pt idx="321">
                  <c:v>184.3801161769606</c:v>
                </c:pt>
                <c:pt idx="322">
                  <c:v>184.39944599118286</c:v>
                </c:pt>
                <c:pt idx="323">
                  <c:v>184.41147080537229</c:v>
                </c:pt>
                <c:pt idx="324">
                  <c:v>184.41620049117012</c:v>
                </c:pt>
                <c:pt idx="325">
                  <c:v>184.41364498257437</c:v>
                </c:pt>
                <c:pt idx="326">
                  <c:v>184.40381427421755</c:v>
                </c:pt>
                <c:pt idx="327">
                  <c:v>184.38671841965291</c:v>
                </c:pt>
                <c:pt idx="328">
                  <c:v>184.3623675296493</c:v>
                </c:pt>
                <c:pt idx="329">
                  <c:v>184.33077177049466</c:v>
                </c:pt>
                <c:pt idx="330">
                  <c:v>184.29194136230805</c:v>
                </c:pt>
                <c:pt idx="331">
                  <c:v>184.24588657736089</c:v>
                </c:pt>
                <c:pt idx="332">
                  <c:v>184.19261773840685</c:v>
                </c:pt>
                <c:pt idx="333">
                  <c:v>184.13214521702108</c:v>
                </c:pt>
                <c:pt idx="334">
                  <c:v>184.0644794319484</c:v>
                </c:pt>
                <c:pt idx="335">
                  <c:v>183.98963084746089</c:v>
                </c:pt>
                <c:pt idx="336">
                  <c:v>183.90760997172478</c:v>
                </c:pt>
                <c:pt idx="337">
                  <c:v>183.81842735517688</c:v>
                </c:pt>
                <c:pt idx="338">
                  <c:v>183.72209358891041</c:v>
                </c:pt>
                <c:pt idx="339">
                  <c:v>183.61861930307046</c:v>
                </c:pt>
                <c:pt idx="340">
                  <c:v>183.50801516525934</c:v>
                </c:pt>
                <c:pt idx="341">
                  <c:v>183.39029187895147</c:v>
                </c:pt>
                <c:pt idx="342">
                  <c:v>183.26546018191812</c:v>
                </c:pt>
                <c:pt idx="343">
                  <c:v>183.13353084466232</c:v>
                </c:pt>
                <c:pt idx="344">
                  <c:v>182.9945146688633</c:v>
                </c:pt>
                <c:pt idx="345">
                  <c:v>182.84842248583152</c:v>
                </c:pt>
                <c:pt idx="346">
                  <c:v>182.69526515497327</c:v>
                </c:pt>
                <c:pt idx="347">
                  <c:v>182.5350535622656</c:v>
                </c:pt>
                <c:pt idx="348">
                  <c:v>182.3679668428739</c:v>
                </c:pt>
                <c:pt idx="349">
                  <c:v>182.19418388942623</c:v>
                </c:pt>
                <c:pt idx="350">
                  <c:v>182.01371511153073</c:v>
                </c:pt>
                <c:pt idx="351">
                  <c:v>181.8265709351532</c:v>
                </c:pt>
                <c:pt idx="352">
                  <c:v>181.63276180129003</c:v>
                </c:pt>
                <c:pt idx="353">
                  <c:v>181.43229816465063</c:v>
                </c:pt>
                <c:pt idx="354">
                  <c:v>181.22519049234947</c:v>
                </c:pt>
                <c:pt idx="355">
                  <c:v>181.01144926260753</c:v>
                </c:pt>
                <c:pt idx="356">
                  <c:v>180.79108496346328</c:v>
                </c:pt>
                <c:pt idx="357">
                  <c:v>180.56410809149324</c:v>
                </c:pt>
                <c:pt idx="358">
                  <c:v>180.3305291505423</c:v>
                </c:pt>
                <c:pt idx="359">
                  <c:v>180.09035865046343</c:v>
                </c:pt>
                <c:pt idx="360">
                  <c:v>179.84710561121298</c:v>
                </c:pt>
                <c:pt idx="361">
                  <c:v>179.60427308995406</c:v>
                </c:pt>
                <c:pt idx="362">
                  <c:v>179.36185969694145</c:v>
                </c:pt>
                <c:pt idx="363">
                  <c:v>179.11986404848119</c:v>
                </c:pt>
                <c:pt idx="364">
                  <c:v>178.87828476689728</c:v>
                </c:pt>
                <c:pt idx="365">
                  <c:v>178.63712048049871</c:v>
                </c:pt>
                <c:pt idx="366">
                  <c:v>178.39636982354656</c:v>
                </c:pt>
                <c:pt idx="367">
                  <c:v>178.15603143622138</c:v>
                </c:pt>
                <c:pt idx="368">
                  <c:v>177.91610396459083</c:v>
                </c:pt>
                <c:pt idx="369">
                  <c:v>177.67658606057756</c:v>
                </c:pt>
                <c:pt idx="370">
                  <c:v>177.4374763819271</c:v>
                </c:pt>
                <c:pt idx="371">
                  <c:v>177.19877359217617</c:v>
                </c:pt>
                <c:pt idx="372">
                  <c:v>176.96047636062116</c:v>
                </c:pt>
                <c:pt idx="373">
                  <c:v>176.72258336228671</c:v>
                </c:pt>
                <c:pt idx="374">
                  <c:v>176.48509327789466</c:v>
                </c:pt>
                <c:pt idx="375">
                  <c:v>176.24800479383302</c:v>
                </c:pt>
                <c:pt idx="376">
                  <c:v>176.01131660212536</c:v>
                </c:pt>
                <c:pt idx="377">
                  <c:v>175.77502740040006</c:v>
                </c:pt>
                <c:pt idx="378">
                  <c:v>175.5391358918603</c:v>
                </c:pt>
                <c:pt idx="379">
                  <c:v>175.30364078525363</c:v>
                </c:pt>
                <c:pt idx="380">
                  <c:v>175.06854079484222</c:v>
                </c:pt>
                <c:pt idx="381">
                  <c:v>174.83383464037297</c:v>
                </c:pt>
                <c:pt idx="382">
                  <c:v>174.59952104704809</c:v>
                </c:pt>
                <c:pt idx="383">
                  <c:v>174.3655987454957</c:v>
                </c:pt>
                <c:pt idx="384">
                  <c:v>174.13206647174059</c:v>
                </c:pt>
                <c:pt idx="385">
                  <c:v>173.89892296717537</c:v>
                </c:pt>
                <c:pt idx="386">
                  <c:v>173.66616697853158</c:v>
                </c:pt>
                <c:pt idx="387">
                  <c:v>173.43379725785113</c:v>
                </c:pt>
                <c:pt idx="388">
                  <c:v>173.20181256245789</c:v>
                </c:pt>
                <c:pt idx="389">
                  <c:v>172.97021165492936</c:v>
                </c:pt>
                <c:pt idx="390">
                  <c:v>172.73899330306878</c:v>
                </c:pt>
                <c:pt idx="391">
                  <c:v>172.50815627987711</c:v>
                </c:pt>
                <c:pt idx="392">
                  <c:v>172.27769936352539</c:v>
                </c:pt>
                <c:pt idx="393">
                  <c:v>172.04762133732723</c:v>
                </c:pt>
                <c:pt idx="394">
                  <c:v>171.81792098971152</c:v>
                </c:pt>
                <c:pt idx="395">
                  <c:v>171.58859711419512</c:v>
                </c:pt>
                <c:pt idx="396">
                  <c:v>171.35964850935599</c:v>
                </c:pt>
                <c:pt idx="397">
                  <c:v>171.1310739788064</c:v>
                </c:pt>
                <c:pt idx="398">
                  <c:v>170.90287233116612</c:v>
                </c:pt>
                <c:pt idx="399">
                  <c:v>170.67504238003613</c:v>
                </c:pt>
                <c:pt idx="400">
                  <c:v>170.44758294397221</c:v>
                </c:pt>
                <c:pt idx="401">
                  <c:v>168.17672042024097</c:v>
                </c:pt>
                <c:pt idx="402">
                  <c:v>165.94240229022097</c:v>
                </c:pt>
                <c:pt idx="403">
                  <c:v>163.74348573878692</c:v>
                </c:pt>
                <c:pt idx="404">
                  <c:v>161.57887447095595</c:v>
                </c:pt>
                <c:pt idx="405">
                  <c:v>159.44751633881347</c:v>
                </c:pt>
                <c:pt idx="406">
                  <c:v>157.34840111334947</c:v>
                </c:pt>
                <c:pt idx="407">
                  <c:v>155.28055839097166</c:v>
                </c:pt>
                <c:pt idx="408">
                  <c:v>153.24305562528488</c:v>
                </c:pt>
                <c:pt idx="409">
                  <c:v>151.23499627547409</c:v>
                </c:pt>
                <c:pt idx="410">
                  <c:v>149.25551806331131</c:v>
                </c:pt>
                <c:pt idx="411">
                  <c:v>147.30379133142952</c:v>
                </c:pt>
                <c:pt idx="412">
                  <c:v>145.37901749607454</c:v>
                </c:pt>
                <c:pt idx="413">
                  <c:v>143.48042758806582</c:v>
                </c:pt>
                <c:pt idx="414">
                  <c:v>141.60728087617218</c:v>
                </c:pt>
                <c:pt idx="415">
                  <c:v>139.75886356754495</c:v>
                </c:pt>
                <c:pt idx="416">
                  <c:v>137.93448758024823</c:v>
                </c:pt>
                <c:pt idx="417">
                  <c:v>136.13348938329383</c:v>
                </c:pt>
                <c:pt idx="418">
                  <c:v>134.35522889992379</c:v>
                </c:pt>
                <c:pt idx="419">
                  <c:v>132.5990884701923</c:v>
                </c:pt>
                <c:pt idx="420">
                  <c:v>130.86447186918372</c:v>
                </c:pt>
                <c:pt idx="421">
                  <c:v>129.15080337746434</c:v>
                </c:pt>
                <c:pt idx="422">
                  <c:v>127.45752690060746</c:v>
                </c:pt>
                <c:pt idx="423">
                  <c:v>125.78410513485332</c:v>
                </c:pt>
                <c:pt idx="424">
                  <c:v>124.13001877617107</c:v>
                </c:pt>
                <c:pt idx="425">
                  <c:v>122.4947657701797</c:v>
                </c:pt>
                <c:pt idx="426">
                  <c:v>120.87786060056057</c:v>
                </c:pt>
                <c:pt idx="427">
                  <c:v>119.27883361375626</c:v>
                </c:pt>
                <c:pt idx="428">
                  <c:v>117.69723037790214</c:v>
                </c:pt>
                <c:pt idx="429">
                  <c:v>116.13261107407507</c:v>
                </c:pt>
                <c:pt idx="430">
                  <c:v>114.58454991807571</c:v>
                </c:pt>
                <c:pt idx="431">
                  <c:v>113.05263461107948</c:v>
                </c:pt>
                <c:pt idx="432">
                  <c:v>111.53646581760485</c:v>
                </c:pt>
                <c:pt idx="433">
                  <c:v>110.03565666935214</c:v>
                </c:pt>
                <c:pt idx="434">
                  <c:v>108.54983229356321</c:v>
                </c:pt>
                <c:pt idx="435">
                  <c:v>107.07862936464451</c:v>
                </c:pt>
                <c:pt idx="436">
                  <c:v>105.62169567788118</c:v>
                </c:pt>
                <c:pt idx="437">
                  <c:v>104.17868974414988</c:v>
                </c:pt>
                <c:pt idx="438">
                  <c:v>102.7492804046142</c:v>
                </c:pt>
                <c:pt idx="439">
                  <c:v>101.3331464644565</c:v>
                </c:pt>
                <c:pt idx="440">
                  <c:v>99.929976344768292</c:v>
                </c:pt>
                <c:pt idx="441">
                  <c:v>98.539467751783519</c:v>
                </c:pt>
                <c:pt idx="442">
                  <c:v>97.161327362700561</c:v>
                </c:pt>
                <c:pt idx="443">
                  <c:v>95.79527052739526</c:v>
                </c:pt>
                <c:pt idx="444">
                  <c:v>94.441020985382849</c:v>
                </c:pt>
                <c:pt idx="445">
                  <c:v>93.09831059743901</c:v>
                </c:pt>
                <c:pt idx="446">
                  <c:v>91.766879091341309</c:v>
                </c:pt>
                <c:pt idx="447">
                  <c:v>90.44647382124127</c:v>
                </c:pt>
                <c:pt idx="448">
                  <c:v>89.13684954022591</c:v>
                </c:pt>
                <c:pt idx="449">
                  <c:v>87.83776818567398</c:v>
                </c:pt>
                <c:pt idx="450">
                  <c:v>86.548998677059018</c:v>
                </c:pt>
                <c:pt idx="451">
                  <c:v>85.27031672589716</c:v>
                </c:pt>
                <c:pt idx="452">
                  <c:v>84.001504657583922</c:v>
                </c:pt>
                <c:pt idx="453">
                  <c:v>82.742351244910651</c:v>
                </c:pt>
                <c:pt idx="454">
                  <c:v>81.492651553098241</c:v>
                </c:pt>
                <c:pt idx="455">
                  <c:v>80.252206796234319</c:v>
                </c:pt>
                <c:pt idx="456">
                  <c:v>79.020824205049635</c:v>
                </c:pt>
                <c:pt idx="457">
                  <c:v>77.798316906021483</c:v>
                </c:pt>
                <c:pt idx="458">
                  <c:v>76.584503811845664</c:v>
                </c:pt>
                <c:pt idx="459">
                  <c:v>75.379209523376517</c:v>
                </c:pt>
                <c:pt idx="460">
                  <c:v>74.182264243194737</c:v>
                </c:pt>
                <c:pt idx="461">
                  <c:v>72.993503701028388</c:v>
                </c:pt>
                <c:pt idx="462">
                  <c:v>71.812769091322593</c:v>
                </c:pt>
                <c:pt idx="463">
                  <c:v>70.63990702332957</c:v>
                </c:pt>
                <c:pt idx="464">
                  <c:v>69.474769484173834</c:v>
                </c:pt>
                <c:pt idx="465">
                  <c:v>68.317213815438649</c:v>
                </c:pt>
                <c:pt idx="466">
                  <c:v>67.167102703919909</c:v>
                </c:pt>
                <c:pt idx="467">
                  <c:v>66.024304187304935</c:v>
                </c:pt>
                <c:pt idx="468">
                  <c:v>64.888691675657029</c:v>
                </c:pt>
                <c:pt idx="469">
                  <c:v>63.760143989724213</c:v>
                </c:pt>
                <c:pt idx="470">
                  <c:v>62.638545417244927</c:v>
                </c:pt>
                <c:pt idx="471">
                  <c:v>61.523785788595966</c:v>
                </c:pt>
                <c:pt idx="472">
                  <c:v>60.415760573323411</c:v>
                </c:pt>
                <c:pt idx="473">
                  <c:v>59.314370999316765</c:v>
                </c:pt>
                <c:pt idx="474">
                  <c:v>58.21952419663581</c:v>
                </c:pt>
                <c:pt idx="475">
                  <c:v>57.131133368282569</c:v>
                </c:pt>
                <c:pt idx="476">
                  <c:v>56.049117990531862</c:v>
                </c:pt>
                <c:pt idx="477">
                  <c:v>54.973404045800997</c:v>
                </c:pt>
                <c:pt idx="478">
                  <c:v>53.903924291457287</c:v>
                </c:pt>
                <c:pt idx="479">
                  <c:v>52.840618568441563</c:v>
                </c:pt>
                <c:pt idx="480">
                  <c:v>51.783434154134916</c:v>
                </c:pt>
                <c:pt idx="481">
                  <c:v>50.732326164526846</c:v>
                </c:pt>
                <c:pt idx="482">
                  <c:v>49.687258011468643</c:v>
                </c:pt>
                <c:pt idx="483">
                  <c:v>48.648201921632001</c:v>
                </c:pt>
                <c:pt idx="484">
                  <c:v>47.615139524757716</c:v>
                </c:pt>
                <c:pt idx="485">
                  <c:v>46.588062519893974</c:v>
                </c:pt>
                <c:pt idx="486">
                  <c:v>45.566973429613476</c:v>
                </c:pt>
                <c:pt idx="487">
                  <c:v>44.551886453692198</c:v>
                </c:pt>
                <c:pt idx="488">
                  <c:v>43.542828435464045</c:v>
                </c:pt>
                <c:pt idx="489">
                  <c:v>42.539839956074339</c:v>
                </c:pt>
                <c:pt idx="490">
                  <c:v>41.542976574186731</c:v>
                </c:pt>
                <c:pt idx="491">
                  <c:v>40.552310231405109</c:v>
                </c:pt>
                <c:pt idx="492">
                  <c:v>39.567930846815067</c:v>
                </c:pt>
                <c:pt idx="493">
                  <c:v>38.589948127696033</c:v>
                </c:pt>
                <c:pt idx="494">
                  <c:v>37.618493627682781</c:v>
                </c:pt>
                <c:pt idx="495">
                  <c:v>36.653723088546947</c:v>
                </c:pt>
                <c:pt idx="496">
                  <c:v>35.695819107416632</c:v>
                </c:pt>
                <c:pt idx="497">
                  <c:v>34.744994177748012</c:v>
                </c:pt>
                <c:pt idx="498">
                  <c:v>33.801494159797471</c:v>
                </c:pt>
                <c:pt idx="499">
                  <c:v>32.865602244794339</c:v>
                </c:pt>
                <c:pt idx="500">
                  <c:v>31.937643486531123</c:v>
                </c:pt>
                <c:pt idx="501">
                  <c:v>31.017989984666087</c:v>
                </c:pt>
                <c:pt idx="502">
                  <c:v>30.107066815575322</c:v>
                </c:pt>
                <c:pt idx="503">
                  <c:v>29.20535881885268</c:v>
                </c:pt>
                <c:pt idx="504">
                  <c:v>28.313418360055994</c:v>
                </c:pt>
                <c:pt idx="505">
                  <c:v>27.431874202197861</c:v>
                </c:pt>
                <c:pt idx="506">
                  <c:v>26.56144162840399</c:v>
                </c:pt>
                <c:pt idx="507">
                  <c:v>25.702933963946428</c:v>
                </c:pt>
                <c:pt idx="508">
                  <c:v>24.857275644201973</c:v>
                </c:pt>
                <c:pt idx="509">
                  <c:v>24.025516961080438</c:v>
                </c:pt>
                <c:pt idx="510">
                  <c:v>23.20885058699556</c:v>
                </c:pt>
                <c:pt idx="511">
                  <c:v>22.408629912439455</c:v>
                </c:pt>
                <c:pt idx="512">
                  <c:v>21.626389126813674</c:v>
                </c:pt>
                <c:pt idx="513">
                  <c:v>20.863864803955178</c:v>
                </c:pt>
                <c:pt idx="514">
                  <c:v>20.12301850042877</c:v>
                </c:pt>
                <c:pt idx="515">
                  <c:v>19.406059508489868</c:v>
                </c:pt>
                <c:pt idx="516">
                  <c:v>18.71546639743319</c:v>
                </c:pt>
                <c:pt idx="517">
                  <c:v>18.05400530256027</c:v>
                </c:pt>
                <c:pt idx="518">
                  <c:v>17.424742073479042</c:v>
                </c:pt>
                <c:pt idx="519">
                  <c:v>16.831044404772506</c:v>
                </c:pt>
                <c:pt idx="520">
                  <c:v>16.276569043530543</c:v>
                </c:pt>
                <c:pt idx="521">
                  <c:v>15.765228307999211</c:v>
                </c:pt>
                <c:pt idx="522">
                  <c:v>15.30112980681797</c:v>
                </c:pt>
                <c:pt idx="523">
                  <c:v>14.888483905547659</c:v>
                </c:pt>
                <c:pt idx="524">
                  <c:v>14.531475699823529</c:v>
                </c:pt>
                <c:pt idx="525">
                  <c:v>14.234102454213316</c:v>
                </c:pt>
                <c:pt idx="526">
                  <c:v>13.999983651406323</c:v>
                </c:pt>
                <c:pt idx="527">
                  <c:v>13.832158184834347</c:v>
                </c:pt>
                <c:pt idx="528">
                  <c:v>13.732890082190911</c:v>
                </c:pt>
                <c:pt idx="529">
                  <c:v>13.703508055970133</c:v>
                </c:pt>
                <c:pt idx="530">
                  <c:v>13.744302916286143</c:v>
                </c:pt>
                <c:pt idx="531">
                  <c:v>13.854499594641144</c:v>
                </c:pt>
                <c:pt idx="532">
                  <c:v>14.032308544594439</c:v>
                </c:pt>
                <c:pt idx="533">
                  <c:v>14.275047897766164</c:v>
                </c:pt>
                <c:pt idx="534">
                  <c:v>14.579316874081469</c:v>
                </c:pt>
                <c:pt idx="535">
                  <c:v>14.941195390613483</c:v>
                </c:pt>
                <c:pt idx="536">
                  <c:v>15.356445244382002</c:v>
                </c:pt>
                <c:pt idx="537">
                  <c:v>15.820693288127339</c:v>
                </c:pt>
                <c:pt idx="538">
                  <c:v>16.329584274378032</c:v>
                </c:pt>
                <c:pt idx="539">
                  <c:v>16.878898229647486</c:v>
                </c:pt>
                <c:pt idx="540">
                  <c:v>17.464632872727933</c:v>
                </c:pt>
                <c:pt idx="541">
                  <c:v>18.083055184962863</c:v>
                </c:pt>
                <c:pt idx="542">
                  <c:v>18.730727939973988</c:v>
                </c:pt>
                <c:pt idx="543">
                  <c:v>19.404517302177407</c:v>
                </c:pt>
                <c:pt idx="544">
                  <c:v>20.101587056893656</c:v>
                </c:pt>
                <c:pt idx="545">
                  <c:v>20.819384090335404</c:v>
                </c:pt>
                <c:pt idx="546">
                  <c:v>21.555618700250349</c:v>
                </c:pt>
                <c:pt idx="547">
                  <c:v>22.308242360647526</c:v>
                </c:pt>
                <c:pt idx="548">
                  <c:v>23.075424763993041</c:v>
                </c:pt>
                <c:pt idx="549">
                  <c:v>23.85553133909832</c:v>
                </c:pt>
                <c:pt idx="550">
                  <c:v>24.647101978737989</c:v>
                </c:pt>
                <c:pt idx="551">
                  <c:v>25.448831380886517</c:v>
                </c:pt>
                <c:pt idx="552">
                  <c:v>26.259551181944619</c:v>
                </c:pt>
                <c:pt idx="553">
                  <c:v>27.078213912757118</c:v>
                </c:pt>
                <c:pt idx="554">
                  <c:v>27.903878716614251</c:v>
                </c:pt>
                <c:pt idx="555">
                  <c:v>28.735698715714591</c:v>
                </c:pt>
                <c:pt idx="556">
                  <c:v>29.572909886059076</c:v>
                </c:pt>
                <c:pt idx="557">
                  <c:v>30.414821291305042</c:v>
                </c:pt>
                <c:pt idx="558">
                  <c:v>31.260806527332811</c:v>
                </c:pt>
                <c:pt idx="559">
                  <c:v>32.110296236787164</c:v>
                </c:pt>
                <c:pt idx="560">
                  <c:v>32.962771563729888</c:v>
                </c:pt>
                <c:pt idx="561">
                  <c:v>33.817758430881049</c:v>
                </c:pt>
                <c:pt idx="562">
                  <c:v>34.674822534545228</c:v>
                </c:pt>
                <c:pt idx="563">
                  <c:v>35.533564964501977</c:v>
                </c:pt>
                <c:pt idx="564">
                  <c:v>36.393618367491662</c:v>
                </c:pt>
                <c:pt idx="565">
                  <c:v>37.254643583257263</c:v>
                </c:pt>
                <c:pt idx="566">
                  <c:v>38.116326691349585</c:v>
                </c:pt>
                <c:pt idx="567">
                  <c:v>38.978376415083503</c:v>
                </c:pt>
                <c:pt idx="568">
                  <c:v>39.84052183620912</c:v>
                </c:pt>
                <c:pt idx="569">
                  <c:v>40.702510380117708</c:v>
                </c:pt>
                <c:pt idx="570">
                  <c:v>41.564106036832207</c:v>
                </c:pt>
                <c:pt idx="571">
                  <c:v>42.425087787729581</c:v>
                </c:pt>
                <c:pt idx="572">
                  <c:v>43.285248211997349</c:v>
                </c:pt>
                <c:pt idx="573">
                  <c:v>44.144392250321751</c:v>
                </c:pt>
                <c:pt idx="574">
                  <c:v>45.002336106315127</c:v>
                </c:pt>
                <c:pt idx="575">
                  <c:v>45.858906268781524</c:v>
                </c:pt>
                <c:pt idx="576">
                  <c:v>46.713938640150445</c:v>
                </c:pt>
                <c:pt idx="577">
                  <c:v>47.567277758329382</c:v>
                </c:pt>
                <c:pt idx="578">
                  <c:v>48.418776100881466</c:v>
                </c:pt>
                <c:pt idx="579">
                  <c:v>49.268293461861489</c:v>
                </c:pt>
                <c:pt idx="580">
                  <c:v>50.115696392875194</c:v>
                </c:pt>
                <c:pt idx="581">
                  <c:v>50.960857700991305</c:v>
                </c:pt>
                <c:pt idx="582">
                  <c:v>51.803655997055671</c:v>
                </c:pt>
                <c:pt idx="583">
                  <c:v>52.643975288754348</c:v>
                </c:pt>
                <c:pt idx="584">
                  <c:v>53.481704613463322</c:v>
                </c:pt>
                <c:pt idx="585">
                  <c:v>54.316737706522773</c:v>
                </c:pt>
                <c:pt idx="586">
                  <c:v>55.148972701095595</c:v>
                </c:pt>
                <c:pt idx="587">
                  <c:v>55.978311856224046</c:v>
                </c:pt>
                <c:pt idx="588">
                  <c:v>56.804661310094502</c:v>
                </c:pt>
                <c:pt idx="589">
                  <c:v>57.627930855866445</c:v>
                </c:pt>
                <c:pt idx="590">
                  <c:v>58.448033737723961</c:v>
                </c:pt>
                <c:pt idx="591">
                  <c:v>59.264886465073097</c:v>
                </c:pt>
                <c:pt idx="592">
                  <c:v>60.078408643040795</c:v>
                </c:pt>
                <c:pt idx="593">
                  <c:v>60.888522817634936</c:v>
                </c:pt>
                <c:pt idx="594">
                  <c:v>61.69515433410487</c:v>
                </c:pt>
                <c:pt idx="595">
                  <c:v>62.498231207199559</c:v>
                </c:pt>
                <c:pt idx="596">
                  <c:v>63.297684002160068</c:v>
                </c:pt>
                <c:pt idx="597">
                  <c:v>64.093445725406383</c:v>
                </c:pt>
                <c:pt idx="598">
                  <c:v>64.885451723987401</c:v>
                </c:pt>
                <c:pt idx="599">
                  <c:v>65.673639592959432</c:v>
                </c:pt>
                <c:pt idx="600">
                  <c:v>66.457949089944464</c:v>
                </c:pt>
                <c:pt idx="601">
                  <c:v>67.238322056194917</c:v>
                </c:pt>
                <c:pt idx="602">
                  <c:v>68.014702343559961</c:v>
                </c:pt>
                <c:pt idx="603">
                  <c:v>68.787035746808186</c:v>
                </c:pt>
                <c:pt idx="604">
                  <c:v>69.555269940815194</c:v>
                </c:pt>
                <c:pt idx="605">
                  <c:v>70.319354422173092</c:v>
                </c:pt>
                <c:pt idx="606">
                  <c:v>71.079240454820862</c:v>
                </c:pt>
                <c:pt idx="607">
                  <c:v>71.834881019334148</c:v>
                </c:pt>
                <c:pt idx="608">
                  <c:v>72.586230765546063</c:v>
                </c:pt>
                <c:pt idx="609">
                  <c:v>73.333245968202675</c:v>
                </c:pt>
                <c:pt idx="610">
                  <c:v>74.075884485383753</c:v>
                </c:pt>
                <c:pt idx="611">
                  <c:v>74.814105719444655</c:v>
                </c:pt>
                <c:pt idx="612">
                  <c:v>75.547870580257467</c:v>
                </c:pt>
                <c:pt idx="613">
                  <c:v>76.277141450550076</c:v>
                </c:pt>
                <c:pt idx="614">
                  <c:v>77.001882153159642</c:v>
                </c:pt>
                <c:pt idx="615">
                  <c:v>77.722057920033834</c:v>
                </c:pt>
                <c:pt idx="616">
                  <c:v>78.437635362827976</c:v>
                </c:pt>
                <c:pt idx="617">
                  <c:v>79.148582444959416</c:v>
                </c:pt>
                <c:pt idx="618">
                  <c:v>79.854868454993493</c:v>
                </c:pt>
                <c:pt idx="619">
                  <c:v>80.556463981245471</c:v>
                </c:pt>
                <c:pt idx="620">
                  <c:v>81.253340887493906</c:v>
                </c:pt>
                <c:pt idx="621">
                  <c:v>81.945472289709258</c:v>
                </c:pt>
                <c:pt idx="622">
                  <c:v>82.632832533710513</c:v>
                </c:pt>
                <c:pt idx="623">
                  <c:v>83.315397173669766</c:v>
                </c:pt>
                <c:pt idx="624">
                  <c:v>83.993142951391519</c:v>
                </c:pt>
                <c:pt idx="625">
                  <c:v>84.666047776300459</c:v>
                </c:pt>
                <c:pt idx="626">
                  <c:v>85.334090706076196</c:v>
                </c:pt>
                <c:pt idx="627">
                  <c:v>85.997251927879574</c:v>
                </c:pt>
                <c:pt idx="628">
                  <c:v>86.655512740119491</c:v>
                </c:pt>
                <c:pt idx="629">
                  <c:v>87.308855534713601</c:v>
                </c:pt>
                <c:pt idx="630">
                  <c:v>87.957263779800513</c:v>
                </c:pt>
                <c:pt idx="631">
                  <c:v>88.600722002864615</c:v>
                </c:pt>
                <c:pt idx="632">
                  <c:v>89.239215774237834</c:v>
                </c:pt>
                <c:pt idx="633">
                  <c:v>89.872731690946296</c:v>
                </c:pt>
                <c:pt idx="634">
                  <c:v>90.501257360871961</c:v>
                </c:pt>
                <c:pt idx="635">
                  <c:v>91.124781387202631</c:v>
                </c:pt>
                <c:pt idx="636">
                  <c:v>91.74329335314556</c:v>
                </c:pt>
                <c:pt idx="637">
                  <c:v>92.356783806882447</c:v>
                </c:pt>
                <c:pt idx="638">
                  <c:v>92.965244246745414</c:v>
                </c:pt>
                <c:pt idx="639">
                  <c:v>93.568667106595512</c:v>
                </c:pt>
                <c:pt idx="640">
                  <c:v>94.16704574138717</c:v>
                </c:pt>
                <c:pt idx="641">
                  <c:v>94.760374412903133</c:v>
                </c:pt>
                <c:pt idx="642">
                  <c:v>95.348648275646553</c:v>
                </c:pt>
                <c:pt idx="643">
                  <c:v>95.931863362877337</c:v>
                </c:pt>
                <c:pt idx="644">
                  <c:v>96.510016572782291</c:v>
                </c:pt>
                <c:pt idx="645">
                  <c:v>97.083105654768346</c:v>
                </c:pt>
                <c:pt idx="646">
                  <c:v>97.651129195870325</c:v>
                </c:pt>
                <c:pt idx="647">
                  <c:v>98.214086607265259</c:v>
                </c:pt>
                <c:pt idx="648">
                  <c:v>98.771978110885868</c:v>
                </c:pt>
                <c:pt idx="649">
                  <c:v>99.324804726127041</c:v>
                </c:pt>
                <c:pt idx="650">
                  <c:v>99.872568256639909</c:v>
                </c:pt>
                <c:pt idx="651">
                  <c:v>100.41527127720838</c:v>
                </c:pt>
                <c:pt idx="652">
                  <c:v>100.95291712070403</c:v>
                </c:pt>
                <c:pt idx="653">
                  <c:v>101.48550986511592</c:v>
                </c:pt>
                <c:pt idx="654">
                  <c:v>102.01305432065168</c:v>
                </c:pt>
                <c:pt idx="655">
                  <c:v>102.53555601690792</c:v>
                </c:pt>
                <c:pt idx="656">
                  <c:v>103.0530211901073</c:v>
                </c:pt>
                <c:pt idx="657">
                  <c:v>103.56545677040081</c:v>
                </c:pt>
                <c:pt idx="658">
                  <c:v>104.07287036923367</c:v>
                </c:pt>
                <c:pt idx="659">
                  <c:v>104.57527026677401</c:v>
                </c:pt>
                <c:pt idx="660">
                  <c:v>105.07266539940353</c:v>
                </c:pt>
                <c:pt idx="661">
                  <c:v>105.56506534726982</c:v>
                </c:pt>
                <c:pt idx="662">
                  <c:v>106.05248032189999</c:v>
                </c:pt>
                <c:pt idx="663">
                  <c:v>106.53492115387594</c:v>
                </c:pt>
                <c:pt idx="664">
                  <c:v>107.01239928057143</c:v>
                </c:pt>
                <c:pt idx="665">
                  <c:v>107.48492673395144</c:v>
                </c:pt>
                <c:pt idx="666">
                  <c:v>107.9525161284345</c:v>
                </c:pt>
                <c:pt idx="667">
                  <c:v>108.41518064881899</c:v>
                </c:pt>
                <c:pt idx="668">
                  <c:v>108.87293403827395</c:v>
                </c:pt>
                <c:pt idx="669">
                  <c:v>109.32579058639614</c:v>
                </c:pt>
                <c:pt idx="670">
                  <c:v>109.77376511733372</c:v>
                </c:pt>
                <c:pt idx="671">
                  <c:v>110.21687297797875</c:v>
                </c:pt>
                <c:pt idx="672">
                  <c:v>110.65513002622916</c:v>
                </c:pt>
                <c:pt idx="673">
                  <c:v>111.08855261932196</c:v>
                </c:pt>
                <c:pt idx="674">
                  <c:v>111.51715760223929</c:v>
                </c:pt>
                <c:pt idx="675">
                  <c:v>111.94096229618856</c:v>
                </c:pt>
                <c:pt idx="676">
                  <c:v>112.3599844871586</c:v>
                </c:pt>
                <c:pt idx="677">
                  <c:v>112.77424241455326</c:v>
                </c:pt>
                <c:pt idx="678">
                  <c:v>113.18375475990415</c:v>
                </c:pt>
                <c:pt idx="679">
                  <c:v>113.58854063566429</c:v>
                </c:pt>
                <c:pt idx="680">
                  <c:v>113.98861957408415</c:v>
                </c:pt>
                <c:pt idx="681">
                  <c:v>114.38401151617207</c:v>
                </c:pt>
                <c:pt idx="682">
                  <c:v>114.77473680074027</c:v>
                </c:pt>
                <c:pt idx="683">
                  <c:v>115.16081615353872</c:v>
                </c:pt>
                <c:pt idx="684">
                  <c:v>115.54227067647801</c:v>
                </c:pt>
                <c:pt idx="685">
                  <c:v>115.91912183694319</c:v>
                </c:pt>
                <c:pt idx="686">
                  <c:v>116.29139145719981</c:v>
                </c:pt>
                <c:pt idx="687">
                  <c:v>116.65910170389438</c:v>
                </c:pt>
                <c:pt idx="688">
                  <c:v>117.02227507765009</c:v>
                </c:pt>
                <c:pt idx="689">
                  <c:v>117.38093440275986</c:v>
                </c:pt>
                <c:pt idx="690">
                  <c:v>117.73510281697779</c:v>
                </c:pt>
                <c:pt idx="691">
                  <c:v>118.08480376141081</c:v>
                </c:pt>
                <c:pt idx="692">
                  <c:v>118.43006097051176</c:v>
                </c:pt>
                <c:pt idx="693">
                  <c:v>118.77089846217514</c:v>
                </c:pt>
                <c:pt idx="694">
                  <c:v>119.10734052793705</c:v>
                </c:pt>
                <c:pt idx="695">
                  <c:v>119.43941172328053</c:v>
                </c:pt>
                <c:pt idx="696">
                  <c:v>119.76713685804734</c:v>
                </c:pt>
                <c:pt idx="697">
                  <c:v>120.09054098695761</c:v>
                </c:pt>
                <c:pt idx="698">
                  <c:v>120.40964940023819</c:v>
                </c:pt>
                <c:pt idx="699">
                  <c:v>120.72448761436102</c:v>
                </c:pt>
                <c:pt idx="700">
                  <c:v>121.03508136289226</c:v>
                </c:pt>
                <c:pt idx="701">
                  <c:v>121.34145658745324</c:v>
                </c:pt>
                <c:pt idx="702">
                  <c:v>121.6436394287942</c:v>
                </c:pt>
                <c:pt idx="703">
                  <c:v>121.9416562179815</c:v>
                </c:pt>
                <c:pt idx="704">
                  <c:v>122.23553346769914</c:v>
                </c:pt>
                <c:pt idx="705">
                  <c:v>122.52529786366526</c:v>
                </c:pt>
                <c:pt idx="706">
                  <c:v>122.81097625616435</c:v>
                </c:pt>
                <c:pt idx="707">
                  <c:v>123.09259565169572</c:v>
                </c:pt>
                <c:pt idx="708">
                  <c:v>123.37018320473872</c:v>
                </c:pt>
                <c:pt idx="709">
                  <c:v>123.64376620963547</c:v>
                </c:pt>
                <c:pt idx="710">
                  <c:v>123.91337209259095</c:v>
                </c:pt>
                <c:pt idx="711">
                  <c:v>124.17902840379149</c:v>
                </c:pt>
                <c:pt idx="712">
                  <c:v>124.44076280964173</c:v>
                </c:pt>
                <c:pt idx="713">
                  <c:v>124.69860308511981</c:v>
                </c:pt>
                <c:pt idx="714">
                  <c:v>124.95257710625209</c:v>
                </c:pt>
                <c:pt idx="715">
                  <c:v>125.2027128427064</c:v>
                </c:pt>
                <c:pt idx="716">
                  <c:v>125.44903835050468</c:v>
                </c:pt>
                <c:pt idx="717">
                  <c:v>125.69158176485476</c:v>
                </c:pt>
                <c:pt idx="718">
                  <c:v>125.93037129310142</c:v>
                </c:pt>
                <c:pt idx="719">
                  <c:v>125.9306063444521</c:v>
                </c:pt>
                <c:pt idx="720">
                  <c:v>125.93084139211359</c:v>
                </c:pt>
                <c:pt idx="721">
                  <c:v>125.93107643608589</c:v>
                </c:pt>
                <c:pt idx="722">
                  <c:v>125.93131147636905</c:v>
                </c:pt>
                <c:pt idx="723">
                  <c:v>125.93154651296307</c:v>
                </c:pt>
                <c:pt idx="724">
                  <c:v>125.93178154586801</c:v>
                </c:pt>
                <c:pt idx="725">
                  <c:v>125.93201657508386</c:v>
                </c:pt>
                <c:pt idx="726">
                  <c:v>125.93225160061068</c:v>
                </c:pt>
                <c:pt idx="727">
                  <c:v>125.93248662244849</c:v>
                </c:pt>
                <c:pt idx="728">
                  <c:v>125.93272164059731</c:v>
                </c:pt>
                <c:pt idx="729">
                  <c:v>125.93295665505718</c:v>
                </c:pt>
                <c:pt idx="730">
                  <c:v>125.93319166582812</c:v>
                </c:pt>
                <c:pt idx="731">
                  <c:v>125.93342667291016</c:v>
                </c:pt>
                <c:pt idx="732">
                  <c:v>125.93366167630333</c:v>
                </c:pt>
                <c:pt idx="733">
                  <c:v>125.93389667600765</c:v>
                </c:pt>
                <c:pt idx="734">
                  <c:v>125.93413167202314</c:v>
                </c:pt>
                <c:pt idx="735">
                  <c:v>125.93436666434987</c:v>
                </c:pt>
                <c:pt idx="736">
                  <c:v>125.93460165298781</c:v>
                </c:pt>
                <c:pt idx="737">
                  <c:v>125.93483663793704</c:v>
                </c:pt>
                <c:pt idx="738">
                  <c:v>125.93507161919756</c:v>
                </c:pt>
                <c:pt idx="739">
                  <c:v>125.93530659676941</c:v>
                </c:pt>
                <c:pt idx="740">
                  <c:v>125.93554157065259</c:v>
                </c:pt>
                <c:pt idx="741">
                  <c:v>125.93577654084716</c:v>
                </c:pt>
                <c:pt idx="742">
                  <c:v>125.93601150735314</c:v>
                </c:pt>
                <c:pt idx="743">
                  <c:v>125.93624647017056</c:v>
                </c:pt>
                <c:pt idx="744">
                  <c:v>125.93648142929945</c:v>
                </c:pt>
                <c:pt idx="745">
                  <c:v>125.93671638473981</c:v>
                </c:pt>
                <c:pt idx="746">
                  <c:v>125.9369513364917</c:v>
                </c:pt>
                <c:pt idx="747">
                  <c:v>125.93718628455515</c:v>
                </c:pt>
                <c:pt idx="748">
                  <c:v>125.93742122893016</c:v>
                </c:pt>
                <c:pt idx="749">
                  <c:v>125.9376561696168</c:v>
                </c:pt>
                <c:pt idx="750">
                  <c:v>125.93789110661506</c:v>
                </c:pt>
                <c:pt idx="751">
                  <c:v>125.93812603992498</c:v>
                </c:pt>
                <c:pt idx="752">
                  <c:v>125.93836096954658</c:v>
                </c:pt>
                <c:pt idx="753">
                  <c:v>125.93859589547989</c:v>
                </c:pt>
                <c:pt idx="754">
                  <c:v>125.93883081772495</c:v>
                </c:pt>
                <c:pt idx="755">
                  <c:v>125.93906573628179</c:v>
                </c:pt>
                <c:pt idx="756">
                  <c:v>125.93930065115042</c:v>
                </c:pt>
                <c:pt idx="757">
                  <c:v>125.93953556233089</c:v>
                </c:pt>
                <c:pt idx="758">
                  <c:v>125.9397704698232</c:v>
                </c:pt>
                <c:pt idx="759">
                  <c:v>125.94000537362741</c:v>
                </c:pt>
                <c:pt idx="760">
                  <c:v>125.94024027374353</c:v>
                </c:pt>
                <c:pt idx="761">
                  <c:v>125.94047517017158</c:v>
                </c:pt>
                <c:pt idx="762">
                  <c:v>125.94071006291162</c:v>
                </c:pt>
                <c:pt idx="763">
                  <c:v>125.94094495196364</c:v>
                </c:pt>
                <c:pt idx="764">
                  <c:v>125.9411798373277</c:v>
                </c:pt>
                <c:pt idx="765">
                  <c:v>125.9414147190038</c:v>
                </c:pt>
                <c:pt idx="766">
                  <c:v>125.94164959699198</c:v>
                </c:pt>
                <c:pt idx="767">
                  <c:v>125.94188447129227</c:v>
                </c:pt>
                <c:pt idx="768">
                  <c:v>125.94211934190471</c:v>
                </c:pt>
                <c:pt idx="769">
                  <c:v>125.94235420882931</c:v>
                </c:pt>
                <c:pt idx="770">
                  <c:v>125.94258907206611</c:v>
                </c:pt>
                <c:pt idx="771">
                  <c:v>125.94282393161514</c:v>
                </c:pt>
                <c:pt idx="772">
                  <c:v>125.9430587874764</c:v>
                </c:pt>
                <c:pt idx="773">
                  <c:v>125.94329363964994</c:v>
                </c:pt>
                <c:pt idx="774">
                  <c:v>125.94352848813577</c:v>
                </c:pt>
                <c:pt idx="775">
                  <c:v>125.94376333293395</c:v>
                </c:pt>
                <c:pt idx="776">
                  <c:v>125.94399817404451</c:v>
                </c:pt>
                <c:pt idx="777">
                  <c:v>125.94423301146743</c:v>
                </c:pt>
                <c:pt idx="778">
                  <c:v>125.94446784520279</c:v>
                </c:pt>
                <c:pt idx="779">
                  <c:v>125.94470267525058</c:v>
                </c:pt>
                <c:pt idx="780">
                  <c:v>125.94493750161087</c:v>
                </c:pt>
                <c:pt idx="781">
                  <c:v>125.94517232428363</c:v>
                </c:pt>
                <c:pt idx="782">
                  <c:v>125.94540714326894</c:v>
                </c:pt>
                <c:pt idx="783">
                  <c:v>125.9456419585668</c:v>
                </c:pt>
                <c:pt idx="784">
                  <c:v>125.94587677017725</c:v>
                </c:pt>
                <c:pt idx="785">
                  <c:v>125.94611157810031</c:v>
                </c:pt>
                <c:pt idx="786">
                  <c:v>125.94634638233602</c:v>
                </c:pt>
                <c:pt idx="787">
                  <c:v>125.94658118288437</c:v>
                </c:pt>
                <c:pt idx="788">
                  <c:v>125.94681597974545</c:v>
                </c:pt>
                <c:pt idx="789">
                  <c:v>125.94705077291925</c:v>
                </c:pt>
                <c:pt idx="790">
                  <c:v>125.9472855624058</c:v>
                </c:pt>
                <c:pt idx="791">
                  <c:v>125.94752034820515</c:v>
                </c:pt>
                <c:pt idx="792">
                  <c:v>125.94775513031729</c:v>
                </c:pt>
                <c:pt idx="793">
                  <c:v>125.94798990874227</c:v>
                </c:pt>
                <c:pt idx="794">
                  <c:v>125.94822468348013</c:v>
                </c:pt>
                <c:pt idx="795">
                  <c:v>125.94845945453088</c:v>
                </c:pt>
                <c:pt idx="796">
                  <c:v>125.94869422189454</c:v>
                </c:pt>
                <c:pt idx="797">
                  <c:v>125.94892898557116</c:v>
                </c:pt>
                <c:pt idx="798">
                  <c:v>125.94916374556077</c:v>
                </c:pt>
                <c:pt idx="799">
                  <c:v>125.94939850186337</c:v>
                </c:pt>
                <c:pt idx="800">
                  <c:v>125.94963325447902</c:v>
                </c:pt>
                <c:pt idx="801">
                  <c:v>125.94986800340772</c:v>
                </c:pt>
                <c:pt idx="802">
                  <c:v>125.95010274864953</c:v>
                </c:pt>
                <c:pt idx="803">
                  <c:v>125.95033749020443</c:v>
                </c:pt>
                <c:pt idx="804">
                  <c:v>125.9505722280725</c:v>
                </c:pt>
                <c:pt idx="805">
                  <c:v>125.95080696225374</c:v>
                </c:pt>
                <c:pt idx="806">
                  <c:v>125.95104169274819</c:v>
                </c:pt>
                <c:pt idx="807">
                  <c:v>125.95127641955585</c:v>
                </c:pt>
                <c:pt idx="808">
                  <c:v>125.95151114267679</c:v>
                </c:pt>
                <c:pt idx="809">
                  <c:v>125.95174586211101</c:v>
                </c:pt>
                <c:pt idx="810">
                  <c:v>125.95198057785855</c:v>
                </c:pt>
                <c:pt idx="811">
                  <c:v>125.95221528991944</c:v>
                </c:pt>
                <c:pt idx="812">
                  <c:v>125.95244999829369</c:v>
                </c:pt>
                <c:pt idx="813">
                  <c:v>125.95268470298134</c:v>
                </c:pt>
                <c:pt idx="814">
                  <c:v>125.95291940398241</c:v>
                </c:pt>
                <c:pt idx="815">
                  <c:v>125.95315410129695</c:v>
                </c:pt>
                <c:pt idx="816">
                  <c:v>125.95338879492498</c:v>
                </c:pt>
                <c:pt idx="817">
                  <c:v>125.9536234848665</c:v>
                </c:pt>
                <c:pt idx="818">
                  <c:v>125.95385817112157</c:v>
                </c:pt>
                <c:pt idx="819">
                  <c:v>125.95409285369021</c:v>
                </c:pt>
                <c:pt idx="820">
                  <c:v>125.95432753257245</c:v>
                </c:pt>
                <c:pt idx="821">
                  <c:v>125.95456220776829</c:v>
                </c:pt>
                <c:pt idx="822">
                  <c:v>125.95479687927781</c:v>
                </c:pt>
                <c:pt idx="823">
                  <c:v>125.95503154710102</c:v>
                </c:pt>
                <c:pt idx="824">
                  <c:v>125.95526621123791</c:v>
                </c:pt>
                <c:pt idx="825">
                  <c:v>125.95550087168854</c:v>
                </c:pt>
                <c:pt idx="826">
                  <c:v>125.95573552845295</c:v>
                </c:pt>
                <c:pt idx="827">
                  <c:v>125.95597018153114</c:v>
                </c:pt>
                <c:pt idx="828">
                  <c:v>125.95620483092316</c:v>
                </c:pt>
                <c:pt idx="829">
                  <c:v>125.95643947662901</c:v>
                </c:pt>
                <c:pt idx="830">
                  <c:v>125.95667411864876</c:v>
                </c:pt>
                <c:pt idx="831">
                  <c:v>125.9569087569824</c:v>
                </c:pt>
                <c:pt idx="832">
                  <c:v>125.95714339162998</c:v>
                </c:pt>
                <c:pt idx="833">
                  <c:v>125.95737802259153</c:v>
                </c:pt>
                <c:pt idx="834">
                  <c:v>125.95761264986707</c:v>
                </c:pt>
                <c:pt idx="835">
                  <c:v>125.95784727345661</c:v>
                </c:pt>
                <c:pt idx="836">
                  <c:v>125.9580818933602</c:v>
                </c:pt>
                <c:pt idx="837">
                  <c:v>125.95831650957786</c:v>
                </c:pt>
                <c:pt idx="838">
                  <c:v>125.95855112210963</c:v>
                </c:pt>
                <c:pt idx="839">
                  <c:v>125.95878573095551</c:v>
                </c:pt>
                <c:pt idx="840">
                  <c:v>125.95902033611557</c:v>
                </c:pt>
                <c:pt idx="841">
                  <c:v>125.9592549375898</c:v>
                </c:pt>
                <c:pt idx="842">
                  <c:v>125.95948953537825</c:v>
                </c:pt>
                <c:pt idx="843">
                  <c:v>125.95972412948095</c:v>
                </c:pt>
                <c:pt idx="844">
                  <c:v>125.95995871989791</c:v>
                </c:pt>
                <c:pt idx="845">
                  <c:v>125.96019330662918</c:v>
                </c:pt>
                <c:pt idx="846">
                  <c:v>125.96042788967476</c:v>
                </c:pt>
                <c:pt idx="847">
                  <c:v>125.9606624690347</c:v>
                </c:pt>
                <c:pt idx="848">
                  <c:v>125.96089704470903</c:v>
                </c:pt>
                <c:pt idx="849">
                  <c:v>125.96113161669776</c:v>
                </c:pt>
                <c:pt idx="850">
                  <c:v>125.96136618500093</c:v>
                </c:pt>
                <c:pt idx="851">
                  <c:v>125.96160074961857</c:v>
                </c:pt>
                <c:pt idx="852">
                  <c:v>125.96183531055068</c:v>
                </c:pt>
                <c:pt idx="853">
                  <c:v>125.96206986779733</c:v>
                </c:pt>
                <c:pt idx="854">
                  <c:v>125.96230442135852</c:v>
                </c:pt>
                <c:pt idx="855">
                  <c:v>125.96253897123431</c:v>
                </c:pt>
                <c:pt idx="856">
                  <c:v>125.96277351742471</c:v>
                </c:pt>
                <c:pt idx="857">
                  <c:v>125.96300805992973</c:v>
                </c:pt>
                <c:pt idx="858">
                  <c:v>125.96324259874942</c:v>
                </c:pt>
                <c:pt idx="859">
                  <c:v>125.96347713388379</c:v>
                </c:pt>
                <c:pt idx="860">
                  <c:v>125.96371166533288</c:v>
                </c:pt>
                <c:pt idx="861">
                  <c:v>125.96394619309672</c:v>
                </c:pt>
                <c:pt idx="862">
                  <c:v>125.96418071717534</c:v>
                </c:pt>
                <c:pt idx="863">
                  <c:v>125.96441523756874</c:v>
                </c:pt>
                <c:pt idx="864">
                  <c:v>125.96464975427699</c:v>
                </c:pt>
                <c:pt idx="865">
                  <c:v>125.96488426730009</c:v>
                </c:pt>
                <c:pt idx="866">
                  <c:v>125.96511877663809</c:v>
                </c:pt>
                <c:pt idx="867">
                  <c:v>125.96535328229101</c:v>
                </c:pt>
                <c:pt idx="868">
                  <c:v>125.96558778425884</c:v>
                </c:pt>
                <c:pt idx="869">
                  <c:v>125.96582228254168</c:v>
                </c:pt>
                <c:pt idx="870">
                  <c:v>125.9660567771395</c:v>
                </c:pt>
                <c:pt idx="871">
                  <c:v>125.96629126805234</c:v>
                </c:pt>
                <c:pt idx="872">
                  <c:v>125.96652575528024</c:v>
                </c:pt>
                <c:pt idx="873">
                  <c:v>125.96676023882324</c:v>
                </c:pt>
                <c:pt idx="874">
                  <c:v>125.96699471868133</c:v>
                </c:pt>
                <c:pt idx="875">
                  <c:v>125.96722919485457</c:v>
                </c:pt>
                <c:pt idx="876">
                  <c:v>125.96746366734297</c:v>
                </c:pt>
                <c:pt idx="877">
                  <c:v>125.96769813614657</c:v>
                </c:pt>
                <c:pt idx="878">
                  <c:v>125.96793260126539</c:v>
                </c:pt>
                <c:pt idx="879">
                  <c:v>125.96816706269946</c:v>
                </c:pt>
                <c:pt idx="880">
                  <c:v>125.96840152044882</c:v>
                </c:pt>
                <c:pt idx="881">
                  <c:v>125.96863597451349</c:v>
                </c:pt>
                <c:pt idx="882">
                  <c:v>125.96887042489348</c:v>
                </c:pt>
                <c:pt idx="883">
                  <c:v>125.96910487158885</c:v>
                </c:pt>
                <c:pt idx="884">
                  <c:v>125.96933931459961</c:v>
                </c:pt>
                <c:pt idx="885">
                  <c:v>125.96957375392577</c:v>
                </c:pt>
                <c:pt idx="886">
                  <c:v>125.96980818956739</c:v>
                </c:pt>
                <c:pt idx="887">
                  <c:v>125.9700426215245</c:v>
                </c:pt>
                <c:pt idx="888">
                  <c:v>125.9702770497971</c:v>
                </c:pt>
                <c:pt idx="889">
                  <c:v>125.97051147438523</c:v>
                </c:pt>
                <c:pt idx="890">
                  <c:v>125.97074589528893</c:v>
                </c:pt>
                <c:pt idx="891">
                  <c:v>125.97098031250822</c:v>
                </c:pt>
                <c:pt idx="892">
                  <c:v>125.97121472604312</c:v>
                </c:pt>
                <c:pt idx="893">
                  <c:v>125.97144913589365</c:v>
                </c:pt>
                <c:pt idx="894">
                  <c:v>125.97168354205988</c:v>
                </c:pt>
                <c:pt idx="895">
                  <c:v>125.9719179445418</c:v>
                </c:pt>
                <c:pt idx="896">
                  <c:v>125.97215234333945</c:v>
                </c:pt>
                <c:pt idx="897">
                  <c:v>125.97238673845284</c:v>
                </c:pt>
                <c:pt idx="898">
                  <c:v>125.97262112988203</c:v>
                </c:pt>
                <c:pt idx="899">
                  <c:v>125.97285551762704</c:v>
                </c:pt>
                <c:pt idx="900">
                  <c:v>125.97308990168787</c:v>
                </c:pt>
                <c:pt idx="901">
                  <c:v>125.97332428206458</c:v>
                </c:pt>
                <c:pt idx="902">
                  <c:v>125.9735586587572</c:v>
                </c:pt>
                <c:pt idx="903">
                  <c:v>125.97379303176574</c:v>
                </c:pt>
                <c:pt idx="904">
                  <c:v>125.97402740109023</c:v>
                </c:pt>
                <c:pt idx="905">
                  <c:v>125.97426176673069</c:v>
                </c:pt>
                <c:pt idx="906">
                  <c:v>125.97449612868718</c:v>
                </c:pt>
                <c:pt idx="907">
                  <c:v>125.97473048695969</c:v>
                </c:pt>
                <c:pt idx="908">
                  <c:v>125.97496484154827</c:v>
                </c:pt>
                <c:pt idx="909">
                  <c:v>125.97519919245295</c:v>
                </c:pt>
                <c:pt idx="910">
                  <c:v>125.97543353967374</c:v>
                </c:pt>
                <c:pt idx="911">
                  <c:v>125.97566788321069</c:v>
                </c:pt>
                <c:pt idx="912">
                  <c:v>125.97590222306381</c:v>
                </c:pt>
                <c:pt idx="913">
                  <c:v>125.97613655923314</c:v>
                </c:pt>
                <c:pt idx="914">
                  <c:v>125.9763708917187</c:v>
                </c:pt>
                <c:pt idx="915">
                  <c:v>125.97660522052053</c:v>
                </c:pt>
                <c:pt idx="916">
                  <c:v>125.97683954563864</c:v>
                </c:pt>
                <c:pt idx="917">
                  <c:v>125.97707386707309</c:v>
                </c:pt>
                <c:pt idx="918">
                  <c:v>125.97730818482387</c:v>
                </c:pt>
                <c:pt idx="919">
                  <c:v>125.97754249889101</c:v>
                </c:pt>
                <c:pt idx="920">
                  <c:v>125.97777680927456</c:v>
                </c:pt>
                <c:pt idx="921">
                  <c:v>125.97801111597454</c:v>
                </c:pt>
                <c:pt idx="922">
                  <c:v>125.97824541899099</c:v>
                </c:pt>
                <c:pt idx="923">
                  <c:v>125.97847971832392</c:v>
                </c:pt>
                <c:pt idx="924">
                  <c:v>125.97871401397336</c:v>
                </c:pt>
                <c:pt idx="925">
                  <c:v>125.97894830593935</c:v>
                </c:pt>
                <c:pt idx="926">
                  <c:v>125.97918259422191</c:v>
                </c:pt>
                <c:pt idx="927">
                  <c:v>125.97941687882107</c:v>
                </c:pt>
                <c:pt idx="928">
                  <c:v>125.97965115973685</c:v>
                </c:pt>
                <c:pt idx="929">
                  <c:v>125.97988543696928</c:v>
                </c:pt>
                <c:pt idx="930">
                  <c:v>125.98011971051841</c:v>
                </c:pt>
                <c:pt idx="931">
                  <c:v>125.98035398038424</c:v>
                </c:pt>
                <c:pt idx="932">
                  <c:v>125.98058824656681</c:v>
                </c:pt>
                <c:pt idx="933">
                  <c:v>125.98082250906614</c:v>
                </c:pt>
                <c:pt idx="934">
                  <c:v>125.98105676788228</c:v>
                </c:pt>
                <c:pt idx="935">
                  <c:v>125.98129102301523</c:v>
                </c:pt>
                <c:pt idx="936">
                  <c:v>125.98152527446503</c:v>
                </c:pt>
                <c:pt idx="937">
                  <c:v>125.98175952223171</c:v>
                </c:pt>
                <c:pt idx="938">
                  <c:v>125.98199376631531</c:v>
                </c:pt>
                <c:pt idx="939">
                  <c:v>125.98222800671584</c:v>
                </c:pt>
                <c:pt idx="940">
                  <c:v>125.98246224343333</c:v>
                </c:pt>
                <c:pt idx="941">
                  <c:v>125.98269647646781</c:v>
                </c:pt>
                <c:pt idx="942">
                  <c:v>125.98293070581931</c:v>
                </c:pt>
                <c:pt idx="943">
                  <c:v>125.98316493148786</c:v>
                </c:pt>
                <c:pt idx="944">
                  <c:v>125.9833991534735</c:v>
                </c:pt>
                <c:pt idx="945">
                  <c:v>125.98363337177622</c:v>
                </c:pt>
                <c:pt idx="946">
                  <c:v>125.98386758639609</c:v>
                </c:pt>
                <c:pt idx="947">
                  <c:v>125.9841017973331</c:v>
                </c:pt>
                <c:pt idx="948">
                  <c:v>125.98433600458732</c:v>
                </c:pt>
                <c:pt idx="949">
                  <c:v>125.98457020815874</c:v>
                </c:pt>
                <c:pt idx="950">
                  <c:v>125.98480440804742</c:v>
                </c:pt>
                <c:pt idx="951">
                  <c:v>125.98503860425336</c:v>
                </c:pt>
                <c:pt idx="952">
                  <c:v>125.9852727967766</c:v>
                </c:pt>
                <c:pt idx="953">
                  <c:v>125.98550698561718</c:v>
                </c:pt>
                <c:pt idx="954">
                  <c:v>125.9857411707751</c:v>
                </c:pt>
                <c:pt idx="955">
                  <c:v>125.98597535225042</c:v>
                </c:pt>
                <c:pt idx="956">
                  <c:v>125.98620953004314</c:v>
                </c:pt>
                <c:pt idx="957">
                  <c:v>125.9864437041533</c:v>
                </c:pt>
                <c:pt idx="958">
                  <c:v>125.98667787458093</c:v>
                </c:pt>
                <c:pt idx="959">
                  <c:v>125.98691204132606</c:v>
                </c:pt>
                <c:pt idx="960">
                  <c:v>125.98714620438872</c:v>
                </c:pt>
                <c:pt idx="961">
                  <c:v>125.98738036376892</c:v>
                </c:pt>
                <c:pt idx="962">
                  <c:v>125.9876145194667</c:v>
                </c:pt>
                <c:pt idx="963">
                  <c:v>125.9878486714821</c:v>
                </c:pt>
                <c:pt idx="964">
                  <c:v>125.98808281981515</c:v>
                </c:pt>
                <c:pt idx="965">
                  <c:v>125.98831696446584</c:v>
                </c:pt>
                <c:pt idx="966">
                  <c:v>125.98855110543424</c:v>
                </c:pt>
                <c:pt idx="967">
                  <c:v>125.98878524272035</c:v>
                </c:pt>
                <c:pt idx="968">
                  <c:v>125.98901937632422</c:v>
                </c:pt>
                <c:pt idx="969">
                  <c:v>125.98925350624586</c:v>
                </c:pt>
                <c:pt idx="970">
                  <c:v>125.98948763248531</c:v>
                </c:pt>
                <c:pt idx="971">
                  <c:v>125.98972175504259</c:v>
                </c:pt>
                <c:pt idx="972">
                  <c:v>125.98995587391774</c:v>
                </c:pt>
                <c:pt idx="973">
                  <c:v>125.99018998911076</c:v>
                </c:pt>
                <c:pt idx="974">
                  <c:v>125.99042410062169</c:v>
                </c:pt>
                <c:pt idx="975">
                  <c:v>125.9906582084506</c:v>
                </c:pt>
                <c:pt idx="976">
                  <c:v>125.99089231259745</c:v>
                </c:pt>
                <c:pt idx="977">
                  <c:v>125.99112641306233</c:v>
                </c:pt>
                <c:pt idx="978">
                  <c:v>125.99136050984522</c:v>
                </c:pt>
                <c:pt idx="979">
                  <c:v>125.99159460294618</c:v>
                </c:pt>
                <c:pt idx="980">
                  <c:v>125.99182869236522</c:v>
                </c:pt>
                <c:pt idx="981">
                  <c:v>125.99206277810238</c:v>
                </c:pt>
                <c:pt idx="982">
                  <c:v>125.99229686015768</c:v>
                </c:pt>
                <c:pt idx="983">
                  <c:v>125.99253093853115</c:v>
                </c:pt>
                <c:pt idx="984">
                  <c:v>125.99276501322282</c:v>
                </c:pt>
                <c:pt idx="985">
                  <c:v>125.99299908423271</c:v>
                </c:pt>
                <c:pt idx="986">
                  <c:v>125.99323315156086</c:v>
                </c:pt>
                <c:pt idx="987">
                  <c:v>125.99346721520729</c:v>
                </c:pt>
                <c:pt idx="988">
                  <c:v>125.99370127517203</c:v>
                </c:pt>
                <c:pt idx="989">
                  <c:v>125.99393533145512</c:v>
                </c:pt>
                <c:pt idx="990">
                  <c:v>125.99416938405656</c:v>
                </c:pt>
                <c:pt idx="991">
                  <c:v>125.9944034329764</c:v>
                </c:pt>
                <c:pt idx="992">
                  <c:v>125.99463747821467</c:v>
                </c:pt>
                <c:pt idx="993">
                  <c:v>125.99487151977138</c:v>
                </c:pt>
                <c:pt idx="994">
                  <c:v>125.99510555764657</c:v>
                </c:pt>
                <c:pt idx="995">
                  <c:v>125.99533959184026</c:v>
                </c:pt>
                <c:pt idx="996">
                  <c:v>125.99557362235251</c:v>
                </c:pt>
                <c:pt idx="997">
                  <c:v>125.99580764918332</c:v>
                </c:pt>
                <c:pt idx="998">
                  <c:v>125.99604167233271</c:v>
                </c:pt>
                <c:pt idx="999">
                  <c:v>125.9962756918007</c:v>
                </c:pt>
                <c:pt idx="1000">
                  <c:v>125.99650970758736</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35.800100000000199</c:v>
                </c:pt>
                <c:pt idx="720">
                  <c:v>35.800200000000203</c:v>
                </c:pt>
                <c:pt idx="721">
                  <c:v>35.800300000000206</c:v>
                </c:pt>
                <c:pt idx="722">
                  <c:v>35.800400000000209</c:v>
                </c:pt>
                <c:pt idx="723">
                  <c:v>35.800500000000213</c:v>
                </c:pt>
                <c:pt idx="724">
                  <c:v>35.800600000000216</c:v>
                </c:pt>
                <c:pt idx="725">
                  <c:v>35.800700000000219</c:v>
                </c:pt>
                <c:pt idx="726">
                  <c:v>35.800800000000223</c:v>
                </c:pt>
                <c:pt idx="727">
                  <c:v>35.800900000000226</c:v>
                </c:pt>
                <c:pt idx="728">
                  <c:v>35.801000000000229</c:v>
                </c:pt>
                <c:pt idx="729">
                  <c:v>35.801100000000233</c:v>
                </c:pt>
                <c:pt idx="730">
                  <c:v>35.801200000000236</c:v>
                </c:pt>
                <c:pt idx="731">
                  <c:v>35.801300000000239</c:v>
                </c:pt>
                <c:pt idx="732">
                  <c:v>35.801400000000243</c:v>
                </c:pt>
                <c:pt idx="733">
                  <c:v>35.801500000000246</c:v>
                </c:pt>
                <c:pt idx="734">
                  <c:v>35.801600000000249</c:v>
                </c:pt>
                <c:pt idx="735">
                  <c:v>35.801700000000253</c:v>
                </c:pt>
                <c:pt idx="736">
                  <c:v>35.801800000000256</c:v>
                </c:pt>
                <c:pt idx="737">
                  <c:v>35.801900000000259</c:v>
                </c:pt>
                <c:pt idx="738">
                  <c:v>35.802000000000263</c:v>
                </c:pt>
                <c:pt idx="739">
                  <c:v>35.802100000000266</c:v>
                </c:pt>
                <c:pt idx="740">
                  <c:v>35.802200000000269</c:v>
                </c:pt>
                <c:pt idx="741">
                  <c:v>35.802300000000272</c:v>
                </c:pt>
                <c:pt idx="742">
                  <c:v>35.802400000000276</c:v>
                </c:pt>
                <c:pt idx="743">
                  <c:v>35.802500000000279</c:v>
                </c:pt>
                <c:pt idx="744">
                  <c:v>35.802600000000282</c:v>
                </c:pt>
                <c:pt idx="745">
                  <c:v>35.802700000000286</c:v>
                </c:pt>
                <c:pt idx="746">
                  <c:v>35.802800000000289</c:v>
                </c:pt>
                <c:pt idx="747">
                  <c:v>35.802900000000292</c:v>
                </c:pt>
                <c:pt idx="748">
                  <c:v>35.803000000000296</c:v>
                </c:pt>
                <c:pt idx="749">
                  <c:v>35.803100000000299</c:v>
                </c:pt>
                <c:pt idx="750">
                  <c:v>35.803200000000302</c:v>
                </c:pt>
                <c:pt idx="751">
                  <c:v>35.803300000000306</c:v>
                </c:pt>
                <c:pt idx="752">
                  <c:v>35.803400000000309</c:v>
                </c:pt>
                <c:pt idx="753">
                  <c:v>35.803500000000312</c:v>
                </c:pt>
                <c:pt idx="754">
                  <c:v>35.803600000000316</c:v>
                </c:pt>
                <c:pt idx="755">
                  <c:v>35.803700000000319</c:v>
                </c:pt>
                <c:pt idx="756">
                  <c:v>35.803800000000322</c:v>
                </c:pt>
                <c:pt idx="757">
                  <c:v>35.803900000000326</c:v>
                </c:pt>
                <c:pt idx="758">
                  <c:v>35.804000000000329</c:v>
                </c:pt>
                <c:pt idx="759">
                  <c:v>35.804100000000332</c:v>
                </c:pt>
                <c:pt idx="760">
                  <c:v>35.804200000000336</c:v>
                </c:pt>
                <c:pt idx="761">
                  <c:v>35.804300000000339</c:v>
                </c:pt>
                <c:pt idx="762">
                  <c:v>35.804400000000342</c:v>
                </c:pt>
                <c:pt idx="763">
                  <c:v>35.804500000000345</c:v>
                </c:pt>
                <c:pt idx="764">
                  <c:v>35.804600000000349</c:v>
                </c:pt>
                <c:pt idx="765">
                  <c:v>35.804700000000352</c:v>
                </c:pt>
                <c:pt idx="766">
                  <c:v>35.804800000000355</c:v>
                </c:pt>
                <c:pt idx="767">
                  <c:v>35.804900000000359</c:v>
                </c:pt>
                <c:pt idx="768">
                  <c:v>35.805000000000362</c:v>
                </c:pt>
                <c:pt idx="769">
                  <c:v>35.805100000000365</c:v>
                </c:pt>
                <c:pt idx="770">
                  <c:v>35.805200000000369</c:v>
                </c:pt>
                <c:pt idx="771">
                  <c:v>35.805300000000372</c:v>
                </c:pt>
                <c:pt idx="772">
                  <c:v>35.805400000000375</c:v>
                </c:pt>
                <c:pt idx="773">
                  <c:v>35.805500000000379</c:v>
                </c:pt>
                <c:pt idx="774">
                  <c:v>35.805600000000382</c:v>
                </c:pt>
                <c:pt idx="775">
                  <c:v>35.805700000000385</c:v>
                </c:pt>
                <c:pt idx="776">
                  <c:v>35.805800000000389</c:v>
                </c:pt>
                <c:pt idx="777">
                  <c:v>35.805900000000392</c:v>
                </c:pt>
                <c:pt idx="778">
                  <c:v>35.806000000000395</c:v>
                </c:pt>
                <c:pt idx="779">
                  <c:v>35.806100000000399</c:v>
                </c:pt>
                <c:pt idx="780">
                  <c:v>35.806200000000402</c:v>
                </c:pt>
                <c:pt idx="781">
                  <c:v>35.806300000000405</c:v>
                </c:pt>
                <c:pt idx="782">
                  <c:v>35.806400000000409</c:v>
                </c:pt>
                <c:pt idx="783">
                  <c:v>35.806500000000412</c:v>
                </c:pt>
                <c:pt idx="784">
                  <c:v>35.806600000000415</c:v>
                </c:pt>
                <c:pt idx="785">
                  <c:v>35.806700000000419</c:v>
                </c:pt>
                <c:pt idx="786">
                  <c:v>35.806800000000422</c:v>
                </c:pt>
                <c:pt idx="787">
                  <c:v>35.806900000000425</c:v>
                </c:pt>
                <c:pt idx="788">
                  <c:v>35.807000000000428</c:v>
                </c:pt>
                <c:pt idx="789">
                  <c:v>35.807100000000432</c:v>
                </c:pt>
                <c:pt idx="790">
                  <c:v>35.807200000000435</c:v>
                </c:pt>
                <c:pt idx="791">
                  <c:v>35.807300000000438</c:v>
                </c:pt>
                <c:pt idx="792">
                  <c:v>35.807400000000442</c:v>
                </c:pt>
                <c:pt idx="793">
                  <c:v>35.807500000000445</c:v>
                </c:pt>
                <c:pt idx="794">
                  <c:v>35.807600000000448</c:v>
                </c:pt>
                <c:pt idx="795">
                  <c:v>35.807700000000452</c:v>
                </c:pt>
                <c:pt idx="796">
                  <c:v>35.807800000000455</c:v>
                </c:pt>
                <c:pt idx="797">
                  <c:v>35.807900000000458</c:v>
                </c:pt>
                <c:pt idx="798">
                  <c:v>35.808000000000462</c:v>
                </c:pt>
                <c:pt idx="799">
                  <c:v>35.808100000000465</c:v>
                </c:pt>
                <c:pt idx="800">
                  <c:v>35.808200000000468</c:v>
                </c:pt>
                <c:pt idx="801">
                  <c:v>35.808300000000472</c:v>
                </c:pt>
                <c:pt idx="802">
                  <c:v>35.808400000000475</c:v>
                </c:pt>
                <c:pt idx="803">
                  <c:v>35.808500000000478</c:v>
                </c:pt>
                <c:pt idx="804">
                  <c:v>35.808600000000482</c:v>
                </c:pt>
                <c:pt idx="805">
                  <c:v>35.808700000000485</c:v>
                </c:pt>
                <c:pt idx="806">
                  <c:v>35.808800000000488</c:v>
                </c:pt>
                <c:pt idx="807">
                  <c:v>35.808900000000492</c:v>
                </c:pt>
                <c:pt idx="808">
                  <c:v>35.809000000000495</c:v>
                </c:pt>
                <c:pt idx="809">
                  <c:v>35.809100000000498</c:v>
                </c:pt>
                <c:pt idx="810">
                  <c:v>35.809200000000502</c:v>
                </c:pt>
                <c:pt idx="811">
                  <c:v>35.809300000000505</c:v>
                </c:pt>
                <c:pt idx="812">
                  <c:v>35.809400000000508</c:v>
                </c:pt>
                <c:pt idx="813">
                  <c:v>35.809500000000511</c:v>
                </c:pt>
                <c:pt idx="814">
                  <c:v>35.809600000000515</c:v>
                </c:pt>
                <c:pt idx="815">
                  <c:v>35.809700000000518</c:v>
                </c:pt>
                <c:pt idx="816">
                  <c:v>35.809800000000521</c:v>
                </c:pt>
                <c:pt idx="817">
                  <c:v>35.809900000000525</c:v>
                </c:pt>
                <c:pt idx="818">
                  <c:v>35.810000000000528</c:v>
                </c:pt>
                <c:pt idx="819">
                  <c:v>35.810100000000531</c:v>
                </c:pt>
                <c:pt idx="820">
                  <c:v>35.810200000000535</c:v>
                </c:pt>
                <c:pt idx="821">
                  <c:v>35.810300000000538</c:v>
                </c:pt>
                <c:pt idx="822">
                  <c:v>35.810400000000541</c:v>
                </c:pt>
                <c:pt idx="823">
                  <c:v>35.810500000000545</c:v>
                </c:pt>
                <c:pt idx="824">
                  <c:v>35.810600000000548</c:v>
                </c:pt>
                <c:pt idx="825">
                  <c:v>35.810700000000551</c:v>
                </c:pt>
                <c:pt idx="826">
                  <c:v>35.810800000000555</c:v>
                </c:pt>
                <c:pt idx="827">
                  <c:v>35.810900000000558</c:v>
                </c:pt>
                <c:pt idx="828">
                  <c:v>35.811000000000561</c:v>
                </c:pt>
                <c:pt idx="829">
                  <c:v>35.811100000000565</c:v>
                </c:pt>
                <c:pt idx="830">
                  <c:v>35.811200000000568</c:v>
                </c:pt>
                <c:pt idx="831">
                  <c:v>35.811300000000571</c:v>
                </c:pt>
                <c:pt idx="832">
                  <c:v>35.811400000000575</c:v>
                </c:pt>
                <c:pt idx="833">
                  <c:v>35.811500000000578</c:v>
                </c:pt>
                <c:pt idx="834">
                  <c:v>35.811600000000581</c:v>
                </c:pt>
                <c:pt idx="835">
                  <c:v>35.811700000000585</c:v>
                </c:pt>
                <c:pt idx="836">
                  <c:v>35.811800000000588</c:v>
                </c:pt>
                <c:pt idx="837">
                  <c:v>35.811900000000591</c:v>
                </c:pt>
                <c:pt idx="838">
                  <c:v>35.812000000000594</c:v>
                </c:pt>
                <c:pt idx="839">
                  <c:v>35.812100000000598</c:v>
                </c:pt>
                <c:pt idx="840">
                  <c:v>35.812200000000601</c:v>
                </c:pt>
                <c:pt idx="841">
                  <c:v>35.812300000000604</c:v>
                </c:pt>
                <c:pt idx="842">
                  <c:v>35.812400000000608</c:v>
                </c:pt>
                <c:pt idx="843">
                  <c:v>35.812500000000611</c:v>
                </c:pt>
                <c:pt idx="844">
                  <c:v>35.812600000000614</c:v>
                </c:pt>
                <c:pt idx="845">
                  <c:v>35.812700000000618</c:v>
                </c:pt>
                <c:pt idx="846">
                  <c:v>35.812800000000621</c:v>
                </c:pt>
                <c:pt idx="847">
                  <c:v>35.812900000000624</c:v>
                </c:pt>
                <c:pt idx="848">
                  <c:v>35.813000000000628</c:v>
                </c:pt>
                <c:pt idx="849">
                  <c:v>35.813100000000631</c:v>
                </c:pt>
                <c:pt idx="850">
                  <c:v>35.813200000000634</c:v>
                </c:pt>
                <c:pt idx="851">
                  <c:v>35.813300000000638</c:v>
                </c:pt>
                <c:pt idx="852">
                  <c:v>35.813400000000641</c:v>
                </c:pt>
                <c:pt idx="853">
                  <c:v>35.813500000000644</c:v>
                </c:pt>
                <c:pt idx="854">
                  <c:v>35.813600000000648</c:v>
                </c:pt>
                <c:pt idx="855">
                  <c:v>35.813700000000651</c:v>
                </c:pt>
                <c:pt idx="856">
                  <c:v>35.813800000000654</c:v>
                </c:pt>
                <c:pt idx="857">
                  <c:v>35.813900000000658</c:v>
                </c:pt>
                <c:pt idx="858">
                  <c:v>35.814000000000661</c:v>
                </c:pt>
                <c:pt idx="859">
                  <c:v>35.814100000000664</c:v>
                </c:pt>
                <c:pt idx="860">
                  <c:v>35.814200000000668</c:v>
                </c:pt>
                <c:pt idx="861">
                  <c:v>35.814300000000671</c:v>
                </c:pt>
                <c:pt idx="862">
                  <c:v>35.814400000000674</c:v>
                </c:pt>
                <c:pt idx="863">
                  <c:v>35.814500000000677</c:v>
                </c:pt>
                <c:pt idx="864">
                  <c:v>35.814600000000681</c:v>
                </c:pt>
                <c:pt idx="865">
                  <c:v>35.814700000000684</c:v>
                </c:pt>
                <c:pt idx="866">
                  <c:v>35.814800000000687</c:v>
                </c:pt>
                <c:pt idx="867">
                  <c:v>35.814900000000691</c:v>
                </c:pt>
                <c:pt idx="868">
                  <c:v>35.815000000000694</c:v>
                </c:pt>
                <c:pt idx="869">
                  <c:v>35.815100000000697</c:v>
                </c:pt>
                <c:pt idx="870">
                  <c:v>35.815200000000701</c:v>
                </c:pt>
                <c:pt idx="871">
                  <c:v>35.815300000000704</c:v>
                </c:pt>
                <c:pt idx="872">
                  <c:v>35.815400000000707</c:v>
                </c:pt>
                <c:pt idx="873">
                  <c:v>35.815500000000711</c:v>
                </c:pt>
                <c:pt idx="874">
                  <c:v>35.815600000000714</c:v>
                </c:pt>
                <c:pt idx="875">
                  <c:v>35.815700000000717</c:v>
                </c:pt>
                <c:pt idx="876">
                  <c:v>35.815800000000721</c:v>
                </c:pt>
                <c:pt idx="877">
                  <c:v>35.815900000000724</c:v>
                </c:pt>
                <c:pt idx="878">
                  <c:v>35.816000000000727</c:v>
                </c:pt>
                <c:pt idx="879">
                  <c:v>35.816100000000731</c:v>
                </c:pt>
                <c:pt idx="880">
                  <c:v>35.816200000000734</c:v>
                </c:pt>
                <c:pt idx="881">
                  <c:v>35.816300000000737</c:v>
                </c:pt>
                <c:pt idx="882">
                  <c:v>35.816400000000741</c:v>
                </c:pt>
                <c:pt idx="883">
                  <c:v>35.816500000000744</c:v>
                </c:pt>
                <c:pt idx="884">
                  <c:v>35.816600000000747</c:v>
                </c:pt>
                <c:pt idx="885">
                  <c:v>35.81670000000075</c:v>
                </c:pt>
                <c:pt idx="886">
                  <c:v>35.816800000000754</c:v>
                </c:pt>
                <c:pt idx="887">
                  <c:v>35.816900000000757</c:v>
                </c:pt>
                <c:pt idx="888">
                  <c:v>35.81700000000076</c:v>
                </c:pt>
                <c:pt idx="889">
                  <c:v>35.817100000000764</c:v>
                </c:pt>
                <c:pt idx="890">
                  <c:v>35.817200000000767</c:v>
                </c:pt>
                <c:pt idx="891">
                  <c:v>35.81730000000077</c:v>
                </c:pt>
                <c:pt idx="892">
                  <c:v>35.817400000000774</c:v>
                </c:pt>
                <c:pt idx="893">
                  <c:v>35.817500000000777</c:v>
                </c:pt>
                <c:pt idx="894">
                  <c:v>35.81760000000078</c:v>
                </c:pt>
                <c:pt idx="895">
                  <c:v>35.817700000000784</c:v>
                </c:pt>
                <c:pt idx="896">
                  <c:v>35.817800000000787</c:v>
                </c:pt>
                <c:pt idx="897">
                  <c:v>35.81790000000079</c:v>
                </c:pt>
                <c:pt idx="898">
                  <c:v>35.818000000000794</c:v>
                </c:pt>
                <c:pt idx="899">
                  <c:v>35.818100000000797</c:v>
                </c:pt>
                <c:pt idx="900">
                  <c:v>35.8182000000008</c:v>
                </c:pt>
                <c:pt idx="901">
                  <c:v>35.818300000000804</c:v>
                </c:pt>
                <c:pt idx="902">
                  <c:v>35.818400000000807</c:v>
                </c:pt>
                <c:pt idx="903">
                  <c:v>35.81850000000081</c:v>
                </c:pt>
                <c:pt idx="904">
                  <c:v>35.818600000000814</c:v>
                </c:pt>
                <c:pt idx="905">
                  <c:v>35.818700000000817</c:v>
                </c:pt>
                <c:pt idx="906">
                  <c:v>35.81880000000082</c:v>
                </c:pt>
                <c:pt idx="907">
                  <c:v>35.818900000000824</c:v>
                </c:pt>
                <c:pt idx="908">
                  <c:v>35.819000000000827</c:v>
                </c:pt>
                <c:pt idx="909">
                  <c:v>35.81910000000083</c:v>
                </c:pt>
                <c:pt idx="910">
                  <c:v>35.819200000000833</c:v>
                </c:pt>
                <c:pt idx="911">
                  <c:v>35.819300000000837</c:v>
                </c:pt>
                <c:pt idx="912">
                  <c:v>35.81940000000084</c:v>
                </c:pt>
                <c:pt idx="913">
                  <c:v>35.819500000000843</c:v>
                </c:pt>
                <c:pt idx="914">
                  <c:v>35.819600000000847</c:v>
                </c:pt>
                <c:pt idx="915">
                  <c:v>35.81970000000085</c:v>
                </c:pt>
                <c:pt idx="916">
                  <c:v>35.819800000000853</c:v>
                </c:pt>
                <c:pt idx="917">
                  <c:v>35.819900000000857</c:v>
                </c:pt>
                <c:pt idx="918">
                  <c:v>35.82000000000086</c:v>
                </c:pt>
                <c:pt idx="919">
                  <c:v>35.820100000000863</c:v>
                </c:pt>
                <c:pt idx="920">
                  <c:v>35.820200000000867</c:v>
                </c:pt>
                <c:pt idx="921">
                  <c:v>35.82030000000087</c:v>
                </c:pt>
                <c:pt idx="922">
                  <c:v>35.820400000000873</c:v>
                </c:pt>
                <c:pt idx="923">
                  <c:v>35.820500000000877</c:v>
                </c:pt>
                <c:pt idx="924">
                  <c:v>35.82060000000088</c:v>
                </c:pt>
                <c:pt idx="925">
                  <c:v>35.820700000000883</c:v>
                </c:pt>
                <c:pt idx="926">
                  <c:v>35.820800000000887</c:v>
                </c:pt>
                <c:pt idx="927">
                  <c:v>35.82090000000089</c:v>
                </c:pt>
                <c:pt idx="928">
                  <c:v>35.821000000000893</c:v>
                </c:pt>
                <c:pt idx="929">
                  <c:v>35.821100000000897</c:v>
                </c:pt>
                <c:pt idx="930">
                  <c:v>35.8212000000009</c:v>
                </c:pt>
                <c:pt idx="931">
                  <c:v>35.821300000000903</c:v>
                </c:pt>
                <c:pt idx="932">
                  <c:v>35.821400000000907</c:v>
                </c:pt>
                <c:pt idx="933">
                  <c:v>35.82150000000091</c:v>
                </c:pt>
                <c:pt idx="934">
                  <c:v>35.821600000000913</c:v>
                </c:pt>
                <c:pt idx="935">
                  <c:v>35.821700000000916</c:v>
                </c:pt>
                <c:pt idx="936">
                  <c:v>35.82180000000092</c:v>
                </c:pt>
                <c:pt idx="937">
                  <c:v>35.821900000000923</c:v>
                </c:pt>
                <c:pt idx="938">
                  <c:v>35.822000000000926</c:v>
                </c:pt>
                <c:pt idx="939">
                  <c:v>35.82210000000093</c:v>
                </c:pt>
                <c:pt idx="940">
                  <c:v>35.822200000000933</c:v>
                </c:pt>
                <c:pt idx="941">
                  <c:v>35.822300000000936</c:v>
                </c:pt>
                <c:pt idx="942">
                  <c:v>35.82240000000094</c:v>
                </c:pt>
                <c:pt idx="943">
                  <c:v>35.822500000000943</c:v>
                </c:pt>
                <c:pt idx="944">
                  <c:v>35.822600000000946</c:v>
                </c:pt>
                <c:pt idx="945">
                  <c:v>35.82270000000095</c:v>
                </c:pt>
                <c:pt idx="946">
                  <c:v>35.822800000000953</c:v>
                </c:pt>
                <c:pt idx="947">
                  <c:v>35.822900000000956</c:v>
                </c:pt>
                <c:pt idx="948">
                  <c:v>35.82300000000096</c:v>
                </c:pt>
                <c:pt idx="949">
                  <c:v>35.823100000000963</c:v>
                </c:pt>
                <c:pt idx="950">
                  <c:v>35.823200000000966</c:v>
                </c:pt>
                <c:pt idx="951">
                  <c:v>35.82330000000097</c:v>
                </c:pt>
                <c:pt idx="952">
                  <c:v>35.823400000000973</c:v>
                </c:pt>
                <c:pt idx="953">
                  <c:v>35.823500000000976</c:v>
                </c:pt>
                <c:pt idx="954">
                  <c:v>35.82360000000098</c:v>
                </c:pt>
                <c:pt idx="955">
                  <c:v>35.823700000000983</c:v>
                </c:pt>
                <c:pt idx="956">
                  <c:v>35.823800000000986</c:v>
                </c:pt>
                <c:pt idx="957">
                  <c:v>35.82390000000099</c:v>
                </c:pt>
                <c:pt idx="958">
                  <c:v>35.824000000000993</c:v>
                </c:pt>
                <c:pt idx="959">
                  <c:v>35.824100000000996</c:v>
                </c:pt>
                <c:pt idx="960">
                  <c:v>35.824200000000999</c:v>
                </c:pt>
                <c:pt idx="961">
                  <c:v>35.824300000001003</c:v>
                </c:pt>
                <c:pt idx="962">
                  <c:v>35.824400000001006</c:v>
                </c:pt>
                <c:pt idx="963">
                  <c:v>35.824500000001009</c:v>
                </c:pt>
                <c:pt idx="964">
                  <c:v>35.824600000001013</c:v>
                </c:pt>
                <c:pt idx="965">
                  <c:v>35.824700000001016</c:v>
                </c:pt>
                <c:pt idx="966">
                  <c:v>35.824800000001019</c:v>
                </c:pt>
                <c:pt idx="967">
                  <c:v>35.824900000001023</c:v>
                </c:pt>
                <c:pt idx="968">
                  <c:v>35.825000000001026</c:v>
                </c:pt>
                <c:pt idx="969">
                  <c:v>35.825100000001029</c:v>
                </c:pt>
                <c:pt idx="970">
                  <c:v>35.825200000001033</c:v>
                </c:pt>
                <c:pt idx="971">
                  <c:v>35.825300000001036</c:v>
                </c:pt>
                <c:pt idx="972">
                  <c:v>35.825400000001039</c:v>
                </c:pt>
                <c:pt idx="973">
                  <c:v>35.825500000001043</c:v>
                </c:pt>
                <c:pt idx="974">
                  <c:v>35.825600000001046</c:v>
                </c:pt>
                <c:pt idx="975">
                  <c:v>35.825700000001049</c:v>
                </c:pt>
                <c:pt idx="976">
                  <c:v>35.825800000001053</c:v>
                </c:pt>
                <c:pt idx="977">
                  <c:v>35.825900000001056</c:v>
                </c:pt>
                <c:pt idx="978">
                  <c:v>35.826000000001059</c:v>
                </c:pt>
                <c:pt idx="979">
                  <c:v>35.826100000001063</c:v>
                </c:pt>
                <c:pt idx="980">
                  <c:v>35.826200000001066</c:v>
                </c:pt>
                <c:pt idx="981">
                  <c:v>35.826300000001069</c:v>
                </c:pt>
                <c:pt idx="982">
                  <c:v>35.826400000001072</c:v>
                </c:pt>
                <c:pt idx="983">
                  <c:v>35.826500000001076</c:v>
                </c:pt>
                <c:pt idx="984">
                  <c:v>35.826600000001079</c:v>
                </c:pt>
                <c:pt idx="985">
                  <c:v>35.826700000001082</c:v>
                </c:pt>
                <c:pt idx="986">
                  <c:v>35.826800000001086</c:v>
                </c:pt>
                <c:pt idx="987">
                  <c:v>35.826900000001089</c:v>
                </c:pt>
                <c:pt idx="988">
                  <c:v>35.827000000001092</c:v>
                </c:pt>
                <c:pt idx="989">
                  <c:v>35.827100000001096</c:v>
                </c:pt>
                <c:pt idx="990">
                  <c:v>35.827200000001099</c:v>
                </c:pt>
                <c:pt idx="991">
                  <c:v>35.827300000001102</c:v>
                </c:pt>
                <c:pt idx="992">
                  <c:v>35.827400000001106</c:v>
                </c:pt>
                <c:pt idx="993">
                  <c:v>35.827500000001109</c:v>
                </c:pt>
                <c:pt idx="994">
                  <c:v>35.827600000001112</c:v>
                </c:pt>
                <c:pt idx="995">
                  <c:v>35.827700000001116</c:v>
                </c:pt>
                <c:pt idx="996">
                  <c:v>35.827800000001119</c:v>
                </c:pt>
                <c:pt idx="997">
                  <c:v>35.827900000001122</c:v>
                </c:pt>
                <c:pt idx="998">
                  <c:v>35.828000000001126</c:v>
                </c:pt>
                <c:pt idx="999">
                  <c:v>35.828100000001129</c:v>
                </c:pt>
                <c:pt idx="1000">
                  <c:v>35.828200000001132</c:v>
                </c:pt>
              </c:numCache>
            </c:numRef>
          </c:xVal>
          <c:yVal>
            <c:numRef>
              <c:f>Calculs!$AG$4:$AG$1004</c:f>
              <c:numCache>
                <c:formatCode>0.00</c:formatCode>
                <c:ptCount val="1001"/>
                <c:pt idx="0">
                  <c:v>0</c:v>
                </c:pt>
                <c:pt idx="1">
                  <c:v>0.13683300708641433</c:v>
                </c:pt>
                <c:pt idx="2">
                  <c:v>19.96027496022171</c:v>
                </c:pt>
                <c:pt idx="3">
                  <c:v>39.794548504501179</c:v>
                </c:pt>
                <c:pt idx="4">
                  <c:v>59.645485712285826</c:v>
                </c:pt>
                <c:pt idx="5">
                  <c:v>79.518837272896675</c:v>
                </c:pt>
                <c:pt idx="6">
                  <c:v>89.371160886121885</c:v>
                </c:pt>
                <c:pt idx="7">
                  <c:v>89.183805396038963</c:v>
                </c:pt>
                <c:pt idx="8">
                  <c:v>88.995488004256657</c:v>
                </c:pt>
                <c:pt idx="9">
                  <c:v>88.80621217322286</c:v>
                </c:pt>
                <c:pt idx="10">
                  <c:v>88.615981401988392</c:v>
                </c:pt>
                <c:pt idx="11">
                  <c:v>88.424799225924332</c:v>
                </c:pt>
                <c:pt idx="12">
                  <c:v>88.23266921643615</c:v>
                </c:pt>
                <c:pt idx="13">
                  <c:v>88.039594980674806</c:v>
                </c:pt>
                <c:pt idx="14">
                  <c:v>87.845580161244456</c:v>
                </c:pt>
                <c:pt idx="15">
                  <c:v>87.650628435907279</c:v>
                </c:pt>
                <c:pt idx="16">
                  <c:v>87.454743517285166</c:v>
                </c:pt>
                <c:pt idx="17">
                  <c:v>87.257929152558233</c:v>
                </c:pt>
                <c:pt idx="18">
                  <c:v>87.06018912316064</c:v>
                </c:pt>
                <c:pt idx="19">
                  <c:v>86.861527244473322</c:v>
                </c:pt>
                <c:pt idx="20">
                  <c:v>86.661947365513754</c:v>
                </c:pt>
                <c:pt idx="21">
                  <c:v>86.461453368623125</c:v>
                </c:pt>
                <c:pt idx="22">
                  <c:v>86.260049169150463</c:v>
                </c:pt>
                <c:pt idx="23">
                  <c:v>86.057738715134192</c:v>
                </c:pt>
                <c:pt idx="24">
                  <c:v>85.854525986980789</c:v>
                </c:pt>
                <c:pt idx="25">
                  <c:v>85.650414997141127</c:v>
                </c:pt>
                <c:pt idx="26">
                  <c:v>85.44540978978381</c:v>
                </c:pt>
                <c:pt idx="27">
                  <c:v>85.239514440466252</c:v>
                </c:pt>
                <c:pt idx="28">
                  <c:v>85.032733055803035</c:v>
                </c:pt>
                <c:pt idx="29">
                  <c:v>84.825069773132029</c:v>
                </c:pt>
                <c:pt idx="30">
                  <c:v>84.616528760177815</c:v>
                </c:pt>
                <c:pt idx="31">
                  <c:v>84.407114214713019</c:v>
                </c:pt>
                <c:pt idx="32">
                  <c:v>84.196830364217149</c:v>
                </c:pt>
                <c:pt idx="33">
                  <c:v>83.985681465533176</c:v>
                </c:pt>
                <c:pt idx="34">
                  <c:v>83.773671804522039</c:v>
                </c:pt>
                <c:pt idx="35">
                  <c:v>83.561071759521695</c:v>
                </c:pt>
                <c:pt idx="36">
                  <c:v>83.347617328732866</c:v>
                </c:pt>
                <c:pt idx="37">
                  <c:v>83.133309235009648</c:v>
                </c:pt>
                <c:pt idx="38">
                  <c:v>82.918152182476248</c:v>
                </c:pt>
                <c:pt idx="39">
                  <c:v>82.702150878083785</c:v>
                </c:pt>
                <c:pt idx="40">
                  <c:v>82.485310033815438</c:v>
                </c:pt>
                <c:pt idx="41">
                  <c:v>82.267634368559598</c:v>
                </c:pt>
                <c:pt idx="42">
                  <c:v>82.049128609701071</c:v>
                </c:pt>
                <c:pt idx="43">
                  <c:v>81.829797494471876</c:v>
                </c:pt>
                <c:pt idx="44">
                  <c:v>81.60964577109597</c:v>
                </c:pt>
                <c:pt idx="45">
                  <c:v>81.388678199756683</c:v>
                </c:pt>
                <c:pt idx="46">
                  <c:v>81.166899553411014</c:v>
                </c:pt>
                <c:pt idx="47">
                  <c:v>80.944314618471196</c:v>
                </c:pt>
                <c:pt idx="48">
                  <c:v>80.720928195370888</c:v>
                </c:pt>
                <c:pt idx="49">
                  <c:v>80.49674509903015</c:v>
                </c:pt>
                <c:pt idx="50">
                  <c:v>80.271770159232474</c:v>
                </c:pt>
                <c:pt idx="51">
                  <c:v>80.098900935852342</c:v>
                </c:pt>
                <c:pt idx="52">
                  <c:v>79.978219491247089</c:v>
                </c:pt>
                <c:pt idx="53">
                  <c:v>79.856865518575432</c:v>
                </c:pt>
                <c:pt idx="54">
                  <c:v>79.734841285288937</c:v>
                </c:pt>
                <c:pt idx="55">
                  <c:v>79.612149075684215</c:v>
                </c:pt>
                <c:pt idx="56">
                  <c:v>79.48879119112344</c:v>
                </c:pt>
                <c:pt idx="57">
                  <c:v>79.364769950220662</c:v>
                </c:pt>
                <c:pt idx="58">
                  <c:v>79.240087688997761</c:v>
                </c:pt>
                <c:pt idx="59">
                  <c:v>79.114746761012725</c:v>
                </c:pt>
                <c:pt idx="60">
                  <c:v>78.988749537463207</c:v>
                </c:pt>
                <c:pt idx="61">
                  <c:v>78.862098407267098</c:v>
                </c:pt>
                <c:pt idx="62">
                  <c:v>78.73479577712304</c:v>
                </c:pt>
                <c:pt idx="63">
                  <c:v>78.60684407155189</c:v>
                </c:pt>
                <c:pt idx="64">
                  <c:v>78.478245732921138</c:v>
                </c:pt>
                <c:pt idx="65">
                  <c:v>78.349003221453984</c:v>
                </c:pt>
                <c:pt idx="66">
                  <c:v>78.219119015223711</c:v>
                </c:pt>
                <c:pt idx="67">
                  <c:v>78.0885956101354</c:v>
                </c:pt>
                <c:pt idx="68">
                  <c:v>77.957435519895114</c:v>
                </c:pt>
                <c:pt idx="69">
                  <c:v>77.82564127596828</c:v>
                </c:pt>
                <c:pt idx="70">
                  <c:v>77.693215427527619</c:v>
                </c:pt>
                <c:pt idx="71">
                  <c:v>77.560160541391681</c:v>
                </c:pt>
                <c:pt idx="72">
                  <c:v>77.426479201954578</c:v>
                </c:pt>
                <c:pt idx="73">
                  <c:v>77.292174011107377</c:v>
                </c:pt>
                <c:pt idx="74">
                  <c:v>77.157247588152245</c:v>
                </c:pt>
                <c:pt idx="75">
                  <c:v>77.02170256970912</c:v>
                </c:pt>
                <c:pt idx="76">
                  <c:v>76.885541609616212</c:v>
                </c:pt>
                <c:pt idx="77">
                  <c:v>76.748767378823985</c:v>
                </c:pt>
                <c:pt idx="78">
                  <c:v>76.611382565283662</c:v>
                </c:pt>
                <c:pt idx="79">
                  <c:v>76.473389873830172</c:v>
                </c:pt>
                <c:pt idx="80">
                  <c:v>76.334792026060214</c:v>
                </c:pt>
                <c:pt idx="81">
                  <c:v>76.195591760205417</c:v>
                </c:pt>
                <c:pt idx="82">
                  <c:v>76.055791831001159</c:v>
                </c:pt>
                <c:pt idx="83">
                  <c:v>75.915395009551204</c:v>
                </c:pt>
                <c:pt idx="84">
                  <c:v>75.774404083188273</c:v>
                </c:pt>
                <c:pt idx="85">
                  <c:v>75.632821855331102</c:v>
                </c:pt>
                <c:pt idx="86">
                  <c:v>75.490651145337779</c:v>
                </c:pt>
                <c:pt idx="87">
                  <c:v>75.34789478835593</c:v>
                </c:pt>
                <c:pt idx="88">
                  <c:v>75.204555635169584</c:v>
                </c:pt>
                <c:pt idx="89">
                  <c:v>75.060636552043292</c:v>
                </c:pt>
                <c:pt idx="90">
                  <c:v>74.916140420563266</c:v>
                </c:pt>
                <c:pt idx="91">
                  <c:v>74.771070137475988</c:v>
                </c:pt>
                <c:pt idx="92">
                  <c:v>74.625428614524097</c:v>
                </c:pt>
                <c:pt idx="93">
                  <c:v>74.479218778280014</c:v>
                </c:pt>
                <c:pt idx="94">
                  <c:v>74.332443569977428</c:v>
                </c:pt>
                <c:pt idx="95">
                  <c:v>74.185105945340268</c:v>
                </c:pt>
                <c:pt idx="96">
                  <c:v>74.037208874409899</c:v>
                </c:pt>
                <c:pt idx="97">
                  <c:v>73.888755341370256</c:v>
                </c:pt>
                <c:pt idx="98">
                  <c:v>73.739748344371179</c:v>
                </c:pt>
                <c:pt idx="99">
                  <c:v>73.590190895349892</c:v>
                </c:pt>
                <c:pt idx="100">
                  <c:v>73.440086019850881</c:v>
                </c:pt>
                <c:pt idx="101">
                  <c:v>73.265045728595382</c:v>
                </c:pt>
                <c:pt idx="102">
                  <c:v>73.065048333103377</c:v>
                </c:pt>
                <c:pt idx="103">
                  <c:v>72.864484878692593</c:v>
                </c:pt>
                <c:pt idx="104">
                  <c:v>72.663359591665966</c:v>
                </c:pt>
                <c:pt idx="105">
                  <c:v>72.461676708719736</c:v>
                </c:pt>
                <c:pt idx="106">
                  <c:v>72.259440476665901</c:v>
                </c:pt>
                <c:pt idx="107">
                  <c:v>72.056655152153411</c:v>
                </c:pt>
                <c:pt idx="108">
                  <c:v>71.853325001388995</c:v>
                </c:pt>
                <c:pt idx="109">
                  <c:v>71.649454299857467</c:v>
                </c:pt>
                <c:pt idx="110">
                  <c:v>71.445047332041369</c:v>
                </c:pt>
                <c:pt idx="111">
                  <c:v>71.240108391140112</c:v>
                </c:pt>
                <c:pt idx="112">
                  <c:v>71.034641778788938</c:v>
                </c:pt>
                <c:pt idx="113">
                  <c:v>70.828651804777337</c:v>
                </c:pt>
                <c:pt idx="114">
                  <c:v>70.622142786767512</c:v>
                </c:pt>
                <c:pt idx="115">
                  <c:v>70.415119050012279</c:v>
                </c:pt>
                <c:pt idx="116">
                  <c:v>70.207584927073157</c:v>
                </c:pt>
                <c:pt idx="117">
                  <c:v>69.999544757538231</c:v>
                </c:pt>
                <c:pt idx="118">
                  <c:v>69.791002887739893</c:v>
                </c:pt>
                <c:pt idx="119">
                  <c:v>69.581963670472732</c:v>
                </c:pt>
                <c:pt idx="120">
                  <c:v>69.372431464711752</c:v>
                </c:pt>
                <c:pt idx="121">
                  <c:v>69.162410635330033</c:v>
                </c:pt>
                <c:pt idx="122">
                  <c:v>68.951905552817365</c:v>
                </c:pt>
                <c:pt idx="123">
                  <c:v>68.740920592998549</c:v>
                </c:pt>
                <c:pt idx="124">
                  <c:v>68.529460136752164</c:v>
                </c:pt>
                <c:pt idx="125">
                  <c:v>68.317528569729774</c:v>
                </c:pt>
                <c:pt idx="126">
                  <c:v>68.105130282075251</c:v>
                </c:pt>
                <c:pt idx="127">
                  <c:v>67.892269668144735</c:v>
                </c:pt>
                <c:pt idx="128">
                  <c:v>67.678951126226863</c:v>
                </c:pt>
                <c:pt idx="129">
                  <c:v>67.465179058263601</c:v>
                </c:pt>
                <c:pt idx="130">
                  <c:v>67.250957869571579</c:v>
                </c:pt>
                <c:pt idx="131">
                  <c:v>67.036291968563972</c:v>
                </c:pt>
                <c:pt idx="132">
                  <c:v>66.821185766473107</c:v>
                </c:pt>
                <c:pt idx="133">
                  <c:v>66.605643677073488</c:v>
                </c:pt>
                <c:pt idx="134">
                  <c:v>66.389670116405739</c:v>
                </c:pt>
                <c:pt idx="135">
                  <c:v>66.173269502501171</c:v>
                </c:pt>
                <c:pt idx="136">
                  <c:v>65.956446255107124</c:v>
                </c:pt>
                <c:pt idx="137">
                  <c:v>65.739204795413045</c:v>
                </c:pt>
                <c:pt idx="138">
                  <c:v>65.521549545777503</c:v>
                </c:pt>
                <c:pt idx="139">
                  <c:v>65.303484929456047</c:v>
                </c:pt>
                <c:pt idx="140">
                  <c:v>65.085015370329828</c:v>
                </c:pt>
                <c:pt idx="141">
                  <c:v>64.866145292635323</c:v>
                </c:pt>
                <c:pt idx="142">
                  <c:v>64.646879120694962</c:v>
                </c:pt>
                <c:pt idx="143">
                  <c:v>64.427221278648688</c:v>
                </c:pt>
                <c:pt idx="144">
                  <c:v>64.207176190186672</c:v>
                </c:pt>
                <c:pt idx="145">
                  <c:v>63.98674827828286</c:v>
                </c:pt>
                <c:pt idx="146">
                  <c:v>63.765941964929922</c:v>
                </c:pt>
                <c:pt idx="147">
                  <c:v>63.544761670875019</c:v>
                </c:pt>
                <c:pt idx="148">
                  <c:v>63.323211815356899</c:v>
                </c:pt>
                <c:pt idx="149">
                  <c:v>63.101296815844094</c:v>
                </c:pt>
                <c:pt idx="150">
                  <c:v>62.879021087774255</c:v>
                </c:pt>
                <c:pt idx="151">
                  <c:v>62.664687553961166</c:v>
                </c:pt>
                <c:pt idx="152">
                  <c:v>62.458305057104894</c:v>
                </c:pt>
                <c:pt idx="153">
                  <c:v>62.251577208632952</c:v>
                </c:pt>
                <c:pt idx="154">
                  <c:v>62.044508048529082</c:v>
                </c:pt>
                <c:pt idx="155">
                  <c:v>61.837101615160321</c:v>
                </c:pt>
                <c:pt idx="156">
                  <c:v>61.629361945047918</c:v>
                </c:pt>
                <c:pt idx="157">
                  <c:v>61.421293072639202</c:v>
                </c:pt>
                <c:pt idx="158">
                  <c:v>61.212899030080493</c:v>
                </c:pt>
                <c:pt idx="159">
                  <c:v>61.004183846991268</c:v>
                </c:pt>
                <c:pt idx="160">
                  <c:v>60.795151550239439</c:v>
                </c:pt>
                <c:pt idx="161">
                  <c:v>60.585806163717869</c:v>
                </c:pt>
                <c:pt idx="162">
                  <c:v>60.376151708121732</c:v>
                </c:pt>
                <c:pt idx="163">
                  <c:v>60.166192200727657</c:v>
                </c:pt>
                <c:pt idx="164">
                  <c:v>59.955931655173558</c:v>
                </c:pt>
                <c:pt idx="165">
                  <c:v>59.745374081239994</c:v>
                </c:pt>
                <c:pt idx="166">
                  <c:v>59.534523484632743</c:v>
                </c:pt>
                <c:pt idx="167">
                  <c:v>59.323383866766655</c:v>
                </c:pt>
                <c:pt idx="168">
                  <c:v>59.111959224550709</c:v>
                </c:pt>
                <c:pt idx="169">
                  <c:v>58.900253550174597</c:v>
                </c:pt>
                <c:pt idx="170">
                  <c:v>58.688270830896485</c:v>
                </c:pt>
                <c:pt idx="171">
                  <c:v>58.47601504883216</c:v>
                </c:pt>
                <c:pt idx="172">
                  <c:v>58.263490180745464</c:v>
                </c:pt>
                <c:pt idx="173">
                  <c:v>58.050700197840399</c:v>
                </c:pt>
                <c:pt idx="174">
                  <c:v>57.837649065554373</c:v>
                </c:pt>
                <c:pt idx="175">
                  <c:v>57.624340743352818</c:v>
                </c:pt>
                <c:pt idx="176">
                  <c:v>57.410779184525552</c:v>
                </c:pt>
                <c:pt idx="177">
                  <c:v>57.196968335984259</c:v>
                </c:pt>
                <c:pt idx="178">
                  <c:v>56.98291213806165</c:v>
                </c:pt>
                <c:pt idx="179">
                  <c:v>56.768614524312049</c:v>
                </c:pt>
                <c:pt idx="180">
                  <c:v>56.554079421313396</c:v>
                </c:pt>
                <c:pt idx="181">
                  <c:v>56.339310748470893</c:v>
                </c:pt>
                <c:pt idx="182">
                  <c:v>56.124312417821983</c:v>
                </c:pt>
                <c:pt idx="183">
                  <c:v>55.909088333843144</c:v>
                </c:pt>
                <c:pt idx="184">
                  <c:v>55.693642393257939</c:v>
                </c:pt>
                <c:pt idx="185">
                  <c:v>55.477978484846773</c:v>
                </c:pt>
                <c:pt idx="186">
                  <c:v>55.262100489258188</c:v>
                </c:pt>
                <c:pt idx="187">
                  <c:v>55.046012278821863</c:v>
                </c:pt>
                <c:pt idx="188">
                  <c:v>54.829717717362897</c:v>
                </c:pt>
                <c:pt idx="189">
                  <c:v>54.613220660018129</c:v>
                </c:pt>
                <c:pt idx="190">
                  <c:v>54.396524953053643</c:v>
                </c:pt>
                <c:pt idx="191">
                  <c:v>54.179634433684214</c:v>
                </c:pt>
                <c:pt idx="192">
                  <c:v>53.962552929894301</c:v>
                </c:pt>
                <c:pt idx="193">
                  <c:v>53.745284260260618</c:v>
                </c:pt>
                <c:pt idx="194">
                  <c:v>53.52783223377638</c:v>
                </c:pt>
                <c:pt idx="195">
                  <c:v>53.310200649677341</c:v>
                </c:pt>
                <c:pt idx="196">
                  <c:v>53.092393297269318</c:v>
                </c:pt>
                <c:pt idx="197">
                  <c:v>52.874413955757596</c:v>
                </c:pt>
                <c:pt idx="198">
                  <c:v>52.656266394077818</c:v>
                </c:pt>
                <c:pt idx="199">
                  <c:v>52.437954370728761</c:v>
                </c:pt>
                <c:pt idx="200">
                  <c:v>52.219481633606719</c:v>
                </c:pt>
                <c:pt idx="201">
                  <c:v>52.000851919841566</c:v>
                </c:pt>
                <c:pt idx="202">
                  <c:v>51.782068955634678</c:v>
                </c:pt>
                <c:pt idx="203">
                  <c:v>51.563136456098533</c:v>
                </c:pt>
                <c:pt idx="204">
                  <c:v>51.344058125097874</c:v>
                </c:pt>
                <c:pt idx="205">
                  <c:v>51.124837655092911</c:v>
                </c:pt>
                <c:pt idx="206">
                  <c:v>50.905478726984015</c:v>
                </c:pt>
                <c:pt idx="207">
                  <c:v>50.685985009958273</c:v>
                </c:pt>
                <c:pt idx="208">
                  <c:v>50.46636016133791</c:v>
                </c:pt>
                <c:pt idx="209">
                  <c:v>50.246607826430221</c:v>
                </c:pt>
                <c:pt idx="210">
                  <c:v>50.026731638379516</c:v>
                </c:pt>
                <c:pt idx="211">
                  <c:v>49.80673521802062</c:v>
                </c:pt>
                <c:pt idx="212">
                  <c:v>49.586622173734398</c:v>
                </c:pt>
                <c:pt idx="213">
                  <c:v>49.366396101304858</c:v>
                </c:pt>
                <c:pt idx="214">
                  <c:v>49.146060583778052</c:v>
                </c:pt>
                <c:pt idx="215">
                  <c:v>48.925619191322973</c:v>
                </c:pt>
                <c:pt idx="216">
                  <c:v>48.705075481093907</c:v>
                </c:pt>
                <c:pt idx="217">
                  <c:v>48.484432997094864</c:v>
                </c:pt>
                <c:pt idx="218">
                  <c:v>48.26369527004573</c:v>
                </c:pt>
                <c:pt idx="219">
                  <c:v>48.042865817250089</c:v>
                </c:pt>
                <c:pt idx="220">
                  <c:v>47.821948142465025</c:v>
                </c:pt>
                <c:pt idx="221">
                  <c:v>47.600945735772598</c:v>
                </c:pt>
                <c:pt idx="222">
                  <c:v>47.379862073453225</c:v>
                </c:pt>
                <c:pt idx="223">
                  <c:v>47.15870061786076</c:v>
                </c:pt>
                <c:pt idx="224">
                  <c:v>46.9374648172994</c:v>
                </c:pt>
                <c:pt idx="225">
                  <c:v>46.716158105902537</c:v>
                </c:pt>
                <c:pt idx="226">
                  <c:v>46.494783903513181</c:v>
                </c:pt>
                <c:pt idx="227">
                  <c:v>46.273345615566434</c:v>
                </c:pt>
                <c:pt idx="228">
                  <c:v>46.051846632973515</c:v>
                </c:pt>
                <c:pt idx="229">
                  <c:v>45.83029033200782</c:v>
                </c:pt>
                <c:pt idx="230">
                  <c:v>45.608680074192677</c:v>
                </c:pt>
                <c:pt idx="231">
                  <c:v>45.387019206190857</c:v>
                </c:pt>
                <c:pt idx="232">
                  <c:v>45.165311059696101</c:v>
                </c:pt>
                <c:pt idx="233">
                  <c:v>44.943558951326089</c:v>
                </c:pt>
                <c:pt idx="234">
                  <c:v>44.721766182517584</c:v>
                </c:pt>
                <c:pt idx="235">
                  <c:v>44.499936039423133</c:v>
                </c:pt>
                <c:pt idx="236">
                  <c:v>44.278071792809648</c:v>
                </c:pt>
                <c:pt idx="237">
                  <c:v>44.056176697958797</c:v>
                </c:pt>
                <c:pt idx="238">
                  <c:v>43.834253994569139</c:v>
                </c:pt>
                <c:pt idx="239">
                  <c:v>43.612306906660017</c:v>
                </c:pt>
                <c:pt idx="240">
                  <c:v>43.390338642477445</c:v>
                </c:pt>
                <c:pt idx="241">
                  <c:v>43.168352394401396</c:v>
                </c:pt>
                <c:pt idx="242">
                  <c:v>42.94635133885533</c:v>
                </c:pt>
                <c:pt idx="243">
                  <c:v>42.724338636217098</c:v>
                </c:pt>
                <c:pt idx="244">
                  <c:v>42.502317430731793</c:v>
                </c:pt>
                <c:pt idx="245">
                  <c:v>42.280290850426468</c:v>
                </c:pt>
                <c:pt idx="246">
                  <c:v>42.058262007026357</c:v>
                </c:pt>
                <c:pt idx="247">
                  <c:v>41.836233995873144</c:v>
                </c:pt>
                <c:pt idx="248">
                  <c:v>41.614209895844695</c:v>
                </c:pt>
                <c:pt idx="249">
                  <c:v>41.392192769276846</c:v>
                </c:pt>
                <c:pt idx="250">
                  <c:v>41.170185661886677</c:v>
                </c:pt>
                <c:pt idx="251">
                  <c:v>40.91242094283168</c:v>
                </c:pt>
                <c:pt idx="252">
                  <c:v>40.618912047646269</c:v>
                </c:pt>
                <c:pt idx="253">
                  <c:v>40.325466333414354</c:v>
                </c:pt>
                <c:pt idx="254">
                  <c:v>40.032087979223192</c:v>
                </c:pt>
                <c:pt idx="255">
                  <c:v>39.738781135040746</c:v>
                </c:pt>
                <c:pt idx="256">
                  <c:v>39.445549921627858</c:v>
                </c:pt>
                <c:pt idx="257">
                  <c:v>39.152398430453609</c:v>
                </c:pt>
                <c:pt idx="258">
                  <c:v>38.859330723613695</c:v>
                </c:pt>
                <c:pt idx="259">
                  <c:v>38.56635083375204</c:v>
                </c:pt>
                <c:pt idx="260">
                  <c:v>38.273462763985513</c:v>
                </c:pt>
                <c:pt idx="261">
                  <c:v>37.980670487831695</c:v>
                </c:pt>
                <c:pt idx="262">
                  <c:v>37.687977949139707</c:v>
                </c:pt>
                <c:pt idx="263">
                  <c:v>37.395389062024115</c:v>
                </c:pt>
                <c:pt idx="264">
                  <c:v>37.102907710801894</c:v>
                </c:pt>
                <c:pt idx="265">
                  <c:v>36.810537749932394</c:v>
                </c:pt>
                <c:pt idx="266">
                  <c:v>36.518283003960242</c:v>
                </c:pt>
                <c:pt idx="267">
                  <c:v>36.226147267461293</c:v>
                </c:pt>
                <c:pt idx="268">
                  <c:v>35.934134304991524</c:v>
                </c:pt>
                <c:pt idx="269">
                  <c:v>35.642247851038846</c:v>
                </c:pt>
                <c:pt idx="270">
                  <c:v>35.350491609977801</c:v>
                </c:pt>
                <c:pt idx="271">
                  <c:v>35.058869256027229</c:v>
                </c:pt>
                <c:pt idx="272">
                  <c:v>34.767384433210736</c:v>
                </c:pt>
                <c:pt idx="273">
                  <c:v>34.476040755320071</c:v>
                </c:pt>
                <c:pt idx="274">
                  <c:v>34.18484180588127</c:v>
                </c:pt>
                <c:pt idx="275">
                  <c:v>33.893791138123646</c:v>
                </c:pt>
                <c:pt idx="276">
                  <c:v>33.602892274951635</c:v>
                </c:pt>
                <c:pt idx="277">
                  <c:v>33.31214870891921</c:v>
                </c:pt>
                <c:pt idx="278">
                  <c:v>33.021563902207234</c:v>
                </c:pt>
                <c:pt idx="279">
                  <c:v>32.731141286603446</c:v>
                </c:pt>
                <c:pt idx="280">
                  <c:v>32.440884263485181</c:v>
                </c:pt>
                <c:pt idx="281">
                  <c:v>32.150796203804624</c:v>
                </c:pt>
                <c:pt idx="282">
                  <c:v>31.860880448076998</c:v>
                </c:pt>
                <c:pt idx="283">
                  <c:v>31.571140306371035</c:v>
                </c:pt>
                <c:pt idx="284">
                  <c:v>31.281579058302341</c:v>
                </c:pt>
                <c:pt idx="285">
                  <c:v>30.992199953029175</c:v>
                </c:pt>
                <c:pt idx="286">
                  <c:v>30.703006209250805</c:v>
                </c:pt>
                <c:pt idx="287">
                  <c:v>30.414001015208488</c:v>
                </c:pt>
                <c:pt idx="288">
                  <c:v>30.125187528688805</c:v>
                </c:pt>
                <c:pt idx="289">
                  <c:v>29.836568877029642</c:v>
                </c:pt>
                <c:pt idx="290">
                  <c:v>29.548148157128523</c:v>
                </c:pt>
                <c:pt idx="291">
                  <c:v>29.259928435453389</c:v>
                </c:pt>
                <c:pt idx="292">
                  <c:v>28.971912748055871</c:v>
                </c:pt>
                <c:pt idx="293">
                  <c:v>28.684104100586762</c:v>
                </c:pt>
                <c:pt idx="294">
                  <c:v>28.396505468314125</c:v>
                </c:pt>
                <c:pt idx="295">
                  <c:v>28.109119796143474</c:v>
                </c:pt>
                <c:pt idx="296">
                  <c:v>27.82194999864042</c:v>
                </c:pt>
                <c:pt idx="297">
                  <c:v>27.534998960055592</c:v>
                </c:pt>
                <c:pt idx="298">
                  <c:v>26.855871844505842</c:v>
                </c:pt>
                <c:pt idx="299">
                  <c:v>25.784845439861524</c:v>
                </c:pt>
                <c:pt idx="300">
                  <c:v>24.714806938141109</c:v>
                </c:pt>
                <c:pt idx="301">
                  <c:v>23.645778645066223</c:v>
                </c:pt>
                <c:pt idx="302">
                  <c:v>22.577782492606858</c:v>
                </c:pt>
                <c:pt idx="303">
                  <c:v>21.510840039226196</c:v>
                </c:pt>
                <c:pt idx="304">
                  <c:v>20.444972470190969</c:v>
                </c:pt>
                <c:pt idx="305">
                  <c:v>19.380200597945905</c:v>
                </c:pt>
                <c:pt idx="306">
                  <c:v>18.31654486255124</c:v>
                </c:pt>
                <c:pt idx="307">
                  <c:v>17.254025332182326</c:v>
                </c:pt>
                <c:pt idx="308">
                  <c:v>16.192661703690188</c:v>
                </c:pt>
                <c:pt idx="309">
                  <c:v>15.132473303221792</c:v>
                </c:pt>
                <c:pt idx="310">
                  <c:v>14.073479086899354</c:v>
                </c:pt>
                <c:pt idx="311">
                  <c:v>13.01569764155712</c:v>
                </c:pt>
                <c:pt idx="312">
                  <c:v>11.959147185534887</c:v>
                </c:pt>
                <c:pt idx="313">
                  <c:v>10.903845569526856</c:v>
                </c:pt>
                <c:pt idx="314">
                  <c:v>9.8498102774850391</c:v>
                </c:pt>
                <c:pt idx="315">
                  <c:v>8.7970584275759052</c:v>
                </c:pt>
                <c:pt idx="316">
                  <c:v>7.7456067731891309</c:v>
                </c:pt>
                <c:pt idx="317">
                  <c:v>6.6954717039975673</c:v>
                </c:pt>
                <c:pt idx="318">
                  <c:v>5.6466692470670719</c:v>
                </c:pt>
                <c:pt idx="319">
                  <c:v>4.599215068015285</c:v>
                </c:pt>
                <c:pt idx="320">
                  <c:v>3.5531244722181548</c:v>
                </c:pt>
                <c:pt idx="321">
                  <c:v>2.6644265100182185</c:v>
                </c:pt>
                <c:pt idx="322">
                  <c:v>1.9329457173369704</c:v>
                </c:pt>
                <c:pt idx="323">
                  <c:v>1.2024456786396769</c:v>
                </c:pt>
                <c:pt idx="324">
                  <c:v>0.47293280262812054</c:v>
                </c:pt>
                <c:pt idx="325">
                  <c:v>-0.25558667503716848</c:v>
                </c:pt>
                <c:pt idx="326">
                  <c:v>-0.9831066909090822</c:v>
                </c:pt>
                <c:pt idx="327">
                  <c:v>-1.7096213529135138</c:v>
                </c:pt>
                <c:pt idx="328">
                  <c:v>-2.4351249394969114</c:v>
                </c:pt>
                <c:pt idx="329">
                  <c:v>-3.1596118987620621</c:v>
                </c:pt>
                <c:pt idx="330">
                  <c:v>-3.8830768475924948</c:v>
                </c:pt>
                <c:pt idx="331">
                  <c:v>-4.6055145707659557</c:v>
                </c:pt>
                <c:pt idx="332">
                  <c:v>-5.3269200200571785</c:v>
                </c:pt>
                <c:pt idx="333">
                  <c:v>-6.0472883133304336</c:v>
                </c:pt>
                <c:pt idx="334">
                  <c:v>-6.7666147336221805</c:v>
                </c:pt>
                <c:pt idx="335">
                  <c:v>-7.4848947282141216</c:v>
                </c:pt>
                <c:pt idx="336">
                  <c:v>-8.202123907697132</c:v>
                </c:pt>
                <c:pt idx="337">
                  <c:v>-8.9182980450262956</c:v>
                </c:pt>
                <c:pt idx="338">
                  <c:v>-9.633413074567498</c:v>
                </c:pt>
                <c:pt idx="339">
                  <c:v>-10.347465091135836</c:v>
                </c:pt>
                <c:pt idx="340">
                  <c:v>-11.060450349026217</c:v>
                </c:pt>
                <c:pt idx="341">
                  <c:v>-11.772365261036549</c:v>
                </c:pt>
                <c:pt idx="342">
                  <c:v>-12.483206397483801</c:v>
                </c:pt>
                <c:pt idx="343">
                  <c:v>-13.192970485213175</c:v>
                </c:pt>
                <c:pt idx="344">
                  <c:v>-13.901654406601008</c:v>
                </c:pt>
                <c:pt idx="345">
                  <c:v>-14.609255198551276</c:v>
                </c:pt>
                <c:pt idx="346">
                  <c:v>-15.315770051486576</c:v>
                </c:pt>
                <c:pt idx="347">
                  <c:v>-16.021196308333408</c:v>
                </c:pt>
                <c:pt idx="348">
                  <c:v>-16.708709050248039</c:v>
                </c:pt>
                <c:pt idx="349">
                  <c:v>-17.378332530933953</c:v>
                </c:pt>
                <c:pt idx="350">
                  <c:v>-18.046915052398873</c:v>
                </c:pt>
                <c:pt idx="351">
                  <c:v>-18.714454978890672</c:v>
                </c:pt>
                <c:pt idx="352">
                  <c:v>-19.380950807361408</c:v>
                </c:pt>
                <c:pt idx="353">
                  <c:v>-20.04640116651904</c:v>
                </c:pt>
                <c:pt idx="354">
                  <c:v>-20.710804815876624</c:v>
                </c:pt>
                <c:pt idx="355">
                  <c:v>-21.374160644799559</c:v>
                </c:pt>
                <c:pt idx="356">
                  <c:v>-22.036467671550753</c:v>
                </c:pt>
                <c:pt idx="357">
                  <c:v>-22.697725042334174</c:v>
                </c:pt>
                <c:pt idx="358">
                  <c:v>-23.357932030337047</c:v>
                </c:pt>
                <c:pt idx="359">
                  <c:v>-24.017088034770772</c:v>
                </c:pt>
                <c:pt idx="360">
                  <c:v>-24.325342044556386</c:v>
                </c:pt>
                <c:pt idx="361">
                  <c:v>-24.283290338298244</c:v>
                </c:pt>
                <c:pt idx="362">
                  <c:v>-24.241377606824752</c:v>
                </c:pt>
                <c:pt idx="363">
                  <c:v>-24.199603245011264</c:v>
                </c:pt>
                <c:pt idx="364">
                  <c:v>-24.157966651059951</c:v>
                </c:pt>
                <c:pt idx="365">
                  <c:v>-24.116467226477766</c:v>
                </c:pt>
                <c:pt idx="366">
                  <c:v>-24.075104376054593</c:v>
                </c:pt>
                <c:pt idx="367">
                  <c:v>-24.033877507841503</c:v>
                </c:pt>
                <c:pt idx="368">
                  <c:v>-23.992786033129232</c:v>
                </c:pt>
                <c:pt idx="369">
                  <c:v>-23.951829366426836</c:v>
                </c:pt>
                <c:pt idx="370">
                  <c:v>-23.911006925440475</c:v>
                </c:pt>
                <c:pt idx="371">
                  <c:v>-23.870318131052343</c:v>
                </c:pt>
                <c:pt idx="372">
                  <c:v>-23.829762407299839</c:v>
                </c:pt>
                <c:pt idx="373">
                  <c:v>-23.789339181354798</c:v>
                </c:pt>
                <c:pt idx="374">
                  <c:v>-23.749047883502957</c:v>
                </c:pt>
                <c:pt idx="375">
                  <c:v>-23.708887947123554</c:v>
                </c:pt>
                <c:pt idx="376">
                  <c:v>-23.668858808669064</c:v>
                </c:pt>
                <c:pt idx="377">
                  <c:v>-23.62895990764514</c:v>
                </c:pt>
                <c:pt idx="378">
                  <c:v>-23.589190686590609</c:v>
                </c:pt>
                <c:pt idx="379">
                  <c:v>-23.54955059105778</c:v>
                </c:pt>
                <c:pt idx="380">
                  <c:v>-23.510039069592708</c:v>
                </c:pt>
                <c:pt idx="381">
                  <c:v>-23.470655573715781</c:v>
                </c:pt>
                <c:pt idx="382">
                  <c:v>-23.431399557902353</c:v>
                </c:pt>
                <c:pt idx="383">
                  <c:v>-23.392270479563535</c:v>
                </c:pt>
                <c:pt idx="384">
                  <c:v>-23.353267799027197</c:v>
                </c:pt>
                <c:pt idx="385">
                  <c:v>-23.314390979519001</c:v>
                </c:pt>
                <c:pt idx="386">
                  <c:v>-23.275639487143707</c:v>
                </c:pt>
                <c:pt idx="387">
                  <c:v>-23.237012790866515</c:v>
                </c:pt>
                <c:pt idx="388">
                  <c:v>-23.198510362494595</c:v>
                </c:pt>
                <c:pt idx="389">
                  <c:v>-23.160131676658761</c:v>
                </c:pt>
                <c:pt idx="390">
                  <c:v>-23.121876210795254</c:v>
                </c:pt>
                <c:pt idx="391">
                  <c:v>-23.083743445127702</c:v>
                </c:pt>
                <c:pt idx="392">
                  <c:v>-23.045732862649174</c:v>
                </c:pt>
                <c:pt idx="393">
                  <c:v>-23.007843949104384</c:v>
                </c:pt>
                <c:pt idx="394">
                  <c:v>-22.970076192972062</c:v>
                </c:pt>
                <c:pt idx="395">
                  <c:v>-22.932429085447406</c:v>
                </c:pt>
                <c:pt idx="396">
                  <c:v>-22.894902120424675</c:v>
                </c:pt>
                <c:pt idx="397">
                  <c:v>-22.857494794479955</c:v>
                </c:pt>
                <c:pt idx="398">
                  <c:v>-22.820206606853997</c:v>
                </c:pt>
                <c:pt idx="399">
                  <c:v>-22.783037059435209</c:v>
                </c:pt>
                <c:pt idx="400">
                  <c:v>-22.745985656742796</c:v>
                </c:pt>
                <c:pt idx="401">
                  <c:v>-22.709051905909988</c:v>
                </c:pt>
                <c:pt idx="402">
                  <c:v>-22.343618734827558</c:v>
                </c:pt>
                <c:pt idx="403">
                  <c:v>-21.989614040042561</c:v>
                </c:pt>
                <c:pt idx="404">
                  <c:v>-21.646572633137858</c:v>
                </c:pt>
                <c:pt idx="405">
                  <c:v>-21.31405305704898</c:v>
                </c:pt>
                <c:pt idx="406">
                  <c:v>-20.991636136995126</c:v>
                </c:pt>
                <c:pt idx="407">
                  <c:v>-20.678923633745978</c:v>
                </c:pt>
                <c:pt idx="408">
                  <c:v>-20.375536991000534</c:v>
                </c:pt>
                <c:pt idx="409">
                  <c:v>-20.081116169390327</c:v>
                </c:pt>
                <c:pt idx="410">
                  <c:v>-19.795318560283278</c:v>
                </c:pt>
                <c:pt idx="411">
                  <c:v>-19.517817973162757</c:v>
                </c:pt>
                <c:pt idx="412">
                  <c:v>-19.248303690897348</c:v>
                </c:pt>
                <c:pt idx="413">
                  <c:v>-18.986479587705023</c:v>
                </c:pt>
                <c:pt idx="414">
                  <c:v>-18.732063305058006</c:v>
                </c:pt>
                <c:pt idx="415">
                  <c:v>-18.484785481174676</c:v>
                </c:pt>
                <c:pt idx="416">
                  <c:v>-18.244389030108479</c:v>
                </c:pt>
                <c:pt idx="417">
                  <c:v>-18.010628466772602</c:v>
                </c:pt>
                <c:pt idx="418">
                  <c:v>-17.783269274539037</c:v>
                </c:pt>
                <c:pt idx="419">
                  <c:v>-17.562087312322248</c:v>
                </c:pt>
                <c:pt idx="420">
                  <c:v>-17.346868258305406</c:v>
                </c:pt>
                <c:pt idx="421">
                  <c:v>-17.137407087692218</c:v>
                </c:pt>
                <c:pt idx="422">
                  <c:v>-16.933507582072952</c:v>
                </c:pt>
                <c:pt idx="423">
                  <c:v>-16.734981868180338</c:v>
                </c:pt>
                <c:pt idx="424">
                  <c:v>-16.541649983981813</c:v>
                </c:pt>
                <c:pt idx="425">
                  <c:v>-16.353339470210734</c:v>
                </c:pt>
                <c:pt idx="426">
                  <c:v>-16.169884985581447</c:v>
                </c:pt>
                <c:pt idx="427">
                  <c:v>-15.991127944063564</c:v>
                </c:pt>
                <c:pt idx="428">
                  <c:v>-15.816916172709748</c:v>
                </c:pt>
                <c:pt idx="429">
                  <c:v>-15.647103588640338</c:v>
                </c:pt>
                <c:pt idx="430">
                  <c:v>-15.481549893887795</c:v>
                </c:pt>
                <c:pt idx="431">
                  <c:v>-15.320120286895243</c:v>
                </c:pt>
                <c:pt idx="432">
                  <c:v>-15.162685189546732</c:v>
                </c:pt>
                <c:pt idx="433">
                  <c:v>-15.009119988683445</c:v>
                </c:pt>
                <c:pt idx="434">
                  <c:v>-14.859304791129777</c:v>
                </c:pt>
                <c:pt idx="435">
                  <c:v>-14.713124191317194</c:v>
                </c:pt>
                <c:pt idx="436">
                  <c:v>-14.570467050652027</c:v>
                </c:pt>
                <c:pt idx="437">
                  <c:v>-14.431226287826799</c:v>
                </c:pt>
                <c:pt idx="438">
                  <c:v>-14.295298679322839</c:v>
                </c:pt>
                <c:pt idx="439">
                  <c:v>-14.162584669396324</c:v>
                </c:pt>
                <c:pt idx="440">
                  <c:v>-14.032988188879621</c:v>
                </c:pt>
                <c:pt idx="441">
                  <c:v>-13.906416482165849</c:v>
                </c:pt>
                <c:pt idx="442">
                  <c:v>-13.782779941777106</c:v>
                </c:pt>
                <c:pt idx="443">
                  <c:v>-13.661991949945502</c:v>
                </c:pt>
                <c:pt idx="444">
                  <c:v>-13.543968726661916</c:v>
                </c:pt>
                <c:pt idx="445">
                  <c:v>-13.428629183669605</c:v>
                </c:pt>
                <c:pt idx="446">
                  <c:v>-13.315894783899193</c:v>
                </c:pt>
                <c:pt idx="447">
                  <c:v>-13.205689405857736</c:v>
                </c:pt>
                <c:pt idx="448">
                  <c:v>-13.097939212497781</c:v>
                </c:pt>
                <c:pt idx="449">
                  <c:v>-12.992572524102616</c:v>
                </c:pt>
                <c:pt idx="450">
                  <c:v>-12.88951969473108</c:v>
                </c:pt>
                <c:pt idx="451">
                  <c:v>-12.788712991769431</c:v>
                </c:pt>
                <c:pt idx="452">
                  <c:v>-12.690086478138721</c:v>
                </c:pt>
                <c:pt idx="453">
                  <c:v>-12.593575896703715</c:v>
                </c:pt>
                <c:pt idx="454">
                  <c:v>-12.499118556423646</c:v>
                </c:pt>
                <c:pt idx="455">
                  <c:v>-12.406653219775343</c:v>
                </c:pt>
                <c:pt idx="456">
                  <c:v>-12.316119990965911</c:v>
                </c:pt>
                <c:pt idx="457">
                  <c:v>-12.227460204434106</c:v>
                </c:pt>
                <c:pt idx="458">
                  <c:v>-12.140616313117103</c:v>
                </c:pt>
                <c:pt idx="459">
                  <c:v>-12.055531775931463</c:v>
                </c:pt>
                <c:pt idx="460">
                  <c:v>-11.972150943883689</c:v>
                </c:pt>
                <c:pt idx="461">
                  <c:v>-11.890418944185786</c:v>
                </c:pt>
                <c:pt idx="462">
                  <c:v>-11.810281561704274</c:v>
                </c:pt>
                <c:pt idx="463">
                  <c:v>-11.731685117015815</c:v>
                </c:pt>
                <c:pt idx="464">
                  <c:v>-11.654576340278572</c:v>
                </c:pt>
                <c:pt idx="465">
                  <c:v>-11.578902240053726</c:v>
                </c:pt>
                <c:pt idx="466">
                  <c:v>-11.504609966125351</c:v>
                </c:pt>
                <c:pt idx="467">
                  <c:v>-11.431646665267108</c:v>
                </c:pt>
                <c:pt idx="468">
                  <c:v>-11.359959328789154</c:v>
                </c:pt>
                <c:pt idx="469">
                  <c:v>-11.289494630566022</c:v>
                </c:pt>
                <c:pt idx="470">
                  <c:v>-11.220198754093289</c:v>
                </c:pt>
                <c:pt idx="471">
                  <c:v>-11.152017206944603</c:v>
                </c:pt>
                <c:pt idx="472">
                  <c:v>-11.084894620797453</c:v>
                </c:pt>
                <c:pt idx="473">
                  <c:v>-11.01877453496172</c:v>
                </c:pt>
                <c:pt idx="474">
                  <c:v>-10.953599161074536</c:v>
                </c:pt>
                <c:pt idx="475">
                  <c:v>-10.889309126312646</c:v>
                </c:pt>
                <c:pt idx="476">
                  <c:v>-10.825843192112444</c:v>
                </c:pt>
                <c:pt idx="477">
                  <c:v>-10.763137944969962</c:v>
                </c:pt>
                <c:pt idx="478">
                  <c:v>-10.701127455409511</c:v>
                </c:pt>
                <c:pt idx="479">
                  <c:v>-10.639742900648697</c:v>
                </c:pt>
                <c:pt idx="480">
                  <c:v>-10.578912145836936</c:v>
                </c:pt>
                <c:pt idx="481">
                  <c:v>-10.518559277988635</c:v>
                </c:pt>
                <c:pt idx="482">
                  <c:v>-10.45860408585353</c:v>
                </c:pt>
                <c:pt idx="483">
                  <c:v>-10.398961477944146</c:v>
                </c:pt>
                <c:pt idx="484">
                  <c:v>-10.339540829749565</c:v>
                </c:pt>
                <c:pt idx="485">
                  <c:v>-10.28024524977706</c:v>
                </c:pt>
                <c:pt idx="486">
                  <c:v>-10.220970752445497</c:v>
                </c:pt>
                <c:pt idx="487">
                  <c:v>-10.161605323967457</c:v>
                </c:pt>
                <c:pt idx="488">
                  <c:v>-10.102027865156726</c:v>
                </c:pt>
                <c:pt idx="489">
                  <c:v>-10.042106992531799</c:v>
                </c:pt>
                <c:pt idx="490">
                  <c:v>-9.9816996760964276</c:v>
                </c:pt>
                <c:pt idx="491">
                  <c:v>-9.9206496886982709</c:v>
                </c:pt>
                <c:pt idx="492">
                  <c:v>-9.8587858378241275</c:v>
                </c:pt>
                <c:pt idx="493">
                  <c:v>-9.7959199460050304</c:v>
                </c:pt>
                <c:pt idx="494">
                  <c:v>-9.7318445405954108</c:v>
                </c:pt>
                <c:pt idx="495">
                  <c:v>-9.6663302074757986</c:v>
                </c:pt>
                <c:pt idx="496">
                  <c:v>-9.5991225561368765</c:v>
                </c:pt>
                <c:pt idx="497">
                  <c:v>-9.5299387355852794</c:v>
                </c:pt>
                <c:pt idx="498">
                  <c:v>-9.4584634315627962</c:v>
                </c:pt>
                <c:pt idx="499">
                  <c:v>-9.38434426576055</c:v>
                </c:pt>
                <c:pt idx="500">
                  <c:v>-9.3071865072339399</c:v>
                </c:pt>
                <c:pt idx="501">
                  <c:v>-9.2265469954754344</c:v>
                </c:pt>
                <c:pt idx="502">
                  <c:v>-9.1419271642815385</c:v>
                </c:pt>
                <c:pt idx="503">
                  <c:v>-9.0527650468245771</c:v>
                </c:pt>
                <c:pt idx="504">
                  <c:v>-8.9584261370727507</c:v>
                </c:pt>
                <c:pt idx="505">
                  <c:v>-8.8581929837816702</c:v>
                </c:pt>
                <c:pt idx="506">
                  <c:v>-8.7512534050801722</c:v>
                </c:pt>
                <c:pt idx="507">
                  <c:v>-8.6366872406812778</c:v>
                </c:pt>
                <c:pt idx="508">
                  <c:v>-8.5134516144146755</c:v>
                </c:pt>
                <c:pt idx="509">
                  <c:v>-8.3803647755921578</c:v>
                </c:pt>
                <c:pt idx="510">
                  <c:v>-8.2360887425267606</c:v>
                </c:pt>
                <c:pt idx="511">
                  <c:v>-8.0791112109524388</c:v>
                </c:pt>
                <c:pt idx="512">
                  <c:v>-7.9077275477609481</c:v>
                </c:pt>
                <c:pt idx="513">
                  <c:v>-7.7200242083689954</c:v>
                </c:pt>
                <c:pt idx="514">
                  <c:v>-7.5138656426384651</c:v>
                </c:pt>
                <c:pt idx="515">
                  <c:v>-7.2868877382034425</c:v>
                </c:pt>
                <c:pt idx="516">
                  <c:v>-7.0365021253677877</c:v>
                </c:pt>
                <c:pt idx="517">
                  <c:v>-6.7599172255954185</c:v>
                </c:pt>
                <c:pt idx="518">
                  <c:v>-6.4541836658724616</c:v>
                </c:pt>
                <c:pt idx="519">
                  <c:v>-6.1162733390568027</c:v>
                </c:pt>
                <c:pt idx="520">
                  <c:v>-5.7432024413198528</c:v>
                </c:pt>
                <c:pt idx="521">
                  <c:v>-5.3322083855374816</c:v>
                </c:pt>
                <c:pt idx="522">
                  <c:v>-4.8809873193014086</c:v>
                </c:pt>
                <c:pt idx="523">
                  <c:v>-4.3879915930951068</c:v>
                </c:pt>
                <c:pt idx="524">
                  <c:v>-3.8527737357402549</c:v>
                </c:pt>
                <c:pt idx="525">
                  <c:v>-3.2763453548780537</c:v>
                </c:pt>
                <c:pt idx="526">
                  <c:v>-2.6614984894157887</c:v>
                </c:pt>
                <c:pt idx="527">
                  <c:v>-2.0130194451868157</c:v>
                </c:pt>
                <c:pt idx="528">
                  <c:v>-1.3377202504094994</c:v>
                </c:pt>
                <c:pt idx="529">
                  <c:v>-0.64422967532729147</c:v>
                </c:pt>
                <c:pt idx="530">
                  <c:v>5.7472382187370163E-2</c:v>
                </c:pt>
                <c:pt idx="531">
                  <c:v>0.75673414925960059</c:v>
                </c:pt>
                <c:pt idx="532">
                  <c:v>1.4430243853216189</c:v>
                </c:pt>
                <c:pt idx="533">
                  <c:v>2.106704503416867</c:v>
                </c:pt>
                <c:pt idx="534">
                  <c:v>2.7396529316063276</c:v>
                </c:pt>
                <c:pt idx="535">
                  <c:v>3.3356564820285213</c:v>
                </c:pt>
                <c:pt idx="536">
                  <c:v>3.890543938204662</c:v>
                </c:pt>
                <c:pt idx="537">
                  <c:v>4.4020927913756109</c:v>
                </c:pt>
                <c:pt idx="538">
                  <c:v>4.8697748610166363</c:v>
                </c:pt>
                <c:pt idx="539">
                  <c:v>5.2944162666663592</c:v>
                </c:pt>
                <c:pt idx="540">
                  <c:v>5.6778375590345469</c:v>
                </c:pt>
                <c:pt idx="541">
                  <c:v>6.0225204221050408</c:v>
                </c:pt>
                <c:pt idx="542">
                  <c:v>6.3313267502116615</c:v>
                </c:pt>
                <c:pt idx="543">
                  <c:v>6.6072791640549271</c:v>
                </c:pt>
                <c:pt idx="544">
                  <c:v>6.853400879510315</c:v>
                </c:pt>
                <c:pt idx="545">
                  <c:v>7.0726068423378816</c:v>
                </c:pt>
                <c:pt idx="546">
                  <c:v>7.2676358306124094</c:v>
                </c:pt>
                <c:pt idx="547">
                  <c:v>7.4410133550789075</c:v>
                </c:pt>
                <c:pt idx="548">
                  <c:v>7.5950365025509798</c:v>
                </c:pt>
                <c:pt idx="549">
                  <c:v>7.7317736009210138</c:v>
                </c:pt>
                <c:pt idx="550">
                  <c:v>7.8530732976892619</c:v>
                </c:pt>
                <c:pt idx="551">
                  <c:v>7.960579129716554</c:v>
                </c:pt>
                <c:pt idx="552">
                  <c:v>8.0557468536418479</c:v>
                </c:pt>
                <c:pt idx="553">
                  <c:v>8.1398627123423122</c:v>
                </c:pt>
                <c:pt idx="554">
                  <c:v>8.214061473962202</c:v>
                </c:pt>
                <c:pt idx="555">
                  <c:v>8.2793435464167633</c:v>
                </c:pt>
                <c:pt idx="556">
                  <c:v>8.3365907891519218</c:v>
                </c:pt>
                <c:pt idx="557">
                  <c:v>8.3865808550952377</c:v>
                </c:pt>
                <c:pt idx="558">
                  <c:v>8.4300000304784728</c:v>
                </c:pt>
                <c:pt idx="559">
                  <c:v>8.4674546221121325</c:v>
                </c:pt>
                <c:pt idx="560">
                  <c:v>8.4994809879179289</c:v>
                </c:pt>
                <c:pt idx="561">
                  <c:v>8.5265543292764097</c:v>
                </c:pt>
                <c:pt idx="562">
                  <c:v>8.5490963715101103</c:v>
                </c:pt>
                <c:pt idx="563">
                  <c:v>8.5674820573886628</c:v>
                </c:pt>
                <c:pt idx="564">
                  <c:v>8.5820453717871015</c:v>
                </c:pt>
                <c:pt idx="565">
                  <c:v>8.5930844060931122</c:v>
                </c:pt>
                <c:pt idx="566">
                  <c:v>8.6008657602673146</c:v>
                </c:pt>
                <c:pt idx="567">
                  <c:v>8.6056283696163902</c:v>
                </c:pt>
                <c:pt idx="568">
                  <c:v>8.607586832933638</c:v>
                </c:pt>
                <c:pt idx="569">
                  <c:v>8.6069343090158821</c:v>
                </c:pt>
                <c:pt idx="570">
                  <c:v>8.6038450398281281</c:v>
                </c:pt>
                <c:pt idx="571">
                  <c:v>8.5984765507982921</c:v>
                </c:pt>
                <c:pt idx="572">
                  <c:v>8.5909715718602726</c:v>
                </c:pt>
                <c:pt idx="573">
                  <c:v>8.5814597168648241</c:v>
                </c:pt>
                <c:pt idx="574">
                  <c:v>8.5700589537674858</c:v>
                </c:pt>
                <c:pt idx="575">
                  <c:v>8.5568768934972859</c:v>
                </c:pt>
                <c:pt idx="576">
                  <c:v>8.5420119215266457</c:v>
                </c:pt>
                <c:pt idx="577">
                  <c:v>8.5255541928234191</c:v>
                </c:pt>
                <c:pt idx="578">
                  <c:v>8.5075865079985462</c:v>
                </c:pt>
                <c:pt idx="579">
                  <c:v>8.4881850860031083</c:v>
                </c:pt>
                <c:pt idx="580">
                  <c:v>8.4674202466194259</c:v>
                </c:pt>
                <c:pt idx="581">
                  <c:v>8.4453570141827896</c:v>
                </c:pt>
                <c:pt idx="582">
                  <c:v>8.422055652419898</c:v>
                </c:pt>
                <c:pt idx="583">
                  <c:v>8.3975721389599656</c:v>
                </c:pt>
                <c:pt idx="584">
                  <c:v>8.3719585869326689</c:v>
                </c:pt>
                <c:pt idx="585">
                  <c:v>8.3452636200861257</c:v>
                </c:pt>
                <c:pt idx="586">
                  <c:v>8.3175327070146015</c:v>
                </c:pt>
                <c:pt idx="587">
                  <c:v>8.2888084593594371</c:v>
                </c:pt>
                <c:pt idx="588">
                  <c:v>8.2591308982210201</c:v>
                </c:pt>
                <c:pt idx="589">
                  <c:v>8.228537692479545</c:v>
                </c:pt>
                <c:pt idx="590">
                  <c:v>8.1970643722559995</c:v>
                </c:pt>
                <c:pt idx="591">
                  <c:v>8.1647445203411877</c:v>
                </c:pt>
                <c:pt idx="592">
                  <c:v>8.1316099440711991</c:v>
                </c:pt>
                <c:pt idx="593">
                  <c:v>8.097690829824538</c:v>
                </c:pt>
                <c:pt idx="594">
                  <c:v>8.0630158820528575</c:v>
                </c:pt>
                <c:pt idx="595">
                  <c:v>8.0276124485282292</c:v>
                </c:pt>
                <c:pt idx="596">
                  <c:v>7.9915066332904399</c:v>
                </c:pt>
                <c:pt idx="597">
                  <c:v>7.9547233986038579</c:v>
                </c:pt>
                <c:pt idx="598">
                  <c:v>7.9172866570814877</c:v>
                </c:pt>
                <c:pt idx="599">
                  <c:v>7.8792193550008998</c:v>
                </c:pt>
                <c:pt idx="600">
                  <c:v>7.8405435477204088</c:v>
                </c:pt>
                <c:pt idx="601">
                  <c:v>7.8012804680017629</c:v>
                </c:pt>
                <c:pt idx="602">
                  <c:v>7.7614505879559701</c:v>
                </c:pt>
                <c:pt idx="603">
                  <c:v>7.7210736752500493</c:v>
                </c:pt>
                <c:pt idx="604">
                  <c:v>7.6801688441431262</c:v>
                </c:pt>
                <c:pt idx="605">
                  <c:v>7.6387546018589418</c:v>
                </c:pt>
                <c:pt idx="606">
                  <c:v>7.5968488907479825</c:v>
                </c:pt>
                <c:pt idx="607">
                  <c:v>7.5544691266444826</c:v>
                </c:pt>
                <c:pt idx="608">
                  <c:v>7.5116322337813397</c:v>
                </c:pt>
                <c:pt idx="609">
                  <c:v>7.4683546765884845</c:v>
                </c:pt>
                <c:pt idx="610">
                  <c:v>7.4246524886669114</c:v>
                </c:pt>
                <c:pt idx="611">
                  <c:v>7.3805412992010826</c:v>
                </c:pt>
                <c:pt idx="612">
                  <c:v>7.3360363570460549</c:v>
                </c:pt>
                <c:pt idx="613">
                  <c:v>7.2911525527022754</c:v>
                </c:pt>
                <c:pt idx="614">
                  <c:v>7.2459044383700526</c:v>
                </c:pt>
                <c:pt idx="615">
                  <c:v>7.2003062462571137</c:v>
                </c:pt>
                <c:pt idx="616">
                  <c:v>7.1543719052959158</c:v>
                </c:pt>
                <c:pt idx="617">
                  <c:v>7.1081150564124638</c:v>
                </c:pt>
                <c:pt idx="618">
                  <c:v>7.0615490664750773</c:v>
                </c:pt>
                <c:pt idx="619">
                  <c:v>7.0146870410393785</c:v>
                </c:pt>
                <c:pt idx="620">
                  <c:v>6.9675418359952701</c:v>
                </c:pt>
                <c:pt idx="621">
                  <c:v>6.9201260682116583</c:v>
                </c:pt>
                <c:pt idx="622">
                  <c:v>6.8724521252662871</c:v>
                </c:pt>
                <c:pt idx="623">
                  <c:v>6.8245321743399101</c:v>
                </c:pt>
                <c:pt idx="624">
                  <c:v>6.7763781703471597</c:v>
                </c:pt>
                <c:pt idx="625">
                  <c:v>6.7280018633699328</c:v>
                </c:pt>
                <c:pt idx="626">
                  <c:v>6.6794148054534261</c:v>
                </c:pt>
                <c:pt idx="627">
                  <c:v>6.63062835681969</c:v>
                </c:pt>
                <c:pt idx="628">
                  <c:v>6.581653691548798</c:v>
                </c:pt>
                <c:pt idx="629">
                  <c:v>6.5325018027735222</c:v>
                </c:pt>
                <c:pt idx="630">
                  <c:v>6.4831835074294473</c:v>
                </c:pt>
                <c:pt idx="631">
                  <c:v>6.4337094505989025</c:v>
                </c:pt>
                <c:pt idx="632">
                  <c:v>6.3840901094839673</c:v>
                </c:pt>
                <c:pt idx="633">
                  <c:v>6.3343357970407688</c:v>
                </c:pt>
                <c:pt idx="634">
                  <c:v>6.2844566653046972</c:v>
                </c:pt>
                <c:pt idx="635">
                  <c:v>6.2344627084337052</c:v>
                </c:pt>
                <c:pt idx="636">
                  <c:v>6.1843637654946466</c:v>
                </c:pt>
                <c:pt idx="637">
                  <c:v>6.1341695230155961</c:v>
                </c:pt>
                <c:pt idx="638">
                  <c:v>6.0838895173252032</c:v>
                </c:pt>
                <c:pt idx="639">
                  <c:v>6.033533136698475</c:v>
                </c:pt>
                <c:pt idx="640">
                  <c:v>5.9831096233268308</c:v>
                </c:pt>
                <c:pt idx="641">
                  <c:v>5.9326280751288056</c:v>
                </c:pt>
                <c:pt idx="642">
                  <c:v>5.8820974474165482</c:v>
                </c:pt>
                <c:pt idx="643">
                  <c:v>5.8315265544319494</c:v>
                </c:pt>
                <c:pt idx="644">
                  <c:v>5.7809240707653107</c:v>
                </c:pt>
                <c:pt idx="645">
                  <c:v>5.7302985326682014</c:v>
                </c:pt>
                <c:pt idx="646">
                  <c:v>5.679658339271521</c:v>
                </c:pt>
                <c:pt idx="647">
                  <c:v>5.6290117537186282</c:v>
                </c:pt>
                <c:pt idx="648">
                  <c:v>5.5783669042228272</c:v>
                </c:pt>
                <c:pt idx="649">
                  <c:v>5.527731785057675</c:v>
                </c:pt>
                <c:pt idx="650">
                  <c:v>5.4771142574878962</c:v>
                </c:pt>
                <c:pt idx="651">
                  <c:v>5.4265220506481109</c:v>
                </c:pt>
                <c:pt idx="652">
                  <c:v>5.3759627623759583</c:v>
                </c:pt>
                <c:pt idx="653">
                  <c:v>5.325443860005727</c:v>
                </c:pt>
                <c:pt idx="654">
                  <c:v>5.274972681128034</c:v>
                </c:pt>
                <c:pt idx="655">
                  <c:v>5.224556434320724</c:v>
                </c:pt>
                <c:pt idx="656">
                  <c:v>5.174202199855662</c:v>
                </c:pt>
                <c:pt idx="657">
                  <c:v>5.1239169303857386</c:v>
                </c:pt>
                <c:pt idx="658">
                  <c:v>5.073707451616027</c:v>
                </c:pt>
                <c:pt idx="659">
                  <c:v>5.0235804629627649</c:v>
                </c:pt>
                <c:pt idx="660">
                  <c:v>4.97354253820337</c:v>
                </c:pt>
                <c:pt idx="661">
                  <c:v>4.9236001261205544</c:v>
                </c:pt>
                <c:pt idx="662">
                  <c:v>4.8737595511432819</c:v>
                </c:pt>
                <c:pt idx="663">
                  <c:v>4.8240270139870107</c:v>
                </c:pt>
                <c:pt idx="664">
                  <c:v>4.7744085922955382</c:v>
                </c:pt>
                <c:pt idx="665">
                  <c:v>4.7249102412864108</c:v>
                </c:pt>
                <c:pt idx="666">
                  <c:v>4.6755377944018024</c:v>
                </c:pt>
                <c:pt idx="667">
                  <c:v>4.6262969639664675</c:v>
                </c:pt>
                <c:pt idx="668">
                  <c:v>4.5771933418542616</c:v>
                </c:pt>
                <c:pt idx="669">
                  <c:v>4.5282324001645131</c:v>
                </c:pt>
                <c:pt idx="670">
                  <c:v>4.4794194919094288</c:v>
                </c:pt>
                <c:pt idx="671">
                  <c:v>4.4307598517135567</c:v>
                </c:pt>
                <c:pt idx="672">
                  <c:v>4.3822585965261629</c:v>
                </c:pt>
                <c:pt idx="673">
                  <c:v>4.3339207263472854</c:v>
                </c:pt>
                <c:pt idx="674">
                  <c:v>4.2857511249681828</c:v>
                </c:pt>
                <c:pt idx="675">
                  <c:v>4.2377545607266205</c:v>
                </c:pt>
                <c:pt idx="676">
                  <c:v>4.1899356872775257</c:v>
                </c:pt>
                <c:pt idx="677">
                  <c:v>4.1422990443793219</c:v>
                </c:pt>
                <c:pt idx="678">
                  <c:v>4.094849058696246</c:v>
                </c:pt>
                <c:pt idx="679">
                  <c:v>4.0475900446168005</c:v>
                </c:pt>
                <c:pt idx="680">
                  <c:v>4.0005262050885202</c:v>
                </c:pt>
                <c:pt idx="681">
                  <c:v>3.9536616324690472</c:v>
                </c:pt>
                <c:pt idx="682">
                  <c:v>3.9070003093935375</c:v>
                </c:pt>
                <c:pt idx="683">
                  <c:v>3.8605461096583564</c:v>
                </c:pt>
                <c:pt idx="684">
                  <c:v>3.8143027991208722</c:v>
                </c:pt>
                <c:pt idx="685">
                  <c:v>3.7682740366152823</c:v>
                </c:pt>
                <c:pt idx="686">
                  <c:v>3.7224633748841294</c:v>
                </c:pt>
                <c:pt idx="687">
                  <c:v>3.6768742615254109</c:v>
                </c:pt>
                <c:pt idx="688">
                  <c:v>3.6315100399548408</c:v>
                </c:pt>
                <c:pt idx="689">
                  <c:v>3.5863739503830292</c:v>
                </c:pt>
                <c:pt idx="690">
                  <c:v>3.5414691308071973</c:v>
                </c:pt>
                <c:pt idx="691">
                  <c:v>3.4967986180170456</c:v>
                </c:pt>
                <c:pt idx="692">
                  <c:v>3.452365348614336</c:v>
                </c:pt>
                <c:pt idx="693">
                  <c:v>3.4081721600457886</c:v>
                </c:pt>
                <c:pt idx="694">
                  <c:v>3.3642217916488333</c:v>
                </c:pt>
                <c:pt idx="695">
                  <c:v>3.3205168857097114</c:v>
                </c:pt>
                <c:pt idx="696">
                  <c:v>3.2770599885334493</c:v>
                </c:pt>
                <c:pt idx="697">
                  <c:v>3.2338535515252449</c:v>
                </c:pt>
                <c:pt idx="698">
                  <c:v>3.1908999322826448</c:v>
                </c:pt>
                <c:pt idx="699">
                  <c:v>3.1482013956980959</c:v>
                </c:pt>
                <c:pt idx="700">
                  <c:v>3.1057601150712566</c:v>
                </c:pt>
                <c:pt idx="701">
                  <c:v>3.0635781732305398</c:v>
                </c:pt>
                <c:pt idx="702">
                  <c:v>3.0216575636633785</c:v>
                </c:pt>
                <c:pt idx="703">
                  <c:v>2.9800001916545567</c:v>
                </c:pt>
                <c:pt idx="704">
                  <c:v>2.9386078754321767</c:v>
                </c:pt>
                <c:pt idx="705">
                  <c:v>2.8974823473205671</c:v>
                </c:pt>
                <c:pt idx="706">
                  <c:v>2.8566252548996944</c:v>
                </c:pt>
                <c:pt idx="707">
                  <c:v>2.8160381621703845</c:v>
                </c:pt>
                <c:pt idx="708">
                  <c:v>2.7757225507249208</c:v>
                </c:pt>
                <c:pt idx="709">
                  <c:v>2.7356798209223632</c:v>
                </c:pt>
                <c:pt idx="710">
                  <c:v>2.6959112930680522</c:v>
                </c:pt>
                <c:pt idx="711">
                  <c:v>2.6564182085967847</c:v>
                </c:pt>
                <c:pt idx="712">
                  <c:v>2.6172017312590823</c:v>
                </c:pt>
                <c:pt idx="713">
                  <c:v>2.5782629483099422</c:v>
                </c:pt>
                <c:pt idx="714">
                  <c:v>2.5396028716997181</c:v>
                </c:pt>
                <c:pt idx="715">
                  <c:v>2.5012224392663516</c:v>
                </c:pt>
                <c:pt idx="716">
                  <c:v>2.4631225159286281</c:v>
                </c:pt>
                <c:pt idx="717">
                  <c:v>2.42530389487988</c:v>
                </c:pt>
                <c:pt idx="718">
                  <c:v>2.3877672987815366</c:v>
                </c:pt>
                <c:pt idx="719">
                  <c:v>2.350513380956202</c:v>
                </c:pt>
                <c:pt idx="720">
                  <c:v>2.3504764888663114</c:v>
                </c:pt>
                <c:pt idx="721">
                  <c:v>2.3504395970569369</c:v>
                </c:pt>
                <c:pt idx="722">
                  <c:v>2.3504027055280838</c:v>
                </c:pt>
                <c:pt idx="723">
                  <c:v>2.3503658142797486</c:v>
                </c:pt>
                <c:pt idx="724">
                  <c:v>2.3503289233119355</c:v>
                </c:pt>
                <c:pt idx="725">
                  <c:v>2.3502920326246368</c:v>
                </c:pt>
                <c:pt idx="726">
                  <c:v>2.350255142217863</c:v>
                </c:pt>
                <c:pt idx="727">
                  <c:v>2.350218252091608</c:v>
                </c:pt>
                <c:pt idx="728">
                  <c:v>2.3501813622458769</c:v>
                </c:pt>
                <c:pt idx="729">
                  <c:v>2.3501444726806637</c:v>
                </c:pt>
                <c:pt idx="730">
                  <c:v>2.3501075833959746</c:v>
                </c:pt>
                <c:pt idx="731">
                  <c:v>2.3500706943918104</c:v>
                </c:pt>
                <c:pt idx="732">
                  <c:v>2.3500338056681711</c:v>
                </c:pt>
                <c:pt idx="733">
                  <c:v>2.3499969172250514</c:v>
                </c:pt>
                <c:pt idx="734">
                  <c:v>2.3499600290624576</c:v>
                </c:pt>
                <c:pt idx="735">
                  <c:v>2.3499231411803914</c:v>
                </c:pt>
                <c:pt idx="736">
                  <c:v>2.3498862535788501</c:v>
                </c:pt>
                <c:pt idx="737">
                  <c:v>2.3498493662578337</c:v>
                </c:pt>
                <c:pt idx="738">
                  <c:v>2.3498124792173467</c:v>
                </c:pt>
                <c:pt idx="739">
                  <c:v>2.3497755924573873</c:v>
                </c:pt>
                <c:pt idx="740">
                  <c:v>2.3497387059779511</c:v>
                </c:pt>
                <c:pt idx="741">
                  <c:v>2.3497018197790451</c:v>
                </c:pt>
                <c:pt idx="742">
                  <c:v>2.3496649338606712</c:v>
                </c:pt>
                <c:pt idx="743">
                  <c:v>2.349628048222824</c:v>
                </c:pt>
                <c:pt idx="744">
                  <c:v>2.3495911628655088</c:v>
                </c:pt>
                <c:pt idx="745">
                  <c:v>2.3495542777887177</c:v>
                </c:pt>
                <c:pt idx="746">
                  <c:v>2.3495173929924631</c:v>
                </c:pt>
                <c:pt idx="747">
                  <c:v>2.3494805084767405</c:v>
                </c:pt>
                <c:pt idx="748">
                  <c:v>2.3494436242415464</c:v>
                </c:pt>
                <c:pt idx="749">
                  <c:v>2.3494067402868861</c:v>
                </c:pt>
                <c:pt idx="750">
                  <c:v>2.3493698566127597</c:v>
                </c:pt>
                <c:pt idx="751">
                  <c:v>2.349332973219167</c:v>
                </c:pt>
                <c:pt idx="752">
                  <c:v>2.3492960901061091</c:v>
                </c:pt>
                <c:pt idx="753">
                  <c:v>2.3492592072735849</c:v>
                </c:pt>
                <c:pt idx="754">
                  <c:v>2.3492223247215911</c:v>
                </c:pt>
                <c:pt idx="755">
                  <c:v>2.3491854424501444</c:v>
                </c:pt>
                <c:pt idx="756">
                  <c:v>2.3491485604592244</c:v>
                </c:pt>
                <c:pt idx="757">
                  <c:v>2.3491116787488462</c:v>
                </c:pt>
                <c:pt idx="758">
                  <c:v>2.3490747973190018</c:v>
                </c:pt>
                <c:pt idx="759">
                  <c:v>2.3490379161697001</c:v>
                </c:pt>
                <c:pt idx="760">
                  <c:v>2.3490010353009305</c:v>
                </c:pt>
                <c:pt idx="761">
                  <c:v>2.3489641547127036</c:v>
                </c:pt>
                <c:pt idx="762">
                  <c:v>2.3489272744050149</c:v>
                </c:pt>
                <c:pt idx="763">
                  <c:v>2.3488903943778681</c:v>
                </c:pt>
                <c:pt idx="764">
                  <c:v>2.3488535146312577</c:v>
                </c:pt>
                <c:pt idx="765">
                  <c:v>2.3488166351651891</c:v>
                </c:pt>
                <c:pt idx="766">
                  <c:v>2.3487797559796624</c:v>
                </c:pt>
                <c:pt idx="767">
                  <c:v>2.3487428770746837</c:v>
                </c:pt>
                <c:pt idx="768">
                  <c:v>2.3487059984502414</c:v>
                </c:pt>
                <c:pt idx="769">
                  <c:v>2.3486691201063392</c:v>
                </c:pt>
                <c:pt idx="770">
                  <c:v>2.3486322420429859</c:v>
                </c:pt>
                <c:pt idx="771">
                  <c:v>2.3485953642601745</c:v>
                </c:pt>
                <c:pt idx="772">
                  <c:v>2.3485584867579039</c:v>
                </c:pt>
                <c:pt idx="773">
                  <c:v>2.3485216095361849</c:v>
                </c:pt>
                <c:pt idx="774">
                  <c:v>2.3484847325950087</c:v>
                </c:pt>
                <c:pt idx="775">
                  <c:v>2.3484478559343822</c:v>
                </c:pt>
                <c:pt idx="776">
                  <c:v>2.3484109795542949</c:v>
                </c:pt>
                <c:pt idx="777">
                  <c:v>2.3483741034547601</c:v>
                </c:pt>
                <c:pt idx="778">
                  <c:v>2.348337227635775</c:v>
                </c:pt>
                <c:pt idx="779">
                  <c:v>2.34830035209733</c:v>
                </c:pt>
                <c:pt idx="780">
                  <c:v>2.348263476839441</c:v>
                </c:pt>
                <c:pt idx="781">
                  <c:v>2.3482266018620974</c:v>
                </c:pt>
                <c:pt idx="782">
                  <c:v>2.3481897271653072</c:v>
                </c:pt>
                <c:pt idx="783">
                  <c:v>2.3481528527490623</c:v>
                </c:pt>
                <c:pt idx="784">
                  <c:v>2.3481159786133716</c:v>
                </c:pt>
                <c:pt idx="785">
                  <c:v>2.3480791047582343</c:v>
                </c:pt>
                <c:pt idx="786">
                  <c:v>2.3480422311836451</c:v>
                </c:pt>
                <c:pt idx="787">
                  <c:v>2.3480053578896074</c:v>
                </c:pt>
                <c:pt idx="788">
                  <c:v>2.3479684848761275</c:v>
                </c:pt>
                <c:pt idx="789">
                  <c:v>2.3479316121431975</c:v>
                </c:pt>
                <c:pt idx="790">
                  <c:v>2.3478947396908243</c:v>
                </c:pt>
                <c:pt idx="791">
                  <c:v>2.3478578675190027</c:v>
                </c:pt>
                <c:pt idx="792">
                  <c:v>2.3478209956277354</c:v>
                </c:pt>
                <c:pt idx="793">
                  <c:v>2.3477841240170276</c:v>
                </c:pt>
                <c:pt idx="794">
                  <c:v>2.3477472526868715</c:v>
                </c:pt>
                <c:pt idx="795">
                  <c:v>2.3477103816372731</c:v>
                </c:pt>
                <c:pt idx="796">
                  <c:v>2.3476735108682334</c:v>
                </c:pt>
                <c:pt idx="797">
                  <c:v>2.3476366403797515</c:v>
                </c:pt>
                <c:pt idx="798">
                  <c:v>2.3475997701718274</c:v>
                </c:pt>
                <c:pt idx="799">
                  <c:v>2.3475629002444585</c:v>
                </c:pt>
                <c:pt idx="800">
                  <c:v>2.3475260305976535</c:v>
                </c:pt>
                <c:pt idx="801">
                  <c:v>2.3474891612314055</c:v>
                </c:pt>
                <c:pt idx="802">
                  <c:v>2.3474522921457197</c:v>
                </c:pt>
                <c:pt idx="803">
                  <c:v>2.3474154233405917</c:v>
                </c:pt>
                <c:pt idx="804">
                  <c:v>2.3473785548160286</c:v>
                </c:pt>
                <c:pt idx="805">
                  <c:v>2.3473416865720225</c:v>
                </c:pt>
                <c:pt idx="806">
                  <c:v>2.3473048186085812</c:v>
                </c:pt>
                <c:pt idx="807">
                  <c:v>2.3472679509257031</c:v>
                </c:pt>
                <c:pt idx="808">
                  <c:v>2.3472310835233916</c:v>
                </c:pt>
                <c:pt idx="809">
                  <c:v>2.3471942164016371</c:v>
                </c:pt>
                <c:pt idx="810">
                  <c:v>2.3471573495604501</c:v>
                </c:pt>
                <c:pt idx="811">
                  <c:v>2.3471204829998271</c:v>
                </c:pt>
                <c:pt idx="812">
                  <c:v>2.3470836167197717</c:v>
                </c:pt>
                <c:pt idx="813">
                  <c:v>2.3470467507202786</c:v>
                </c:pt>
                <c:pt idx="814">
                  <c:v>2.3470098850013548</c:v>
                </c:pt>
                <c:pt idx="815">
                  <c:v>2.3469730195630021</c:v>
                </c:pt>
                <c:pt idx="816">
                  <c:v>2.3469361544052125</c:v>
                </c:pt>
                <c:pt idx="817">
                  <c:v>2.3468992895279888</c:v>
                </c:pt>
                <c:pt idx="818">
                  <c:v>2.3468624249313361</c:v>
                </c:pt>
                <c:pt idx="819">
                  <c:v>2.3468255606152519</c:v>
                </c:pt>
                <c:pt idx="820">
                  <c:v>2.3467886965797398</c:v>
                </c:pt>
                <c:pt idx="821">
                  <c:v>2.3467518328247943</c:v>
                </c:pt>
                <c:pt idx="822">
                  <c:v>2.3467149693504235</c:v>
                </c:pt>
                <c:pt idx="823">
                  <c:v>2.3466781061566166</c:v>
                </c:pt>
                <c:pt idx="824">
                  <c:v>2.3466412432433819</c:v>
                </c:pt>
                <c:pt idx="825">
                  <c:v>2.3466043806107262</c:v>
                </c:pt>
                <c:pt idx="826">
                  <c:v>2.3465675182586443</c:v>
                </c:pt>
                <c:pt idx="827">
                  <c:v>2.3465306561871273</c:v>
                </c:pt>
                <c:pt idx="828">
                  <c:v>2.3464937943961877</c:v>
                </c:pt>
                <c:pt idx="829">
                  <c:v>2.3464569328858218</c:v>
                </c:pt>
                <c:pt idx="830">
                  <c:v>2.3464200716560324</c:v>
                </c:pt>
                <c:pt idx="831">
                  <c:v>2.3463832107068185</c:v>
                </c:pt>
                <c:pt idx="832">
                  <c:v>2.3463463500381776</c:v>
                </c:pt>
                <c:pt idx="833">
                  <c:v>2.3463094896501193</c:v>
                </c:pt>
                <c:pt idx="834">
                  <c:v>2.3462726295426277</c:v>
                </c:pt>
                <c:pt idx="835">
                  <c:v>2.346235769715717</c:v>
                </c:pt>
                <c:pt idx="836">
                  <c:v>2.346198910169389</c:v>
                </c:pt>
                <c:pt idx="837">
                  <c:v>2.3461620509036356</c:v>
                </c:pt>
                <c:pt idx="838">
                  <c:v>2.3461251919184596</c:v>
                </c:pt>
                <c:pt idx="839">
                  <c:v>2.346088333213868</c:v>
                </c:pt>
                <c:pt idx="840">
                  <c:v>2.3460514747898564</c:v>
                </c:pt>
                <c:pt idx="841">
                  <c:v>2.3460146166464213</c:v>
                </c:pt>
                <c:pt idx="842">
                  <c:v>2.3459777587835662</c:v>
                </c:pt>
                <c:pt idx="843">
                  <c:v>2.3459409012012964</c:v>
                </c:pt>
                <c:pt idx="844">
                  <c:v>2.3459040438996066</c:v>
                </c:pt>
                <c:pt idx="845">
                  <c:v>2.3458671868784995</c:v>
                </c:pt>
                <c:pt idx="846">
                  <c:v>2.3458303301379742</c:v>
                </c:pt>
                <c:pt idx="847">
                  <c:v>2.3457934736780359</c:v>
                </c:pt>
                <c:pt idx="848">
                  <c:v>2.3457566174986786</c:v>
                </c:pt>
                <c:pt idx="849">
                  <c:v>2.3457197615999039</c:v>
                </c:pt>
                <c:pt idx="850">
                  <c:v>2.3456829059817181</c:v>
                </c:pt>
                <c:pt idx="851">
                  <c:v>2.3456460506441177</c:v>
                </c:pt>
                <c:pt idx="852">
                  <c:v>2.3456091955871035</c:v>
                </c:pt>
                <c:pt idx="853">
                  <c:v>2.3455723408106754</c:v>
                </c:pt>
                <c:pt idx="854">
                  <c:v>2.3455354863148372</c:v>
                </c:pt>
                <c:pt idx="855">
                  <c:v>2.3454986320995834</c:v>
                </c:pt>
                <c:pt idx="856">
                  <c:v>2.3454617781649159</c:v>
                </c:pt>
                <c:pt idx="857">
                  <c:v>2.3454249245108398</c:v>
                </c:pt>
                <c:pt idx="858">
                  <c:v>2.3453880711373518</c:v>
                </c:pt>
                <c:pt idx="859">
                  <c:v>2.3453512180444545</c:v>
                </c:pt>
                <c:pt idx="860">
                  <c:v>2.3453143652321478</c:v>
                </c:pt>
                <c:pt idx="861">
                  <c:v>2.3452775127004291</c:v>
                </c:pt>
                <c:pt idx="862">
                  <c:v>2.3452406604493072</c:v>
                </c:pt>
                <c:pt idx="863">
                  <c:v>2.3452038084787672</c:v>
                </c:pt>
                <c:pt idx="864">
                  <c:v>2.3451669567888294</c:v>
                </c:pt>
                <c:pt idx="865">
                  <c:v>2.3451301053794822</c:v>
                </c:pt>
                <c:pt idx="866">
                  <c:v>2.3450932542507283</c:v>
                </c:pt>
                <c:pt idx="867">
                  <c:v>2.3450564034025634</c:v>
                </c:pt>
                <c:pt idx="868">
                  <c:v>2.345019552834998</c:v>
                </c:pt>
                <c:pt idx="869">
                  <c:v>2.3449827025480268</c:v>
                </c:pt>
                <c:pt idx="870">
                  <c:v>2.3449458525416507</c:v>
                </c:pt>
                <c:pt idx="871">
                  <c:v>2.3449090028158679</c:v>
                </c:pt>
                <c:pt idx="872">
                  <c:v>2.3448721533706838</c:v>
                </c:pt>
                <c:pt idx="873">
                  <c:v>2.344835304206101</c:v>
                </c:pt>
                <c:pt idx="874">
                  <c:v>2.3447984553221071</c:v>
                </c:pt>
                <c:pt idx="875">
                  <c:v>2.3447616067187145</c:v>
                </c:pt>
                <c:pt idx="876">
                  <c:v>2.344724758395925</c:v>
                </c:pt>
                <c:pt idx="877">
                  <c:v>2.3446879103537315</c:v>
                </c:pt>
                <c:pt idx="878">
                  <c:v>2.3446510625921384</c:v>
                </c:pt>
                <c:pt idx="879">
                  <c:v>2.3446142151111475</c:v>
                </c:pt>
                <c:pt idx="880">
                  <c:v>2.3445773679107518</c:v>
                </c:pt>
                <c:pt idx="881">
                  <c:v>2.3445405209909573</c:v>
                </c:pt>
                <c:pt idx="882">
                  <c:v>2.3445036743517669</c:v>
                </c:pt>
                <c:pt idx="883">
                  <c:v>2.3444668279931786</c:v>
                </c:pt>
                <c:pt idx="884">
                  <c:v>2.3444299819151926</c:v>
                </c:pt>
                <c:pt idx="885">
                  <c:v>2.3443931361178096</c:v>
                </c:pt>
                <c:pt idx="886">
                  <c:v>2.3443562906010307</c:v>
                </c:pt>
                <c:pt idx="887">
                  <c:v>2.3443194453648566</c:v>
                </c:pt>
                <c:pt idx="888">
                  <c:v>2.3442826004092829</c:v>
                </c:pt>
                <c:pt idx="889">
                  <c:v>2.3442457557343168</c:v>
                </c:pt>
                <c:pt idx="890">
                  <c:v>2.3442089113399591</c:v>
                </c:pt>
                <c:pt idx="891">
                  <c:v>2.344172067226209</c:v>
                </c:pt>
                <c:pt idx="892">
                  <c:v>2.3441352233930592</c:v>
                </c:pt>
                <c:pt idx="893">
                  <c:v>2.3440983798405224</c:v>
                </c:pt>
                <c:pt idx="894">
                  <c:v>2.3440615365685904</c:v>
                </c:pt>
                <c:pt idx="895">
                  <c:v>2.3440246935772659</c:v>
                </c:pt>
                <c:pt idx="896">
                  <c:v>2.3439878508665526</c:v>
                </c:pt>
                <c:pt idx="897">
                  <c:v>2.3439510084364494</c:v>
                </c:pt>
                <c:pt idx="898">
                  <c:v>2.3439141662869512</c:v>
                </c:pt>
                <c:pt idx="899">
                  <c:v>2.3438773244180675</c:v>
                </c:pt>
                <c:pt idx="900">
                  <c:v>2.3438404828297923</c:v>
                </c:pt>
                <c:pt idx="901">
                  <c:v>2.3438036415221317</c:v>
                </c:pt>
                <c:pt idx="902">
                  <c:v>2.3437668004950813</c:v>
                </c:pt>
                <c:pt idx="903">
                  <c:v>2.3437299597486438</c:v>
                </c:pt>
                <c:pt idx="904">
                  <c:v>2.3436931192828157</c:v>
                </c:pt>
                <c:pt idx="905">
                  <c:v>2.3436562790976057</c:v>
                </c:pt>
                <c:pt idx="906">
                  <c:v>2.343619439193005</c:v>
                </c:pt>
                <c:pt idx="907">
                  <c:v>2.3435825995690225</c:v>
                </c:pt>
                <c:pt idx="908">
                  <c:v>2.3435457602256546</c:v>
                </c:pt>
                <c:pt idx="909">
                  <c:v>2.3435089211629023</c:v>
                </c:pt>
                <c:pt idx="910">
                  <c:v>2.343472082380762</c:v>
                </c:pt>
                <c:pt idx="911">
                  <c:v>2.3434352438792434</c:v>
                </c:pt>
                <c:pt idx="912">
                  <c:v>2.3433984056583403</c:v>
                </c:pt>
                <c:pt idx="913">
                  <c:v>2.3433615677180555</c:v>
                </c:pt>
                <c:pt idx="914">
                  <c:v>2.3433247300583862</c:v>
                </c:pt>
                <c:pt idx="915">
                  <c:v>2.3432878926793377</c:v>
                </c:pt>
                <c:pt idx="916">
                  <c:v>2.3432510555809083</c:v>
                </c:pt>
                <c:pt idx="917">
                  <c:v>2.343214218763098</c:v>
                </c:pt>
                <c:pt idx="918">
                  <c:v>2.3431773822259023</c:v>
                </c:pt>
                <c:pt idx="919">
                  <c:v>2.3431405459693355</c:v>
                </c:pt>
                <c:pt idx="920">
                  <c:v>2.3431037099933878</c:v>
                </c:pt>
                <c:pt idx="921">
                  <c:v>2.3430668742980574</c:v>
                </c:pt>
                <c:pt idx="922">
                  <c:v>2.3430300388833567</c:v>
                </c:pt>
                <c:pt idx="923">
                  <c:v>2.3429932037492707</c:v>
                </c:pt>
                <c:pt idx="924">
                  <c:v>2.3429563688958117</c:v>
                </c:pt>
                <c:pt idx="925">
                  <c:v>2.3429195343229816</c:v>
                </c:pt>
                <c:pt idx="926">
                  <c:v>2.3428827000307679</c:v>
                </c:pt>
                <c:pt idx="927">
                  <c:v>2.3428458660191795</c:v>
                </c:pt>
                <c:pt idx="928">
                  <c:v>2.3428090322882191</c:v>
                </c:pt>
                <c:pt idx="929">
                  <c:v>2.3427721988378858</c:v>
                </c:pt>
                <c:pt idx="930">
                  <c:v>2.342735365668176</c:v>
                </c:pt>
                <c:pt idx="931">
                  <c:v>2.3426985327790906</c:v>
                </c:pt>
                <c:pt idx="932">
                  <c:v>2.3426617001706367</c:v>
                </c:pt>
                <c:pt idx="933">
                  <c:v>2.3426248678428081</c:v>
                </c:pt>
                <c:pt idx="934">
                  <c:v>2.3425880357956119</c:v>
                </c:pt>
                <c:pt idx="935">
                  <c:v>2.3425512040290402</c:v>
                </c:pt>
                <c:pt idx="936">
                  <c:v>2.3425143725430981</c:v>
                </c:pt>
                <c:pt idx="937">
                  <c:v>2.3424775413377885</c:v>
                </c:pt>
                <c:pt idx="938">
                  <c:v>2.3424407104131095</c:v>
                </c:pt>
                <c:pt idx="939">
                  <c:v>2.3424038797690567</c:v>
                </c:pt>
                <c:pt idx="940">
                  <c:v>2.3423670494056372</c:v>
                </c:pt>
                <c:pt idx="941">
                  <c:v>2.3423302193228528</c:v>
                </c:pt>
                <c:pt idx="942">
                  <c:v>2.3422933895207008</c:v>
                </c:pt>
                <c:pt idx="943">
                  <c:v>2.3422565599991767</c:v>
                </c:pt>
                <c:pt idx="944">
                  <c:v>2.3422197307582922</c:v>
                </c:pt>
                <c:pt idx="945">
                  <c:v>2.3421829017980356</c:v>
                </c:pt>
                <c:pt idx="946">
                  <c:v>2.3421460731184167</c:v>
                </c:pt>
                <c:pt idx="947">
                  <c:v>2.3421092447194294</c:v>
                </c:pt>
                <c:pt idx="948">
                  <c:v>2.3420724166010851</c:v>
                </c:pt>
                <c:pt idx="949">
                  <c:v>2.3420355887633679</c:v>
                </c:pt>
                <c:pt idx="950">
                  <c:v>2.3419987612062911</c:v>
                </c:pt>
                <c:pt idx="951">
                  <c:v>2.3419619339298512</c:v>
                </c:pt>
                <c:pt idx="952">
                  <c:v>2.3419251069340516</c:v>
                </c:pt>
                <c:pt idx="953">
                  <c:v>2.3418882802188863</c:v>
                </c:pt>
                <c:pt idx="954">
                  <c:v>2.3418514537843587</c:v>
                </c:pt>
                <c:pt idx="955">
                  <c:v>2.3418146276304741</c:v>
                </c:pt>
                <c:pt idx="956">
                  <c:v>2.3417778017572219</c:v>
                </c:pt>
                <c:pt idx="957">
                  <c:v>2.3417409761646191</c:v>
                </c:pt>
                <c:pt idx="958">
                  <c:v>2.3417041508526495</c:v>
                </c:pt>
                <c:pt idx="959">
                  <c:v>2.3416673258213256</c:v>
                </c:pt>
                <c:pt idx="960">
                  <c:v>2.3416305010706431</c:v>
                </c:pt>
                <c:pt idx="961">
                  <c:v>2.3415936766006009</c:v>
                </c:pt>
                <c:pt idx="962">
                  <c:v>2.3415568524112027</c:v>
                </c:pt>
                <c:pt idx="963">
                  <c:v>2.3415200285024458</c:v>
                </c:pt>
                <c:pt idx="964">
                  <c:v>2.3414832048743355</c:v>
                </c:pt>
                <c:pt idx="965">
                  <c:v>2.3414463815268638</c:v>
                </c:pt>
                <c:pt idx="966">
                  <c:v>2.3414095584600414</c:v>
                </c:pt>
                <c:pt idx="967">
                  <c:v>2.3413727356738638</c:v>
                </c:pt>
                <c:pt idx="968">
                  <c:v>2.3413359131683293</c:v>
                </c:pt>
                <c:pt idx="969">
                  <c:v>2.3412990909434415</c:v>
                </c:pt>
                <c:pt idx="970">
                  <c:v>2.341262268999202</c:v>
                </c:pt>
                <c:pt idx="971">
                  <c:v>2.3412254473356073</c:v>
                </c:pt>
                <c:pt idx="972">
                  <c:v>2.3411886259526629</c:v>
                </c:pt>
                <c:pt idx="973">
                  <c:v>2.3411518048503632</c:v>
                </c:pt>
                <c:pt idx="974">
                  <c:v>2.3411149840287164</c:v>
                </c:pt>
                <c:pt idx="975">
                  <c:v>2.341078163487718</c:v>
                </c:pt>
                <c:pt idx="976">
                  <c:v>2.3410413432273689</c:v>
                </c:pt>
                <c:pt idx="977">
                  <c:v>2.3410045232476708</c:v>
                </c:pt>
                <c:pt idx="978">
                  <c:v>2.340967703548622</c:v>
                </c:pt>
                <c:pt idx="979">
                  <c:v>2.3409308841302261</c:v>
                </c:pt>
                <c:pt idx="980">
                  <c:v>2.3408940649924794</c:v>
                </c:pt>
                <c:pt idx="981">
                  <c:v>2.3408572461353874</c:v>
                </c:pt>
                <c:pt idx="982">
                  <c:v>2.3408204275589464</c:v>
                </c:pt>
                <c:pt idx="983">
                  <c:v>2.3407836092631591</c:v>
                </c:pt>
                <c:pt idx="984">
                  <c:v>2.3407467912480264</c:v>
                </c:pt>
                <c:pt idx="985">
                  <c:v>2.3407099735135466</c:v>
                </c:pt>
                <c:pt idx="986">
                  <c:v>2.3406731560597231</c:v>
                </c:pt>
                <c:pt idx="987">
                  <c:v>2.3406363388865561</c:v>
                </c:pt>
                <c:pt idx="988">
                  <c:v>2.3405995219940401</c:v>
                </c:pt>
                <c:pt idx="989">
                  <c:v>2.3405627053821849</c:v>
                </c:pt>
                <c:pt idx="990">
                  <c:v>2.3405258890509844</c:v>
                </c:pt>
                <c:pt idx="991">
                  <c:v>2.3404890730004437</c:v>
                </c:pt>
                <c:pt idx="992">
                  <c:v>2.3404522572305613</c:v>
                </c:pt>
                <c:pt idx="993">
                  <c:v>2.3404154417413308</c:v>
                </c:pt>
                <c:pt idx="994">
                  <c:v>2.3403786265327655</c:v>
                </c:pt>
                <c:pt idx="995">
                  <c:v>2.3403418116048584</c:v>
                </c:pt>
                <c:pt idx="996">
                  <c:v>2.3403049969576131</c:v>
                </c:pt>
                <c:pt idx="997">
                  <c:v>2.3402681825910223</c:v>
                </c:pt>
                <c:pt idx="998">
                  <c:v>2.3402313685050951</c:v>
                </c:pt>
                <c:pt idx="999">
                  <c:v>2.3401945546998286</c:v>
                </c:pt>
                <c:pt idx="1000">
                  <c:v>2.3401577411752283</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35.800100000000199</c:v>
                </c:pt>
                <c:pt idx="720">
                  <c:v>35.800200000000203</c:v>
                </c:pt>
                <c:pt idx="721">
                  <c:v>35.800300000000206</c:v>
                </c:pt>
                <c:pt idx="722">
                  <c:v>35.800400000000209</c:v>
                </c:pt>
                <c:pt idx="723">
                  <c:v>35.800500000000213</c:v>
                </c:pt>
                <c:pt idx="724">
                  <c:v>35.800600000000216</c:v>
                </c:pt>
                <c:pt idx="725">
                  <c:v>35.800700000000219</c:v>
                </c:pt>
                <c:pt idx="726">
                  <c:v>35.800800000000223</c:v>
                </c:pt>
                <c:pt idx="727">
                  <c:v>35.800900000000226</c:v>
                </c:pt>
                <c:pt idx="728">
                  <c:v>35.801000000000229</c:v>
                </c:pt>
                <c:pt idx="729">
                  <c:v>35.801100000000233</c:v>
                </c:pt>
                <c:pt idx="730">
                  <c:v>35.801200000000236</c:v>
                </c:pt>
                <c:pt idx="731">
                  <c:v>35.801300000000239</c:v>
                </c:pt>
                <c:pt idx="732">
                  <c:v>35.801400000000243</c:v>
                </c:pt>
                <c:pt idx="733">
                  <c:v>35.801500000000246</c:v>
                </c:pt>
                <c:pt idx="734">
                  <c:v>35.801600000000249</c:v>
                </c:pt>
                <c:pt idx="735">
                  <c:v>35.801700000000253</c:v>
                </c:pt>
                <c:pt idx="736">
                  <c:v>35.801800000000256</c:v>
                </c:pt>
                <c:pt idx="737">
                  <c:v>35.801900000000259</c:v>
                </c:pt>
                <c:pt idx="738">
                  <c:v>35.802000000000263</c:v>
                </c:pt>
                <c:pt idx="739">
                  <c:v>35.802100000000266</c:v>
                </c:pt>
                <c:pt idx="740">
                  <c:v>35.802200000000269</c:v>
                </c:pt>
                <c:pt idx="741">
                  <c:v>35.802300000000272</c:v>
                </c:pt>
                <c:pt idx="742">
                  <c:v>35.802400000000276</c:v>
                </c:pt>
                <c:pt idx="743">
                  <c:v>35.802500000000279</c:v>
                </c:pt>
                <c:pt idx="744">
                  <c:v>35.802600000000282</c:v>
                </c:pt>
                <c:pt idx="745">
                  <c:v>35.802700000000286</c:v>
                </c:pt>
                <c:pt idx="746">
                  <c:v>35.802800000000289</c:v>
                </c:pt>
                <c:pt idx="747">
                  <c:v>35.802900000000292</c:v>
                </c:pt>
                <c:pt idx="748">
                  <c:v>35.803000000000296</c:v>
                </c:pt>
                <c:pt idx="749">
                  <c:v>35.803100000000299</c:v>
                </c:pt>
                <c:pt idx="750">
                  <c:v>35.803200000000302</c:v>
                </c:pt>
                <c:pt idx="751">
                  <c:v>35.803300000000306</c:v>
                </c:pt>
                <c:pt idx="752">
                  <c:v>35.803400000000309</c:v>
                </c:pt>
                <c:pt idx="753">
                  <c:v>35.803500000000312</c:v>
                </c:pt>
                <c:pt idx="754">
                  <c:v>35.803600000000316</c:v>
                </c:pt>
                <c:pt idx="755">
                  <c:v>35.803700000000319</c:v>
                </c:pt>
                <c:pt idx="756">
                  <c:v>35.803800000000322</c:v>
                </c:pt>
                <c:pt idx="757">
                  <c:v>35.803900000000326</c:v>
                </c:pt>
                <c:pt idx="758">
                  <c:v>35.804000000000329</c:v>
                </c:pt>
                <c:pt idx="759">
                  <c:v>35.804100000000332</c:v>
                </c:pt>
                <c:pt idx="760">
                  <c:v>35.804200000000336</c:v>
                </c:pt>
                <c:pt idx="761">
                  <c:v>35.804300000000339</c:v>
                </c:pt>
                <c:pt idx="762">
                  <c:v>35.804400000000342</c:v>
                </c:pt>
                <c:pt idx="763">
                  <c:v>35.804500000000345</c:v>
                </c:pt>
                <c:pt idx="764">
                  <c:v>35.804600000000349</c:v>
                </c:pt>
                <c:pt idx="765">
                  <c:v>35.804700000000352</c:v>
                </c:pt>
                <c:pt idx="766">
                  <c:v>35.804800000000355</c:v>
                </c:pt>
                <c:pt idx="767">
                  <c:v>35.804900000000359</c:v>
                </c:pt>
                <c:pt idx="768">
                  <c:v>35.805000000000362</c:v>
                </c:pt>
                <c:pt idx="769">
                  <c:v>35.805100000000365</c:v>
                </c:pt>
                <c:pt idx="770">
                  <c:v>35.805200000000369</c:v>
                </c:pt>
                <c:pt idx="771">
                  <c:v>35.805300000000372</c:v>
                </c:pt>
                <c:pt idx="772">
                  <c:v>35.805400000000375</c:v>
                </c:pt>
                <c:pt idx="773">
                  <c:v>35.805500000000379</c:v>
                </c:pt>
                <c:pt idx="774">
                  <c:v>35.805600000000382</c:v>
                </c:pt>
                <c:pt idx="775">
                  <c:v>35.805700000000385</c:v>
                </c:pt>
                <c:pt idx="776">
                  <c:v>35.805800000000389</c:v>
                </c:pt>
                <c:pt idx="777">
                  <c:v>35.805900000000392</c:v>
                </c:pt>
                <c:pt idx="778">
                  <c:v>35.806000000000395</c:v>
                </c:pt>
                <c:pt idx="779">
                  <c:v>35.806100000000399</c:v>
                </c:pt>
                <c:pt idx="780">
                  <c:v>35.806200000000402</c:v>
                </c:pt>
                <c:pt idx="781">
                  <c:v>35.806300000000405</c:v>
                </c:pt>
                <c:pt idx="782">
                  <c:v>35.806400000000409</c:v>
                </c:pt>
                <c:pt idx="783">
                  <c:v>35.806500000000412</c:v>
                </c:pt>
                <c:pt idx="784">
                  <c:v>35.806600000000415</c:v>
                </c:pt>
                <c:pt idx="785">
                  <c:v>35.806700000000419</c:v>
                </c:pt>
                <c:pt idx="786">
                  <c:v>35.806800000000422</c:v>
                </c:pt>
                <c:pt idx="787">
                  <c:v>35.806900000000425</c:v>
                </c:pt>
                <c:pt idx="788">
                  <c:v>35.807000000000428</c:v>
                </c:pt>
                <c:pt idx="789">
                  <c:v>35.807100000000432</c:v>
                </c:pt>
                <c:pt idx="790">
                  <c:v>35.807200000000435</c:v>
                </c:pt>
                <c:pt idx="791">
                  <c:v>35.807300000000438</c:v>
                </c:pt>
                <c:pt idx="792">
                  <c:v>35.807400000000442</c:v>
                </c:pt>
                <c:pt idx="793">
                  <c:v>35.807500000000445</c:v>
                </c:pt>
                <c:pt idx="794">
                  <c:v>35.807600000000448</c:v>
                </c:pt>
                <c:pt idx="795">
                  <c:v>35.807700000000452</c:v>
                </c:pt>
                <c:pt idx="796">
                  <c:v>35.807800000000455</c:v>
                </c:pt>
                <c:pt idx="797">
                  <c:v>35.807900000000458</c:v>
                </c:pt>
                <c:pt idx="798">
                  <c:v>35.808000000000462</c:v>
                </c:pt>
                <c:pt idx="799">
                  <c:v>35.808100000000465</c:v>
                </c:pt>
                <c:pt idx="800">
                  <c:v>35.808200000000468</c:v>
                </c:pt>
                <c:pt idx="801">
                  <c:v>35.808300000000472</c:v>
                </c:pt>
                <c:pt idx="802">
                  <c:v>35.808400000000475</c:v>
                </c:pt>
                <c:pt idx="803">
                  <c:v>35.808500000000478</c:v>
                </c:pt>
                <c:pt idx="804">
                  <c:v>35.808600000000482</c:v>
                </c:pt>
                <c:pt idx="805">
                  <c:v>35.808700000000485</c:v>
                </c:pt>
                <c:pt idx="806">
                  <c:v>35.808800000000488</c:v>
                </c:pt>
                <c:pt idx="807">
                  <c:v>35.808900000000492</c:v>
                </c:pt>
                <c:pt idx="808">
                  <c:v>35.809000000000495</c:v>
                </c:pt>
                <c:pt idx="809">
                  <c:v>35.809100000000498</c:v>
                </c:pt>
                <c:pt idx="810">
                  <c:v>35.809200000000502</c:v>
                </c:pt>
                <c:pt idx="811">
                  <c:v>35.809300000000505</c:v>
                </c:pt>
                <c:pt idx="812">
                  <c:v>35.809400000000508</c:v>
                </c:pt>
                <c:pt idx="813">
                  <c:v>35.809500000000511</c:v>
                </c:pt>
                <c:pt idx="814">
                  <c:v>35.809600000000515</c:v>
                </c:pt>
                <c:pt idx="815">
                  <c:v>35.809700000000518</c:v>
                </c:pt>
                <c:pt idx="816">
                  <c:v>35.809800000000521</c:v>
                </c:pt>
                <c:pt idx="817">
                  <c:v>35.809900000000525</c:v>
                </c:pt>
                <c:pt idx="818">
                  <c:v>35.810000000000528</c:v>
                </c:pt>
                <c:pt idx="819">
                  <c:v>35.810100000000531</c:v>
                </c:pt>
                <c:pt idx="820">
                  <c:v>35.810200000000535</c:v>
                </c:pt>
                <c:pt idx="821">
                  <c:v>35.810300000000538</c:v>
                </c:pt>
                <c:pt idx="822">
                  <c:v>35.810400000000541</c:v>
                </c:pt>
                <c:pt idx="823">
                  <c:v>35.810500000000545</c:v>
                </c:pt>
                <c:pt idx="824">
                  <c:v>35.810600000000548</c:v>
                </c:pt>
                <c:pt idx="825">
                  <c:v>35.810700000000551</c:v>
                </c:pt>
                <c:pt idx="826">
                  <c:v>35.810800000000555</c:v>
                </c:pt>
                <c:pt idx="827">
                  <c:v>35.810900000000558</c:v>
                </c:pt>
                <c:pt idx="828">
                  <c:v>35.811000000000561</c:v>
                </c:pt>
                <c:pt idx="829">
                  <c:v>35.811100000000565</c:v>
                </c:pt>
                <c:pt idx="830">
                  <c:v>35.811200000000568</c:v>
                </c:pt>
                <c:pt idx="831">
                  <c:v>35.811300000000571</c:v>
                </c:pt>
                <c:pt idx="832">
                  <c:v>35.811400000000575</c:v>
                </c:pt>
                <c:pt idx="833">
                  <c:v>35.811500000000578</c:v>
                </c:pt>
                <c:pt idx="834">
                  <c:v>35.811600000000581</c:v>
                </c:pt>
                <c:pt idx="835">
                  <c:v>35.811700000000585</c:v>
                </c:pt>
                <c:pt idx="836">
                  <c:v>35.811800000000588</c:v>
                </c:pt>
                <c:pt idx="837">
                  <c:v>35.811900000000591</c:v>
                </c:pt>
                <c:pt idx="838">
                  <c:v>35.812000000000594</c:v>
                </c:pt>
                <c:pt idx="839">
                  <c:v>35.812100000000598</c:v>
                </c:pt>
                <c:pt idx="840">
                  <c:v>35.812200000000601</c:v>
                </c:pt>
                <c:pt idx="841">
                  <c:v>35.812300000000604</c:v>
                </c:pt>
                <c:pt idx="842">
                  <c:v>35.812400000000608</c:v>
                </c:pt>
                <c:pt idx="843">
                  <c:v>35.812500000000611</c:v>
                </c:pt>
                <c:pt idx="844">
                  <c:v>35.812600000000614</c:v>
                </c:pt>
                <c:pt idx="845">
                  <c:v>35.812700000000618</c:v>
                </c:pt>
                <c:pt idx="846">
                  <c:v>35.812800000000621</c:v>
                </c:pt>
                <c:pt idx="847">
                  <c:v>35.812900000000624</c:v>
                </c:pt>
                <c:pt idx="848">
                  <c:v>35.813000000000628</c:v>
                </c:pt>
                <c:pt idx="849">
                  <c:v>35.813100000000631</c:v>
                </c:pt>
                <c:pt idx="850">
                  <c:v>35.813200000000634</c:v>
                </c:pt>
                <c:pt idx="851">
                  <c:v>35.813300000000638</c:v>
                </c:pt>
                <c:pt idx="852">
                  <c:v>35.813400000000641</c:v>
                </c:pt>
                <c:pt idx="853">
                  <c:v>35.813500000000644</c:v>
                </c:pt>
                <c:pt idx="854">
                  <c:v>35.813600000000648</c:v>
                </c:pt>
                <c:pt idx="855">
                  <c:v>35.813700000000651</c:v>
                </c:pt>
                <c:pt idx="856">
                  <c:v>35.813800000000654</c:v>
                </c:pt>
                <c:pt idx="857">
                  <c:v>35.813900000000658</c:v>
                </c:pt>
                <c:pt idx="858">
                  <c:v>35.814000000000661</c:v>
                </c:pt>
                <c:pt idx="859">
                  <c:v>35.814100000000664</c:v>
                </c:pt>
                <c:pt idx="860">
                  <c:v>35.814200000000668</c:v>
                </c:pt>
                <c:pt idx="861">
                  <c:v>35.814300000000671</c:v>
                </c:pt>
                <c:pt idx="862">
                  <c:v>35.814400000000674</c:v>
                </c:pt>
                <c:pt idx="863">
                  <c:v>35.814500000000677</c:v>
                </c:pt>
                <c:pt idx="864">
                  <c:v>35.814600000000681</c:v>
                </c:pt>
                <c:pt idx="865">
                  <c:v>35.814700000000684</c:v>
                </c:pt>
                <c:pt idx="866">
                  <c:v>35.814800000000687</c:v>
                </c:pt>
                <c:pt idx="867">
                  <c:v>35.814900000000691</c:v>
                </c:pt>
                <c:pt idx="868">
                  <c:v>35.815000000000694</c:v>
                </c:pt>
                <c:pt idx="869">
                  <c:v>35.815100000000697</c:v>
                </c:pt>
                <c:pt idx="870">
                  <c:v>35.815200000000701</c:v>
                </c:pt>
                <c:pt idx="871">
                  <c:v>35.815300000000704</c:v>
                </c:pt>
                <c:pt idx="872">
                  <c:v>35.815400000000707</c:v>
                </c:pt>
                <c:pt idx="873">
                  <c:v>35.815500000000711</c:v>
                </c:pt>
                <c:pt idx="874">
                  <c:v>35.815600000000714</c:v>
                </c:pt>
                <c:pt idx="875">
                  <c:v>35.815700000000717</c:v>
                </c:pt>
                <c:pt idx="876">
                  <c:v>35.815800000000721</c:v>
                </c:pt>
                <c:pt idx="877">
                  <c:v>35.815900000000724</c:v>
                </c:pt>
                <c:pt idx="878">
                  <c:v>35.816000000000727</c:v>
                </c:pt>
                <c:pt idx="879">
                  <c:v>35.816100000000731</c:v>
                </c:pt>
                <c:pt idx="880">
                  <c:v>35.816200000000734</c:v>
                </c:pt>
                <c:pt idx="881">
                  <c:v>35.816300000000737</c:v>
                </c:pt>
                <c:pt idx="882">
                  <c:v>35.816400000000741</c:v>
                </c:pt>
                <c:pt idx="883">
                  <c:v>35.816500000000744</c:v>
                </c:pt>
                <c:pt idx="884">
                  <c:v>35.816600000000747</c:v>
                </c:pt>
                <c:pt idx="885">
                  <c:v>35.81670000000075</c:v>
                </c:pt>
                <c:pt idx="886">
                  <c:v>35.816800000000754</c:v>
                </c:pt>
                <c:pt idx="887">
                  <c:v>35.816900000000757</c:v>
                </c:pt>
                <c:pt idx="888">
                  <c:v>35.81700000000076</c:v>
                </c:pt>
                <c:pt idx="889">
                  <c:v>35.817100000000764</c:v>
                </c:pt>
                <c:pt idx="890">
                  <c:v>35.817200000000767</c:v>
                </c:pt>
                <c:pt idx="891">
                  <c:v>35.81730000000077</c:v>
                </c:pt>
                <c:pt idx="892">
                  <c:v>35.817400000000774</c:v>
                </c:pt>
                <c:pt idx="893">
                  <c:v>35.817500000000777</c:v>
                </c:pt>
                <c:pt idx="894">
                  <c:v>35.81760000000078</c:v>
                </c:pt>
                <c:pt idx="895">
                  <c:v>35.817700000000784</c:v>
                </c:pt>
                <c:pt idx="896">
                  <c:v>35.817800000000787</c:v>
                </c:pt>
                <c:pt idx="897">
                  <c:v>35.81790000000079</c:v>
                </c:pt>
                <c:pt idx="898">
                  <c:v>35.818000000000794</c:v>
                </c:pt>
                <c:pt idx="899">
                  <c:v>35.818100000000797</c:v>
                </c:pt>
                <c:pt idx="900">
                  <c:v>35.8182000000008</c:v>
                </c:pt>
                <c:pt idx="901">
                  <c:v>35.818300000000804</c:v>
                </c:pt>
                <c:pt idx="902">
                  <c:v>35.818400000000807</c:v>
                </c:pt>
                <c:pt idx="903">
                  <c:v>35.81850000000081</c:v>
                </c:pt>
                <c:pt idx="904">
                  <c:v>35.818600000000814</c:v>
                </c:pt>
                <c:pt idx="905">
                  <c:v>35.818700000000817</c:v>
                </c:pt>
                <c:pt idx="906">
                  <c:v>35.81880000000082</c:v>
                </c:pt>
                <c:pt idx="907">
                  <c:v>35.818900000000824</c:v>
                </c:pt>
                <c:pt idx="908">
                  <c:v>35.819000000000827</c:v>
                </c:pt>
                <c:pt idx="909">
                  <c:v>35.81910000000083</c:v>
                </c:pt>
                <c:pt idx="910">
                  <c:v>35.819200000000833</c:v>
                </c:pt>
                <c:pt idx="911">
                  <c:v>35.819300000000837</c:v>
                </c:pt>
                <c:pt idx="912">
                  <c:v>35.81940000000084</c:v>
                </c:pt>
                <c:pt idx="913">
                  <c:v>35.819500000000843</c:v>
                </c:pt>
                <c:pt idx="914">
                  <c:v>35.819600000000847</c:v>
                </c:pt>
                <c:pt idx="915">
                  <c:v>35.81970000000085</c:v>
                </c:pt>
                <c:pt idx="916">
                  <c:v>35.819800000000853</c:v>
                </c:pt>
                <c:pt idx="917">
                  <c:v>35.819900000000857</c:v>
                </c:pt>
                <c:pt idx="918">
                  <c:v>35.82000000000086</c:v>
                </c:pt>
                <c:pt idx="919">
                  <c:v>35.820100000000863</c:v>
                </c:pt>
                <c:pt idx="920">
                  <c:v>35.820200000000867</c:v>
                </c:pt>
                <c:pt idx="921">
                  <c:v>35.82030000000087</c:v>
                </c:pt>
                <c:pt idx="922">
                  <c:v>35.820400000000873</c:v>
                </c:pt>
                <c:pt idx="923">
                  <c:v>35.820500000000877</c:v>
                </c:pt>
                <c:pt idx="924">
                  <c:v>35.82060000000088</c:v>
                </c:pt>
                <c:pt idx="925">
                  <c:v>35.820700000000883</c:v>
                </c:pt>
                <c:pt idx="926">
                  <c:v>35.820800000000887</c:v>
                </c:pt>
                <c:pt idx="927">
                  <c:v>35.82090000000089</c:v>
                </c:pt>
                <c:pt idx="928">
                  <c:v>35.821000000000893</c:v>
                </c:pt>
                <c:pt idx="929">
                  <c:v>35.821100000000897</c:v>
                </c:pt>
                <c:pt idx="930">
                  <c:v>35.8212000000009</c:v>
                </c:pt>
                <c:pt idx="931">
                  <c:v>35.821300000000903</c:v>
                </c:pt>
                <c:pt idx="932">
                  <c:v>35.821400000000907</c:v>
                </c:pt>
                <c:pt idx="933">
                  <c:v>35.82150000000091</c:v>
                </c:pt>
                <c:pt idx="934">
                  <c:v>35.821600000000913</c:v>
                </c:pt>
                <c:pt idx="935">
                  <c:v>35.821700000000916</c:v>
                </c:pt>
                <c:pt idx="936">
                  <c:v>35.82180000000092</c:v>
                </c:pt>
                <c:pt idx="937">
                  <c:v>35.821900000000923</c:v>
                </c:pt>
                <c:pt idx="938">
                  <c:v>35.822000000000926</c:v>
                </c:pt>
                <c:pt idx="939">
                  <c:v>35.82210000000093</c:v>
                </c:pt>
                <c:pt idx="940">
                  <c:v>35.822200000000933</c:v>
                </c:pt>
                <c:pt idx="941">
                  <c:v>35.822300000000936</c:v>
                </c:pt>
                <c:pt idx="942">
                  <c:v>35.82240000000094</c:v>
                </c:pt>
                <c:pt idx="943">
                  <c:v>35.822500000000943</c:v>
                </c:pt>
                <c:pt idx="944">
                  <c:v>35.822600000000946</c:v>
                </c:pt>
                <c:pt idx="945">
                  <c:v>35.82270000000095</c:v>
                </c:pt>
                <c:pt idx="946">
                  <c:v>35.822800000000953</c:v>
                </c:pt>
                <c:pt idx="947">
                  <c:v>35.822900000000956</c:v>
                </c:pt>
                <c:pt idx="948">
                  <c:v>35.82300000000096</c:v>
                </c:pt>
                <c:pt idx="949">
                  <c:v>35.823100000000963</c:v>
                </c:pt>
                <c:pt idx="950">
                  <c:v>35.823200000000966</c:v>
                </c:pt>
                <c:pt idx="951">
                  <c:v>35.82330000000097</c:v>
                </c:pt>
                <c:pt idx="952">
                  <c:v>35.823400000000973</c:v>
                </c:pt>
                <c:pt idx="953">
                  <c:v>35.823500000000976</c:v>
                </c:pt>
                <c:pt idx="954">
                  <c:v>35.82360000000098</c:v>
                </c:pt>
                <c:pt idx="955">
                  <c:v>35.823700000000983</c:v>
                </c:pt>
                <c:pt idx="956">
                  <c:v>35.823800000000986</c:v>
                </c:pt>
                <c:pt idx="957">
                  <c:v>35.82390000000099</c:v>
                </c:pt>
                <c:pt idx="958">
                  <c:v>35.824000000000993</c:v>
                </c:pt>
                <c:pt idx="959">
                  <c:v>35.824100000000996</c:v>
                </c:pt>
                <c:pt idx="960">
                  <c:v>35.824200000000999</c:v>
                </c:pt>
                <c:pt idx="961">
                  <c:v>35.824300000001003</c:v>
                </c:pt>
                <c:pt idx="962">
                  <c:v>35.824400000001006</c:v>
                </c:pt>
                <c:pt idx="963">
                  <c:v>35.824500000001009</c:v>
                </c:pt>
                <c:pt idx="964">
                  <c:v>35.824600000001013</c:v>
                </c:pt>
                <c:pt idx="965">
                  <c:v>35.824700000001016</c:v>
                </c:pt>
                <c:pt idx="966">
                  <c:v>35.824800000001019</c:v>
                </c:pt>
                <c:pt idx="967">
                  <c:v>35.824900000001023</c:v>
                </c:pt>
                <c:pt idx="968">
                  <c:v>35.825000000001026</c:v>
                </c:pt>
                <c:pt idx="969">
                  <c:v>35.825100000001029</c:v>
                </c:pt>
                <c:pt idx="970">
                  <c:v>35.825200000001033</c:v>
                </c:pt>
                <c:pt idx="971">
                  <c:v>35.825300000001036</c:v>
                </c:pt>
                <c:pt idx="972">
                  <c:v>35.825400000001039</c:v>
                </c:pt>
                <c:pt idx="973">
                  <c:v>35.825500000001043</c:v>
                </c:pt>
                <c:pt idx="974">
                  <c:v>35.825600000001046</c:v>
                </c:pt>
                <c:pt idx="975">
                  <c:v>35.825700000001049</c:v>
                </c:pt>
                <c:pt idx="976">
                  <c:v>35.825800000001053</c:v>
                </c:pt>
                <c:pt idx="977">
                  <c:v>35.825900000001056</c:v>
                </c:pt>
                <c:pt idx="978">
                  <c:v>35.826000000001059</c:v>
                </c:pt>
                <c:pt idx="979">
                  <c:v>35.826100000001063</c:v>
                </c:pt>
                <c:pt idx="980">
                  <c:v>35.826200000001066</c:v>
                </c:pt>
                <c:pt idx="981">
                  <c:v>35.826300000001069</c:v>
                </c:pt>
                <c:pt idx="982">
                  <c:v>35.826400000001072</c:v>
                </c:pt>
                <c:pt idx="983">
                  <c:v>35.826500000001076</c:v>
                </c:pt>
                <c:pt idx="984">
                  <c:v>35.826600000001079</c:v>
                </c:pt>
                <c:pt idx="985">
                  <c:v>35.826700000001082</c:v>
                </c:pt>
                <c:pt idx="986">
                  <c:v>35.826800000001086</c:v>
                </c:pt>
                <c:pt idx="987">
                  <c:v>35.826900000001089</c:v>
                </c:pt>
                <c:pt idx="988">
                  <c:v>35.827000000001092</c:v>
                </c:pt>
                <c:pt idx="989">
                  <c:v>35.827100000001096</c:v>
                </c:pt>
                <c:pt idx="990">
                  <c:v>35.827200000001099</c:v>
                </c:pt>
                <c:pt idx="991">
                  <c:v>35.827300000001102</c:v>
                </c:pt>
                <c:pt idx="992">
                  <c:v>35.827400000001106</c:v>
                </c:pt>
                <c:pt idx="993">
                  <c:v>35.827500000001109</c:v>
                </c:pt>
                <c:pt idx="994">
                  <c:v>35.827600000001112</c:v>
                </c:pt>
                <c:pt idx="995">
                  <c:v>35.827700000001116</c:v>
                </c:pt>
                <c:pt idx="996">
                  <c:v>35.827800000001119</c:v>
                </c:pt>
                <c:pt idx="997">
                  <c:v>35.827900000001122</c:v>
                </c:pt>
                <c:pt idx="998">
                  <c:v>35.828000000001126</c:v>
                </c:pt>
                <c:pt idx="999">
                  <c:v>35.828100000001129</c:v>
                </c:pt>
                <c:pt idx="1000">
                  <c:v>35.828200000001132</c:v>
                </c:pt>
              </c:numCache>
            </c:numRef>
          </c:xVal>
          <c:yVal>
            <c:numRef>
              <c:f>Calculs!$AH$4:$AH$1004</c:f>
              <c:numCache>
                <c:formatCode>0.00</c:formatCode>
                <c:ptCount val="1001"/>
                <c:pt idx="0">
                  <c:v>0</c:v>
                </c:pt>
                <c:pt idx="1">
                  <c:v>9.909502995366438</c:v>
                </c:pt>
                <c:pt idx="2">
                  <c:v>29.732944948501736</c:v>
                </c:pt>
                <c:pt idx="3">
                  <c:v>49.567218492781201</c:v>
                </c:pt>
                <c:pt idx="4">
                  <c:v>69.418155700565848</c:v>
                </c:pt>
                <c:pt idx="5">
                  <c:v>89.291507261176704</c:v>
                </c:pt>
                <c:pt idx="6">
                  <c:v>99.143830874401914</c:v>
                </c:pt>
                <c:pt idx="7">
                  <c:v>98.956475384318992</c:v>
                </c:pt>
                <c:pt idx="8">
                  <c:v>98.768157992536686</c:v>
                </c:pt>
                <c:pt idx="9">
                  <c:v>98.578882161502889</c:v>
                </c:pt>
                <c:pt idx="10">
                  <c:v>98.388651390268421</c:v>
                </c:pt>
                <c:pt idx="11">
                  <c:v>98.197469214204361</c:v>
                </c:pt>
                <c:pt idx="12">
                  <c:v>98.005339204716179</c:v>
                </c:pt>
                <c:pt idx="13">
                  <c:v>97.812264968954835</c:v>
                </c:pt>
                <c:pt idx="14">
                  <c:v>97.618250149524485</c:v>
                </c:pt>
                <c:pt idx="15">
                  <c:v>97.423298424187308</c:v>
                </c:pt>
                <c:pt idx="16">
                  <c:v>97.227413505565195</c:v>
                </c:pt>
                <c:pt idx="17">
                  <c:v>97.030599140838262</c:v>
                </c:pt>
                <c:pt idx="18">
                  <c:v>96.832859111440669</c:v>
                </c:pt>
                <c:pt idx="19">
                  <c:v>96.634197232753351</c:v>
                </c:pt>
                <c:pt idx="20">
                  <c:v>96.434617353793783</c:v>
                </c:pt>
                <c:pt idx="21">
                  <c:v>96.234123356903154</c:v>
                </c:pt>
                <c:pt idx="22">
                  <c:v>96.032719157430492</c:v>
                </c:pt>
                <c:pt idx="23">
                  <c:v>95.830408703414221</c:v>
                </c:pt>
                <c:pt idx="24">
                  <c:v>95.627195975260818</c:v>
                </c:pt>
                <c:pt idx="25">
                  <c:v>95.423084985421156</c:v>
                </c:pt>
                <c:pt idx="26">
                  <c:v>95.218079778063839</c:v>
                </c:pt>
                <c:pt idx="27">
                  <c:v>95.012184428746281</c:v>
                </c:pt>
                <c:pt idx="28">
                  <c:v>94.805403044083064</c:v>
                </c:pt>
                <c:pt idx="29">
                  <c:v>94.597739761412058</c:v>
                </c:pt>
                <c:pt idx="30">
                  <c:v>94.389198748457844</c:v>
                </c:pt>
                <c:pt idx="31">
                  <c:v>94.179784202993048</c:v>
                </c:pt>
                <c:pt idx="32">
                  <c:v>93.969500352497178</c:v>
                </c:pt>
                <c:pt idx="33">
                  <c:v>93.758351453813205</c:v>
                </c:pt>
                <c:pt idx="34">
                  <c:v>93.546341792802068</c:v>
                </c:pt>
                <c:pt idx="35">
                  <c:v>93.333475653966843</c:v>
                </c:pt>
                <c:pt idx="36">
                  <c:v>93.119757345096943</c:v>
                </c:pt>
                <c:pt idx="37">
                  <c:v>92.905191232724846</c:v>
                </c:pt>
                <c:pt idx="38">
                  <c:v>92.68978171110642</c:v>
                </c:pt>
                <c:pt idx="39">
                  <c:v>92.473533201860121</c:v>
                </c:pt>
                <c:pt idx="40">
                  <c:v>92.256450153604405</c:v>
                </c:pt>
                <c:pt idx="41">
                  <c:v>92.038537041593585</c:v>
                </c:pt>
                <c:pt idx="42">
                  <c:v>91.819798367352362</c:v>
                </c:pt>
                <c:pt idx="43">
                  <c:v>91.600238658308754</c:v>
                </c:pt>
                <c:pt idx="44">
                  <c:v>91.37986246742571</c:v>
                </c:pt>
                <c:pt idx="45">
                  <c:v>91.158674372831186</c:v>
                </c:pt>
                <c:pt idx="46">
                  <c:v>90.936678977446959</c:v>
                </c:pt>
                <c:pt idx="47">
                  <c:v>90.713880908615991</c:v>
                </c:pt>
                <c:pt idx="48">
                  <c:v>90.490284817728607</c:v>
                </c:pt>
                <c:pt idx="49">
                  <c:v>90.265895379847208</c:v>
                </c:pt>
                <c:pt idx="50">
                  <c:v>90.040717293329891</c:v>
                </c:pt>
                <c:pt idx="51">
                  <c:v>89.867647994381201</c:v>
                </c:pt>
                <c:pt idx="52">
                  <c:v>89.746769431378908</c:v>
                </c:pt>
                <c:pt idx="53">
                  <c:v>89.625221192318818</c:v>
                </c:pt>
                <c:pt idx="54">
                  <c:v>89.503005445145263</c:v>
                </c:pt>
                <c:pt idx="55">
                  <c:v>89.380124379897168</c:v>
                </c:pt>
                <c:pt idx="56">
                  <c:v>89.256580208558489</c:v>
                </c:pt>
                <c:pt idx="57">
                  <c:v>89.132375164906975</c:v>
                </c:pt>
                <c:pt idx="58">
                  <c:v>89.007511504361503</c:v>
                </c:pt>
                <c:pt idx="59">
                  <c:v>88.88199150382782</c:v>
                </c:pt>
                <c:pt idx="60">
                  <c:v>88.755817461542989</c:v>
                </c:pt>
                <c:pt idx="61">
                  <c:v>88.628991696917993</c:v>
                </c:pt>
                <c:pt idx="62">
                  <c:v>88.501516550379321</c:v>
                </c:pt>
                <c:pt idx="63">
                  <c:v>88.373394383208847</c:v>
                </c:pt>
                <c:pt idx="64">
                  <c:v>88.244627577382204</c:v>
                </c:pt>
                <c:pt idx="65">
                  <c:v>88.115218535406058</c:v>
                </c:pt>
                <c:pt idx="66">
                  <c:v>87.985169680153618</c:v>
                </c:pt>
                <c:pt idx="67">
                  <c:v>87.854483454699192</c:v>
                </c:pt>
                <c:pt idx="68">
                  <c:v>87.723162322150912</c:v>
                </c:pt>
                <c:pt idx="69">
                  <c:v>87.591208765482534</c:v>
                </c:pt>
                <c:pt idx="70">
                  <c:v>87.458625287363631</c:v>
                </c:pt>
                <c:pt idx="71">
                  <c:v>87.325414409988639</c:v>
                </c:pt>
                <c:pt idx="72">
                  <c:v>87.191578674904633</c:v>
                </c:pt>
                <c:pt idx="73">
                  <c:v>87.057120642837646</c:v>
                </c:pt>
                <c:pt idx="74">
                  <c:v>86.922042893518039</c:v>
                </c:pt>
                <c:pt idx="75">
                  <c:v>86.786348025504324</c:v>
                </c:pt>
                <c:pt idx="76">
                  <c:v>86.650038656006146</c:v>
                </c:pt>
                <c:pt idx="77">
                  <c:v>86.513117420705655</c:v>
                </c:pt>
                <c:pt idx="78">
                  <c:v>86.375586973578152</c:v>
                </c:pt>
                <c:pt idx="79">
                  <c:v>86.237449986711212</c:v>
                </c:pt>
                <c:pt idx="80">
                  <c:v>86.098709150122986</c:v>
                </c:pt>
                <c:pt idx="81">
                  <c:v>85.959367171579217</c:v>
                </c:pt>
                <c:pt idx="82">
                  <c:v>85.819426776409188</c:v>
                </c:pt>
                <c:pt idx="83">
                  <c:v>85.678890707320789</c:v>
                </c:pt>
                <c:pt idx="84">
                  <c:v>85.537761724214235</c:v>
                </c:pt>
                <c:pt idx="85">
                  <c:v>85.396042603995127</c:v>
                </c:pt>
                <c:pt idx="86">
                  <c:v>85.253736140386209</c:v>
                </c:pt>
                <c:pt idx="87">
                  <c:v>85.110845143738402</c:v>
                </c:pt>
                <c:pt idx="88">
                  <c:v>84.967372440840634</c:v>
                </c:pt>
                <c:pt idx="89">
                  <c:v>84.823320874728992</c:v>
                </c:pt>
                <c:pt idx="90">
                  <c:v>84.678693304494843</c:v>
                </c:pt>
                <c:pt idx="91">
                  <c:v>84.533492605092079</c:v>
                </c:pt>
                <c:pt idx="92">
                  <c:v>84.387721667143495</c:v>
                </c:pt>
                <c:pt idx="93">
                  <c:v>84.241383396746329</c:v>
                </c:pt>
                <c:pt idx="94">
                  <c:v>84.094480715277115</c:v>
                </c:pt>
                <c:pt idx="95">
                  <c:v>83.947016559195518</c:v>
                </c:pt>
                <c:pt idx="96">
                  <c:v>83.798993879847558</c:v>
                </c:pt>
                <c:pt idx="97">
                  <c:v>83.650415643268033</c:v>
                </c:pt>
                <c:pt idx="98">
                  <c:v>83.501284829982268</c:v>
                </c:pt>
                <c:pt idx="99">
                  <c:v>83.351604434807086</c:v>
                </c:pt>
                <c:pt idx="100">
                  <c:v>83.201377466651167</c:v>
                </c:pt>
                <c:pt idx="101">
                  <c:v>83.02621592006598</c:v>
                </c:pt>
                <c:pt idx="102">
                  <c:v>82.826098090479874</c:v>
                </c:pt>
                <c:pt idx="103">
                  <c:v>82.625415007202363</c:v>
                </c:pt>
                <c:pt idx="104">
                  <c:v>82.424170880975083</c:v>
                </c:pt>
                <c:pt idx="105">
                  <c:v>82.222369933362998</c:v>
                </c:pt>
                <c:pt idx="106">
                  <c:v>82.020016396460619</c:v>
                </c:pt>
                <c:pt idx="107">
                  <c:v>81.817114512597982</c:v>
                </c:pt>
                <c:pt idx="108">
                  <c:v>81.613668534046624</c:v>
                </c:pt>
                <c:pt idx="109">
                  <c:v>81.40968272272606</c:v>
                </c:pt>
                <c:pt idx="110">
                  <c:v>81.205161349909957</c:v>
                </c:pt>
                <c:pt idx="111">
                  <c:v>81.000108695932582</c:v>
                </c:pt>
                <c:pt idx="112">
                  <c:v>80.794529049895573</c:v>
                </c:pt>
                <c:pt idx="113">
                  <c:v>80.58842670937473</c:v>
                </c:pt>
                <c:pt idx="114">
                  <c:v>80.381805980127297</c:v>
                </c:pt>
                <c:pt idx="115">
                  <c:v>80.174671175799304</c:v>
                </c:pt>
                <c:pt idx="116">
                  <c:v>79.96702661763338</c:v>
                </c:pt>
                <c:pt idx="117">
                  <c:v>79.758876634176914</c:v>
                </c:pt>
                <c:pt idx="118">
                  <c:v>79.550225560990441</c:v>
                </c:pt>
                <c:pt idx="119">
                  <c:v>79.341077740356653</c:v>
                </c:pt>
                <c:pt idx="120">
                  <c:v>79.131437520989891</c:v>
                </c:pt>
                <c:pt idx="121">
                  <c:v>78.921309257745747</c:v>
                </c:pt>
                <c:pt idx="122">
                  <c:v>78.710697311331714</c:v>
                </c:pt>
                <c:pt idx="123">
                  <c:v>78.499606048017966</c:v>
                </c:pt>
                <c:pt idx="124">
                  <c:v>78.288039839348841</c:v>
                </c:pt>
                <c:pt idx="125">
                  <c:v>78.07600306185509</c:v>
                </c:pt>
                <c:pt idx="126">
                  <c:v>77.863500096766529</c:v>
                </c:pt>
                <c:pt idx="127">
                  <c:v>77.650535329725471</c:v>
                </c:pt>
                <c:pt idx="128">
                  <c:v>77.43711315050092</c:v>
                </c:pt>
                <c:pt idx="129">
                  <c:v>77.223237952703329</c:v>
                </c:pt>
                <c:pt idx="130">
                  <c:v>77.008914133500269</c:v>
                </c:pt>
                <c:pt idx="131">
                  <c:v>76.794146093332841</c:v>
                </c:pt>
                <c:pt idx="132">
                  <c:v>76.578938235632918</c:v>
                </c:pt>
                <c:pt idx="133">
                  <c:v>76.363294966541147</c:v>
                </c:pt>
                <c:pt idx="134">
                  <c:v>76.147220694625958</c:v>
                </c:pt>
                <c:pt idx="135">
                  <c:v>75.93071983060338</c:v>
                </c:pt>
                <c:pt idx="136">
                  <c:v>75.713796787057859</c:v>
                </c:pt>
                <c:pt idx="137">
                  <c:v>75.496455978163965</c:v>
                </c:pt>
                <c:pt idx="138">
                  <c:v>75.278701819409136</c:v>
                </c:pt>
                <c:pt idx="139">
                  <c:v>75.060538727317464</c:v>
                </c:pt>
                <c:pt idx="140">
                  <c:v>74.841971119174417</c:v>
                </c:pt>
                <c:pt idx="141">
                  <c:v>74.623003412752752</c:v>
                </c:pt>
                <c:pt idx="142">
                  <c:v>74.403640026039426</c:v>
                </c:pt>
                <c:pt idx="143">
                  <c:v>74.183885376963715</c:v>
                </c:pt>
                <c:pt idx="144">
                  <c:v>73.96374388312644</c:v>
                </c:pt>
                <c:pt idx="145">
                  <c:v>73.74321996153023</c:v>
                </c:pt>
                <c:pt idx="146">
                  <c:v>73.522318028311304</c:v>
                </c:pt>
                <c:pt idx="147">
                  <c:v>73.301042498472157</c:v>
                </c:pt>
                <c:pt idx="148">
                  <c:v>73.079397785615654</c:v>
                </c:pt>
                <c:pt idx="149">
                  <c:v>72.857388301680373</c:v>
                </c:pt>
                <c:pt idx="150">
                  <c:v>72.635018456677159</c:v>
                </c:pt>
                <c:pt idx="151">
                  <c:v>72.420591168093424</c:v>
                </c:pt>
                <c:pt idx="152">
                  <c:v>72.214115273469105</c:v>
                </c:pt>
                <c:pt idx="153">
                  <c:v>72.007294379232945</c:v>
                </c:pt>
                <c:pt idx="154">
                  <c:v>71.800132520459329</c:v>
                </c:pt>
                <c:pt idx="155">
                  <c:v>71.592633730693194</c:v>
                </c:pt>
                <c:pt idx="156">
                  <c:v>71.384802041718686</c:v>
                </c:pt>
                <c:pt idx="157">
                  <c:v>71.176641483328993</c:v>
                </c:pt>
                <c:pt idx="158">
                  <c:v>70.968156083097185</c:v>
                </c:pt>
                <c:pt idx="159">
                  <c:v>70.759349866148426</c:v>
                </c:pt>
                <c:pt idx="160">
                  <c:v>70.550226854933328</c:v>
                </c:pt>
                <c:pt idx="161">
                  <c:v>70.340791069002577</c:v>
                </c:pt>
                <c:pt idx="162">
                  <c:v>70.131046524782562</c:v>
                </c:pt>
                <c:pt idx="163">
                  <c:v>69.920997235352715</c:v>
                </c:pt>
                <c:pt idx="164">
                  <c:v>69.710647210223669</c:v>
                </c:pt>
                <c:pt idx="165">
                  <c:v>69.500000455116961</c:v>
                </c:pt>
                <c:pt idx="166">
                  <c:v>69.289060971746025</c:v>
                </c:pt>
                <c:pt idx="167">
                  <c:v>69.077832757598472</c:v>
                </c:pt>
                <c:pt idx="168">
                  <c:v>68.866319805719669</c:v>
                </c:pt>
                <c:pt idx="169">
                  <c:v>68.654526104497833</c:v>
                </c:pt>
                <c:pt idx="170">
                  <c:v>68.442455637450394</c:v>
                </c:pt>
                <c:pt idx="171">
                  <c:v>68.230112383011729</c:v>
                </c:pt>
                <c:pt idx="172">
                  <c:v>68.017500314322305</c:v>
                </c:pt>
                <c:pt idx="173">
                  <c:v>67.804623399019434</c:v>
                </c:pt>
                <c:pt idx="174">
                  <c:v>67.591485599029269</c:v>
                </c:pt>
                <c:pt idx="175">
                  <c:v>67.378090870360197</c:v>
                </c:pt>
                <c:pt idx="176">
                  <c:v>67.164443162897996</c:v>
                </c:pt>
                <c:pt idx="177">
                  <c:v>66.950546420202144</c:v>
                </c:pt>
                <c:pt idx="178">
                  <c:v>66.736404579303851</c:v>
                </c:pt>
                <c:pt idx="179">
                  <c:v>66.522021570505558</c:v>
                </c:pt>
                <c:pt idx="180">
                  <c:v>66.307401317181828</c:v>
                </c:pt>
                <c:pt idx="181">
                  <c:v>66.092547735581988</c:v>
                </c:pt>
                <c:pt idx="182">
                  <c:v>65.877464734634074</c:v>
                </c:pt>
                <c:pt idx="183">
                  <c:v>65.662156215750628</c:v>
                </c:pt>
                <c:pt idx="184">
                  <c:v>65.446626072635794</c:v>
                </c:pt>
                <c:pt idx="185">
                  <c:v>65.230878191094149</c:v>
                </c:pt>
                <c:pt idx="186">
                  <c:v>65.014916448841049</c:v>
                </c:pt>
                <c:pt idx="187">
                  <c:v>64.798744715314768</c:v>
                </c:pt>
                <c:pt idx="188">
                  <c:v>64.582366851489923</c:v>
                </c:pt>
                <c:pt idx="189">
                  <c:v>64.365786709692898</c:v>
                </c:pt>
                <c:pt idx="190">
                  <c:v>64.14900813341859</c:v>
                </c:pt>
                <c:pt idx="191">
                  <c:v>63.932034957149007</c:v>
                </c:pt>
                <c:pt idx="192">
                  <c:v>63.714871006173482</c:v>
                </c:pt>
                <c:pt idx="193">
                  <c:v>63.497520096410511</c:v>
                </c:pt>
                <c:pt idx="194">
                  <c:v>63.279986034231221</c:v>
                </c:pt>
                <c:pt idx="195">
                  <c:v>63.062272616284716</c:v>
                </c:pt>
                <c:pt idx="196">
                  <c:v>62.844383629324859</c:v>
                </c:pt>
                <c:pt idx="197">
                  <c:v>62.626322850039003</c:v>
                </c:pt>
                <c:pt idx="198">
                  <c:v>62.408094044878212</c:v>
                </c:pt>
                <c:pt idx="199">
                  <c:v>62.189700969889365</c:v>
                </c:pt>
                <c:pt idx="200">
                  <c:v>61.971147370548927</c:v>
                </c:pt>
                <c:pt idx="201">
                  <c:v>61.752436981598358</c:v>
                </c:pt>
                <c:pt idx="202">
                  <c:v>61.533573526881426</c:v>
                </c:pt>
                <c:pt idx="203">
                  <c:v>61.314560719183227</c:v>
                </c:pt>
                <c:pt idx="204">
                  <c:v>61.095402260070749</c:v>
                </c:pt>
                <c:pt idx="205">
                  <c:v>60.876101839735519</c:v>
                </c:pt>
                <c:pt idx="206">
                  <c:v>60.656663136837729</c:v>
                </c:pt>
                <c:pt idx="207">
                  <c:v>60.43708981835227</c:v>
                </c:pt>
                <c:pt idx="208">
                  <c:v>60.217385539416604</c:v>
                </c:pt>
                <c:pt idx="209">
                  <c:v>59.997553943180165</c:v>
                </c:pt>
                <c:pt idx="210">
                  <c:v>59.777598660655848</c:v>
                </c:pt>
                <c:pt idx="211">
                  <c:v>59.557523310572961</c:v>
                </c:pt>
                <c:pt idx="212">
                  <c:v>59.337331499232306</c:v>
                </c:pt>
                <c:pt idx="213">
                  <c:v>59.117026820362774</c:v>
                </c:pt>
                <c:pt idx="214">
                  <c:v>58.896612854979843</c:v>
                </c:pt>
                <c:pt idx="215">
                  <c:v>58.676093171245931</c:v>
                </c:pt>
                <c:pt idx="216">
                  <c:v>58.455471324332414</c:v>
                </c:pt>
                <c:pt idx="217">
                  <c:v>58.23475085628354</c:v>
                </c:pt>
                <c:pt idx="218">
                  <c:v>58.013935295882206</c:v>
                </c:pt>
                <c:pt idx="219">
                  <c:v>57.793028158517352</c:v>
                </c:pt>
                <c:pt idx="220">
                  <c:v>57.572032946053355</c:v>
                </c:pt>
                <c:pt idx="221">
                  <c:v>57.35095314670113</c:v>
                </c:pt>
                <c:pt idx="222">
                  <c:v>57.129792234891092</c:v>
                </c:pt>
                <c:pt idx="223">
                  <c:v>56.908553671147885</c:v>
                </c:pt>
                <c:pt idx="224">
                  <c:v>56.687240901966923</c:v>
                </c:pt>
                <c:pt idx="225">
                  <c:v>56.465857359692848</c:v>
                </c:pt>
                <c:pt idx="226">
                  <c:v>56.244406462399631</c:v>
                </c:pt>
                <c:pt idx="227">
                  <c:v>56.022891613772664</c:v>
                </c:pt>
                <c:pt idx="228">
                  <c:v>55.801316202992489</c:v>
                </c:pt>
                <c:pt idx="229">
                  <c:v>55.579683604620492</c:v>
                </c:pt>
                <c:pt idx="230">
                  <c:v>55.35799717848635</c:v>
                </c:pt>
                <c:pt idx="231">
                  <c:v>55.136260269577214</c:v>
                </c:pt>
                <c:pt idx="232">
                  <c:v>54.914476207928914</c:v>
                </c:pt>
                <c:pt idx="233">
                  <c:v>54.692648308518649</c:v>
                </c:pt>
                <c:pt idx="234">
                  <c:v>54.470779871159799</c:v>
                </c:pt>
                <c:pt idx="235">
                  <c:v>54.248874180398381</c:v>
                </c:pt>
                <c:pt idx="236">
                  <c:v>54.026934505411262</c:v>
                </c:pt>
                <c:pt idx="237">
                  <c:v>53.804964099906364</c:v>
                </c:pt>
                <c:pt idx="238">
                  <c:v>53.582966202024444</c:v>
                </c:pt>
                <c:pt idx="239">
                  <c:v>53.360944034242749</c:v>
                </c:pt>
                <c:pt idx="240">
                  <c:v>53.138900803280649</c:v>
                </c:pt>
                <c:pt idx="241">
                  <c:v>52.916839700006641</c:v>
                </c:pt>
                <c:pt idx="242">
                  <c:v>52.694763899347635</c:v>
                </c:pt>
                <c:pt idx="243">
                  <c:v>52.472676560199595</c:v>
                </c:pt>
                <c:pt idx="244">
                  <c:v>52.250580825340172</c:v>
                </c:pt>
                <c:pt idx="245">
                  <c:v>52.028479821343147</c:v>
                </c:pt>
                <c:pt idx="246">
                  <c:v>51.806376658494436</c:v>
                </c:pt>
                <c:pt idx="247">
                  <c:v>51.584274430710117</c:v>
                </c:pt>
                <c:pt idx="248">
                  <c:v>51.362176215455953</c:v>
                </c:pt>
                <c:pt idx="249">
                  <c:v>51.140085073668942</c:v>
                </c:pt>
                <c:pt idx="250">
                  <c:v>50.918004049680363</c:v>
                </c:pt>
                <c:pt idx="251">
                  <c:v>50.660165511274769</c:v>
                </c:pt>
                <c:pt idx="252">
                  <c:v>50.366582892466553</c:v>
                </c:pt>
                <c:pt idx="253">
                  <c:v>50.073063548674597</c:v>
                </c:pt>
                <c:pt idx="254">
                  <c:v>49.779611657336673</c:v>
                </c:pt>
                <c:pt idx="255">
                  <c:v>49.486231366786505</c:v>
                </c:pt>
                <c:pt idx="256">
                  <c:v>49.192926796165651</c:v>
                </c:pt>
                <c:pt idx="257">
                  <c:v>48.899702035338585</c:v>
                </c:pt>
                <c:pt idx="258">
                  <c:v>48.606561144810833</c:v>
                </c:pt>
                <c:pt idx="259">
                  <c:v>48.313508155650261</c:v>
                </c:pt>
                <c:pt idx="260">
                  <c:v>48.02054706941157</c:v>
                </c:pt>
                <c:pt idx="261">
                  <c:v>47.727681858063789</c:v>
                </c:pt>
                <c:pt idx="262">
                  <c:v>47.43491646392085</c:v>
                </c:pt>
                <c:pt idx="263">
                  <c:v>47.142254799575241</c:v>
                </c:pt>
                <c:pt idx="264">
                  <c:v>46.849700747834746</c:v>
                </c:pt>
                <c:pt idx="265">
                  <c:v>46.557258161662141</c:v>
                </c:pt>
                <c:pt idx="266">
                  <c:v>46.264930864117886</c:v>
                </c:pt>
                <c:pt idx="267">
                  <c:v>45.972722648305833</c:v>
                </c:pt>
                <c:pt idx="268">
                  <c:v>45.680637277321878</c:v>
                </c:pt>
                <c:pt idx="269">
                  <c:v>45.388678484205592</c:v>
                </c:pt>
                <c:pt idx="270">
                  <c:v>45.096849971894663</c:v>
                </c:pt>
                <c:pt idx="271">
                  <c:v>44.805155413182355</c:v>
                </c:pt>
                <c:pt idx="272">
                  <c:v>44.513598450677769</c:v>
                </c:pt>
                <c:pt idx="273">
                  <c:v>44.222182696769025</c:v>
                </c:pt>
                <c:pt idx="274">
                  <c:v>43.93091173358917</c:v>
                </c:pt>
                <c:pt idx="275">
                  <c:v>43.639789112985014</c:v>
                </c:pt>
                <c:pt idx="276">
                  <c:v>43.348818356488721</c:v>
                </c:pt>
                <c:pt idx="277">
                  <c:v>43.058002955292089</c:v>
                </c:pt>
                <c:pt idx="278">
                  <c:v>42.767346370223663</c:v>
                </c:pt>
                <c:pt idx="279">
                  <c:v>42.476852031728583</c:v>
                </c:pt>
                <c:pt idx="280">
                  <c:v>42.186523339851057</c:v>
                </c:pt>
                <c:pt idx="281">
                  <c:v>41.8963636642195</c:v>
                </c:pt>
                <c:pt idx="282">
                  <c:v>41.606376344034494</c:v>
                </c:pt>
                <c:pt idx="283">
                  <c:v>41.316564688059124</c:v>
                </c:pt>
                <c:pt idx="284">
                  <c:v>41.026931974612133</c:v>
                </c:pt>
                <c:pt idx="285">
                  <c:v>40.737481451563561</c:v>
                </c:pt>
                <c:pt idx="286">
                  <c:v>40.448216336332912</c:v>
                </c:pt>
                <c:pt idx="287">
                  <c:v>40.159139815889986</c:v>
                </c:pt>
                <c:pt idx="288">
                  <c:v>39.870255046758054</c:v>
                </c:pt>
                <c:pt idx="289">
                  <c:v>39.581565155019661</c:v>
                </c:pt>
                <c:pt idx="290">
                  <c:v>39.293073236324823</c:v>
                </c:pt>
                <c:pt idx="291">
                  <c:v>39.004782355901632</c:v>
                </c:pt>
                <c:pt idx="292">
                  <c:v>38.716695548569405</c:v>
                </c:pt>
                <c:pt idx="293">
                  <c:v>38.428815818753975</c:v>
                </c:pt>
                <c:pt idx="294">
                  <c:v>38.141146140505668</c:v>
                </c:pt>
                <c:pt idx="295">
                  <c:v>37.853689457519351</c:v>
                </c:pt>
                <c:pt idx="296">
                  <c:v>37.566448683156906</c:v>
                </c:pt>
                <c:pt idx="297">
                  <c:v>37.279426700472023</c:v>
                </c:pt>
                <c:pt idx="298">
                  <c:v>36.600228672391282</c:v>
                </c:pt>
                <c:pt idx="299">
                  <c:v>35.529131384065323</c:v>
                </c:pt>
                <c:pt idx="300">
                  <c:v>34.459022023274017</c:v>
                </c:pt>
                <c:pt idx="301">
                  <c:v>33.389922891522126</c:v>
                </c:pt>
                <c:pt idx="302">
                  <c:v>32.321855916582955</c:v>
                </c:pt>
                <c:pt idx="303">
                  <c:v>31.254842652741747</c:v>
                </c:pt>
                <c:pt idx="304">
                  <c:v>30.188904281104563</c:v>
                </c:pt>
                <c:pt idx="305">
                  <c:v>29.124061609971264</c:v>
                </c:pt>
                <c:pt idx="306">
                  <c:v>28.06033507527162</c:v>
                </c:pt>
                <c:pt idx="307">
                  <c:v>26.99774474106351</c:v>
                </c:pt>
                <c:pt idx="308">
                  <c:v>25.936310300092039</c:v>
                </c:pt>
                <c:pt idx="309">
                  <c:v>24.876051074408483</c:v>
                </c:pt>
                <c:pt idx="310">
                  <c:v>23.816986016048176</c:v>
                </c:pt>
                <c:pt idx="311">
                  <c:v>22.759133707765962</c:v>
                </c:pt>
                <c:pt idx="312">
                  <c:v>21.702512363828347</c:v>
                </c:pt>
                <c:pt idx="313">
                  <c:v>20.647139830861022</c:v>
                </c:pt>
                <c:pt idx="314">
                  <c:v>19.593033588750913</c:v>
                </c:pt>
                <c:pt idx="315">
                  <c:v>18.540210751601542</c:v>
                </c:pt>
                <c:pt idx="316">
                  <c:v>17.488688068740402</c:v>
                </c:pt>
                <c:pt idx="317">
                  <c:v>16.438481925777644</c:v>
                </c:pt>
                <c:pt idx="318">
                  <c:v>15.38960834571458</c:v>
                </c:pt>
                <c:pt idx="319">
                  <c:v>14.342082990101138</c:v>
                </c:pt>
                <c:pt idx="320">
                  <c:v>13.29592116024109</c:v>
                </c:pt>
                <c:pt idx="321">
                  <c:v>12.407151902399013</c:v>
                </c:pt>
                <c:pt idx="322">
                  <c:v>11.675599749015319</c:v>
                </c:pt>
                <c:pt idx="323">
                  <c:v>10.945028281671789</c:v>
                </c:pt>
                <c:pt idx="324">
                  <c:v>10.215443906180283</c:v>
                </c:pt>
                <c:pt idx="325">
                  <c:v>9.4868528553043436</c:v>
                </c:pt>
                <c:pt idx="326">
                  <c:v>8.7592611895863612</c:v>
                </c:pt>
                <c:pt idx="327">
                  <c:v>8.032674798187335</c:v>
                </c:pt>
                <c:pt idx="328">
                  <c:v>7.3070993997386671</c:v>
                </c:pt>
                <c:pt idx="329">
                  <c:v>6.5825405432057096</c:v>
                </c:pt>
                <c:pt idx="330">
                  <c:v>5.859003608762702</c:v>
                </c:pt>
                <c:pt idx="331">
                  <c:v>5.1364938086786145</c:v>
                </c:pt>
                <c:pt idx="332">
                  <c:v>4.4150161882137127</c:v>
                </c:pt>
                <c:pt idx="333">
                  <c:v>3.6945756265263157</c:v>
                </c:pt>
                <c:pt idx="334">
                  <c:v>2.9751768375894709</c:v>
                </c:pt>
                <c:pt idx="335">
                  <c:v>2.2568243711171965</c:v>
                </c:pt>
                <c:pt idx="336">
                  <c:v>1.5395226134998719</c:v>
                </c:pt>
                <c:pt idx="337">
                  <c:v>0.82327578874846974</c:v>
                </c:pt>
                <c:pt idx="338">
                  <c:v>0.10808795944727763</c:v>
                </c:pt>
                <c:pt idx="339">
                  <c:v>-0.60603697228523956</c:v>
                </c:pt>
                <c:pt idx="340">
                  <c:v>-1.3190952638277655</c:v>
                </c:pt>
                <c:pt idx="341">
                  <c:v>-2.0310833310800582</c:v>
                </c:pt>
                <c:pt idx="342">
                  <c:v>-2.7419977474797497</c:v>
                </c:pt>
                <c:pt idx="343">
                  <c:v>-3.4518352430122725</c:v>
                </c:pt>
                <c:pt idx="344">
                  <c:v>-4.1605927032145145</c:v>
                </c:pt>
                <c:pt idx="345">
                  <c:v>-4.8682671681721086</c:v>
                </c:pt>
                <c:pt idx="346">
                  <c:v>-5.5748558315111865</c:v>
                </c:pt>
                <c:pt idx="347">
                  <c:v>-6.2803560393844613</c:v>
                </c:pt>
                <c:pt idx="348">
                  <c:v>-6.967942876197875</c:v>
                </c:pt>
                <c:pt idx="349">
                  <c:v>-7.6376405988603935</c:v>
                </c:pt>
                <c:pt idx="350">
                  <c:v>-8.3062975125410539</c:v>
                </c:pt>
                <c:pt idx="351">
                  <c:v>-8.9739119846737996</c:v>
                </c:pt>
                <c:pt idx="352">
                  <c:v>-9.6404825154223044</c:v>
                </c:pt>
                <c:pt idx="353">
                  <c:v>-10.306007736732484</c:v>
                </c:pt>
                <c:pt idx="354">
                  <c:v>-10.970486411382513</c:v>
                </c:pt>
                <c:pt idx="355">
                  <c:v>-11.633917432030872</c:v>
                </c:pt>
                <c:pt idx="356">
                  <c:v>-12.296299820262378</c:v>
                </c:pt>
                <c:pt idx="357">
                  <c:v>-12.957632725632568</c:v>
                </c:pt>
                <c:pt idx="358">
                  <c:v>-13.617915424710782</c:v>
                </c:pt>
                <c:pt idx="359">
                  <c:v>-14.27714732012195</c:v>
                </c:pt>
                <c:pt idx="360">
                  <c:v>-14.585477404232972</c:v>
                </c:pt>
                <c:pt idx="361">
                  <c:v>-14.54350195764342</c:v>
                </c:pt>
                <c:pt idx="362">
                  <c:v>-14.501665671705283</c:v>
                </c:pt>
                <c:pt idx="363">
                  <c:v>-14.459967941819473</c:v>
                </c:pt>
                <c:pt idx="364">
                  <c:v>-14.418408166715706</c:v>
                </c:pt>
                <c:pt idx="365">
                  <c:v>-14.376985748430485</c:v>
                </c:pt>
                <c:pt idx="366">
                  <c:v>-14.335700092285226</c:v>
                </c:pt>
                <c:pt idx="367">
                  <c:v>-14.294550606864561</c:v>
                </c:pt>
                <c:pt idx="368">
                  <c:v>-14.253536703994813</c:v>
                </c:pt>
                <c:pt idx="369">
                  <c:v>-14.212657798722635</c:v>
                </c:pt>
                <c:pt idx="370">
                  <c:v>-14.171913309293837</c:v>
                </c:pt>
                <c:pt idx="371">
                  <c:v>-14.131302657132313</c:v>
                </c:pt>
                <c:pt idx="372">
                  <c:v>-14.090825266819204</c:v>
                </c:pt>
                <c:pt idx="373">
                  <c:v>-14.050480566072167</c:v>
                </c:pt>
                <c:pt idx="374">
                  <c:v>-14.010267985724839</c:v>
                </c:pt>
                <c:pt idx="375">
                  <c:v>-13.970186959706423</c:v>
                </c:pt>
                <c:pt idx="376">
                  <c:v>-13.930236925021473</c:v>
                </c:pt>
                <c:pt idx="377">
                  <c:v>-13.890417321729805</c:v>
                </c:pt>
                <c:pt idx="378">
                  <c:v>-13.850727592926544</c:v>
                </c:pt>
                <c:pt idx="379">
                  <c:v>-13.811167184722395</c:v>
                </c:pt>
                <c:pt idx="380">
                  <c:v>-13.771735546223953</c:v>
                </c:pt>
                <c:pt idx="381">
                  <c:v>-13.732432129514279</c:v>
                </c:pt>
                <c:pt idx="382">
                  <c:v>-13.693256389633559</c:v>
                </c:pt>
                <c:pt idx="383">
                  <c:v>-13.654207784559887</c:v>
                </c:pt>
                <c:pt idx="384">
                  <c:v>-13.615285775190285</c:v>
                </c:pt>
                <c:pt idx="385">
                  <c:v>-13.576489825321751</c:v>
                </c:pt>
                <c:pt idx="386">
                  <c:v>-13.537819401632563</c:v>
                </c:pt>
                <c:pt idx="387">
                  <c:v>-13.499273973663639</c:v>
                </c:pt>
                <c:pt idx="388">
                  <c:v>-13.460853013800081</c:v>
                </c:pt>
                <c:pt idx="389">
                  <c:v>-13.422555997252834</c:v>
                </c:pt>
                <c:pt idx="390">
                  <c:v>-13.384382402040519</c:v>
                </c:pt>
                <c:pt idx="391">
                  <c:v>-13.346331708971372</c:v>
                </c:pt>
                <c:pt idx="392">
                  <c:v>-13.308403401625307</c:v>
                </c:pt>
                <c:pt idx="393">
                  <c:v>-13.270596966336166</c:v>
                </c:pt>
                <c:pt idx="394">
                  <c:v>-13.232911892174045</c:v>
                </c:pt>
                <c:pt idx="395">
                  <c:v>-13.195347670927806</c:v>
                </c:pt>
                <c:pt idx="396">
                  <c:v>-13.157903797087652</c:v>
                </c:pt>
                <c:pt idx="397">
                  <c:v>-13.120579767827909</c:v>
                </c:pt>
                <c:pt idx="398">
                  <c:v>-13.083375082989884</c:v>
                </c:pt>
                <c:pt idx="399">
                  <c:v>-13.046289245064852</c:v>
                </c:pt>
                <c:pt idx="400">
                  <c:v>-13.009321759177221</c:v>
                </c:pt>
                <c:pt idx="401">
                  <c:v>-12.972472133067756</c:v>
                </c:pt>
                <c:pt idx="402">
                  <c:v>-12.607894769267284</c:v>
                </c:pt>
                <c:pt idx="403">
                  <c:v>-12.254767510019622</c:v>
                </c:pt>
                <c:pt idx="404">
                  <c:v>-11.912625820962703</c:v>
                </c:pt>
                <c:pt idx="405">
                  <c:v>-11.581028925291339</c:v>
                </c:pt>
                <c:pt idx="406">
                  <c:v>-11.259558355923577</c:v>
                </c:pt>
                <c:pt idx="407">
                  <c:v>-10.94781661007208</c:v>
                </c:pt>
                <c:pt idx="408">
                  <c:v>-10.645425898000994</c:v>
                </c:pt>
                <c:pt idx="409">
                  <c:v>-10.352026978485597</c:v>
                </c:pt>
                <c:pt idx="410">
                  <c:v>-10.067278074155878</c:v>
                </c:pt>
                <c:pt idx="411">
                  <c:v>-9.7908538605042086</c:v>
                </c:pt>
                <c:pt idx="412">
                  <c:v>-9.5224445228783026</c:v>
                </c:pt>
                <c:pt idx="413">
                  <c:v>-9.2617548762696682</c:v>
                </c:pt>
                <c:pt idx="414">
                  <c:v>-9.008503543150379</c:v>
                </c:pt>
                <c:pt idx="415">
                  <c:v>-8.7624221850119692</c:v>
                </c:pt>
                <c:pt idx="416">
                  <c:v>-8.5232547836241306</c:v>
                </c:pt>
                <c:pt idx="417">
                  <c:v>-8.2907569683604851</c:v>
                </c:pt>
                <c:pt idx="418">
                  <c:v>-8.0646953862391264</c:v>
                </c:pt>
                <c:pt idx="419">
                  <c:v>-7.8448471115979652</c:v>
                </c:pt>
                <c:pt idx="420">
                  <c:v>-7.6309990925733615</c:v>
                </c:pt>
                <c:pt idx="421">
                  <c:v>-7.4229476317766334</c:v>
                </c:pt>
                <c:pt idx="422">
                  <c:v>-7.2204978987692545</c:v>
                </c:pt>
                <c:pt idx="423">
                  <c:v>-7.0234634721258349</c:v>
                </c:pt>
                <c:pt idx="424">
                  <c:v>-6.8316659090457899</c:v>
                </c:pt>
                <c:pt idx="425">
                  <c:v>-6.6449343406319308</c:v>
                </c:pt>
                <c:pt idx="426">
                  <c:v>-6.4631050910978178</c:v>
                </c:pt>
                <c:pt idx="427">
                  <c:v>-6.2860213192975616</c:v>
                </c:pt>
                <c:pt idx="428">
                  <c:v>-6.1135326810922894</c:v>
                </c:pt>
                <c:pt idx="429">
                  <c:v>-5.9454950111782168</c:v>
                </c:pt>
                <c:pt idx="430">
                  <c:v>-5.7817700231027649</c:v>
                </c:pt>
                <c:pt idx="431">
                  <c:v>-5.6222250262885272</c:v>
                </c:pt>
                <c:pt idx="432">
                  <c:v>-5.4667326589704723</c:v>
                </c:pt>
                <c:pt idx="433">
                  <c:v>-5.3151706360307802</c:v>
                </c:pt>
                <c:pt idx="434">
                  <c:v>-5.1674215107882242</c:v>
                </c:pt>
                <c:pt idx="435">
                  <c:v>-5.0233724498658159</c:v>
                </c:pt>
                <c:pt idx="436">
                  <c:v>-4.8829150203221312</c:v>
                </c:pt>
                <c:pt idx="437">
                  <c:v>-4.7459449882885787</c:v>
                </c:pt>
                <c:pt idx="438">
                  <c:v>-4.6123621284072023</c:v>
                </c:pt>
                <c:pt idx="439">
                  <c:v>-4.482070043412242</c:v>
                </c:pt>
                <c:pt idx="440">
                  <c:v>-4.3549759932432783</c:v>
                </c:pt>
                <c:pt idx="441">
                  <c:v>-4.2309907331193131</c:v>
                </c:pt>
                <c:pt idx="442">
                  <c:v>-4.1100283600413619</c:v>
                </c:pt>
                <c:pt idx="443">
                  <c:v>-3.9920061672266618</c:v>
                </c:pt>
                <c:pt idx="444">
                  <c:v>-3.876844506010424</c:v>
                </c:pt>
                <c:pt idx="445">
                  <c:v>-3.7644666547815278</c:v>
                </c:pt>
                <c:pt idx="446">
                  <c:v>-3.6547986945468209</c:v>
                </c:pt>
                <c:pt idx="447">
                  <c:v>-3.5477693907449006</c:v>
                </c:pt>
                <c:pt idx="448">
                  <c:v>-3.4433100809545634</c:v>
                </c:pt>
                <c:pt idx="449">
                  <c:v>-3.3413545681658183</c:v>
                </c:pt>
                <c:pt idx="450">
                  <c:v>-3.2418390193022781</c:v>
                </c:pt>
                <c:pt idx="451">
                  <c:v>-3.1447018687034038</c:v>
                </c:pt>
                <c:pt idx="452">
                  <c:v>-3.0498837262931877</c:v>
                </c:pt>
                <c:pt idx="453">
                  <c:v>-2.957327290178887</c:v>
                </c:pt>
                <c:pt idx="454">
                  <c:v>-2.8669772634391668</c:v>
                </c:pt>
                <c:pt idx="455">
                  <c:v>-2.7787802748757113</c:v>
                </c:pt>
                <c:pt idx="456">
                  <c:v>-2.6926848035161264</c:v>
                </c:pt>
                <c:pt idx="457">
                  <c:v>-2.6086411066687392</c:v>
                </c:pt>
                <c:pt idx="458">
                  <c:v>-2.5266011513418447</c:v>
                </c:pt>
                <c:pt idx="459">
                  <c:v>-2.4465185488511065</c:v>
                </c:pt>
                <c:pt idx="460">
                  <c:v>-2.3683484924492926</c:v>
                </c:pt>
                <c:pt idx="461">
                  <c:v>-2.2920476978221882</c:v>
                </c:pt>
                <c:pt idx="462">
                  <c:v>-2.2175743463037514</c:v>
                </c:pt>
                <c:pt idx="463">
                  <c:v>-2.1448880306720044</c:v>
                </c:pt>
                <c:pt idx="464">
                  <c:v>-2.073949703395225</c:v>
                </c:pt>
                <c:pt idx="465">
                  <c:v>-2.0047216272053956</c:v>
                </c:pt>
                <c:pt idx="466">
                  <c:v>-1.9371673278829709</c:v>
                </c:pt>
                <c:pt idx="467">
                  <c:v>-1.8712515491434911</c:v>
                </c:pt>
                <c:pt idx="468">
                  <c:v>-1.8069402095227911</c:v>
                </c:pt>
                <c:pt idx="469">
                  <c:v>-1.7442003611633177</c:v>
                </c:pt>
                <c:pt idx="470">
                  <c:v>-1.6830001504094587</c:v>
                </c:pt>
                <c:pt idx="471">
                  <c:v>-1.6233087801249166</c:v>
                </c:pt>
                <c:pt idx="472">
                  <c:v>-1.5650964736499029</c:v>
                </c:pt>
                <c:pt idx="473">
                  <c:v>-1.5083344403204433</c:v>
                </c:pt>
                <c:pt idx="474">
                  <c:v>-1.4529948424762862</c:v>
                </c:pt>
                <c:pt idx="475">
                  <c:v>-1.3990507638878729</c:v>
                </c:pt>
                <c:pt idx="476">
                  <c:v>-1.3464761795365785</c:v>
                </c:pt>
                <c:pt idx="477">
                  <c:v>-1.2952459266859015</c:v>
                </c:pt>
                <c:pt idx="478">
                  <c:v>-1.2453356771846245</c:v>
                </c:pt>
                <c:pt idx="479">
                  <c:v>-1.1967219109460312</c:v>
                </c:pt>
                <c:pt idx="480">
                  <c:v>-1.1493818905502251</c:v>
                </c:pt>
                <c:pt idx="481">
                  <c:v>-1.1032936369193085</c:v>
                </c:pt>
                <c:pt idx="482">
                  <c:v>-1.0584359060178052</c:v>
                </c:pt>
                <c:pt idx="483">
                  <c:v>-1.0147881665331124</c:v>
                </c:pt>
                <c:pt idx="484">
                  <c:v>-0.97233057849308202</c:v>
                </c:pt>
                <c:pt idx="485">
                  <c:v>-0.93104397277996898</c:v>
                </c:pt>
                <c:pt idx="486">
                  <c:v>-0.89090983150202396</c:v>
                </c:pt>
                <c:pt idx="487">
                  <c:v>-0.85191026918588286</c:v>
                </c:pt>
                <c:pt idx="488">
                  <c:v>-0.81402801475471986</c:v>
                </c:pt>
                <c:pt idx="489">
                  <c:v>-0.77724639425876141</c:v>
                </c:pt>
                <c:pt idx="490">
                  <c:v>-0.74154931432633953</c:v>
                </c:pt>
                <c:pt idx="491">
                  <c:v>-0.70692124630509734</c:v>
                </c:pt>
                <c:pt idx="492">
                  <c:v>-0.67334721106429962</c:v>
                </c:pt>
                <c:pt idx="493">
                  <c:v>-0.64081276443044211</c:v>
                </c:pt>
                <c:pt idx="494">
                  <c:v>-0.60930398322946655</c:v>
                </c:pt>
                <c:pt idx="495">
                  <c:v>-0.57880745190991778</c:v>
                </c:pt>
                <c:pt idx="496">
                  <c:v>-0.54931024972227349</c:v>
                </c:pt>
                <c:pt idx="497">
                  <c:v>-0.52079993843045758</c:v>
                </c:pt>
                <c:pt idx="498">
                  <c:v>-0.49326455053221291</c:v>
                </c:pt>
                <c:pt idx="499">
                  <c:v>-0.46669257796550406</c:v>
                </c:pt>
                <c:pt idx="500">
                  <c:v>-0.44107296127849638</c:v>
                </c:pt>
                <c:pt idx="501">
                  <c:v>-0.41639507924081987</c:v>
                </c:pt>
                <c:pt idx="502">
                  <c:v>-0.39264873887381807</c:v>
                </c:pt>
                <c:pt idx="503">
                  <c:v>-0.36982416587722056</c:v>
                </c:pt>
                <c:pt idx="504">
                  <c:v>-0.34791199542914625</c:v>
                </c:pt>
                <c:pt idx="505">
                  <c:v>-0.32690326333549347</c:v>
                </c:pt>
                <c:pt idx="506">
                  <c:v>-0.30678939750352252</c:v>
                </c:pt>
                <c:pt idx="507">
                  <c:v>-0.28756220971272622</c:v>
                </c:pt>
                <c:pt idx="508">
                  <c:v>-0.26921388765380461</c:v>
                </c:pt>
                <c:pt idx="509">
                  <c:v>-0.25173698720360288</c:v>
                </c:pt>
                <c:pt idx="510">
                  <c:v>-0.2351244249000734</c:v>
                </c:pt>
                <c:pt idx="511">
                  <c:v>-0.21936947057654593</c:v>
                </c:pt>
                <c:pt idx="512">
                  <c:v>-0.20446574010858973</c:v>
                </c:pt>
                <c:pt idx="513">
                  <c:v>-0.19040718821932762</c:v>
                </c:pt>
                <c:pt idx="514">
                  <c:v>-0.1771881012799448</c:v>
                </c:pt>
                <c:pt idx="515">
                  <c:v>-0.16480309003104951</c:v>
                </c:pt>
                <c:pt idx="516">
                  <c:v>-0.15324708213725791</c:v>
                </c:pt>
                <c:pt idx="517">
                  <c:v>-0.14251531447168303</c:v>
                </c:pt>
                <c:pt idx="518">
                  <c:v>-0.13260332500889727</c:v>
                </c:pt>
                <c:pt idx="519">
                  <c:v>-0.12350694418462152</c:v>
                </c:pt>
                <c:pt idx="520">
                  <c:v>-0.11522228555858924</c:v>
                </c:pt>
                <c:pt idx="521">
                  <c:v>-0.10774573559509608</c:v>
                </c:pt>
                <c:pt idx="522">
                  <c:v>-0.1010739423560493</c:v>
                </c:pt>
                <c:pt idx="523">
                  <c:v>-9.5203802887474112E-2</c:v>
                </c:pt>
                <c:pt idx="524">
                  <c:v>-9.0132449077432175E-2</c:v>
                </c:pt>
                <c:pt idx="525">
                  <c:v>-8.5857231777457521E-2</c:v>
                </c:pt>
                <c:pt idx="526">
                  <c:v>-8.2375703017802115E-2</c:v>
                </c:pt>
                <c:pt idx="527">
                  <c:v>-7.9685596215049379E-2</c:v>
                </c:pt>
                <c:pt idx="528">
                  <c:v>-7.7784804371937188E-2</c:v>
                </c:pt>
                <c:pt idx="529">
                  <c:v>-7.6671356400676932E-2</c:v>
                </c:pt>
                <c:pt idx="530">
                  <c:v>-7.6343391851870279E-2</c:v>
                </c:pt>
                <c:pt idx="531">
                  <c:v>-7.6799134482292572E-2</c:v>
                </c:pt>
                <c:pt idx="532">
                  <c:v>-7.8036865221927196E-2</c:v>
                </c:pt>
                <c:pt idx="533">
                  <c:v>-8.0054895179757835E-2</c:v>
                </c:pt>
                <c:pt idx="534">
                  <c:v>-8.2851539342651506E-2</c:v>
                </c:pt>
                <c:pt idx="535">
                  <c:v>-8.6425091569017745E-2</c:v>
                </c:pt>
                <c:pt idx="536">
                  <c:v>-9.0773801369849569E-2</c:v>
                </c:pt>
                <c:pt idx="537">
                  <c:v>-9.5895852825742964E-2</c:v>
                </c:pt>
                <c:pt idx="538">
                  <c:v>-0.10178934583466719</c:v>
                </c:pt>
                <c:pt idx="539">
                  <c:v>-0.10845227974358297</c:v>
                </c:pt>
                <c:pt idx="540">
                  <c:v>-0.11588253930202179</c:v>
                </c:pt>
                <c:pt idx="541">
                  <c:v>-0.12407788279357468</c:v>
                </c:pt>
                <c:pt idx="542">
                  <c:v>-0.13303593215111981</c:v>
                </c:pt>
                <c:pt idx="543">
                  <c:v>-0.14275416483849246</c:v>
                </c:pt>
                <c:pt idx="544">
                  <c:v>-0.15322990727836189</c:v>
                </c:pt>
                <c:pt idx="545">
                  <c:v>-0.16446032961661519</c:v>
                </c:pt>
                <c:pt idx="546">
                  <c:v>-0.1764424416319047</c:v>
                </c:pt>
                <c:pt idx="547">
                  <c:v>-0.1891730896209676</c:v>
                </c:pt>
                <c:pt idx="548">
                  <c:v>-0.20264895411300107</c:v>
                </c:pt>
                <c:pt idx="549">
                  <c:v>-0.21686654828800175</c:v>
                </c:pt>
                <c:pt idx="550">
                  <c:v>-0.23182221699361547</c:v>
                </c:pt>
                <c:pt idx="551">
                  <c:v>-0.24751213627227675</c:v>
                </c:pt>
                <c:pt idx="552">
                  <c:v>-0.263932313325208</c:v>
                </c:pt>
                <c:pt idx="553">
                  <c:v>-0.28107858685233056</c:v>
                </c:pt>
                <c:pt idx="554">
                  <c:v>-0.29894662771754282</c:v>
                </c:pt>
                <c:pt idx="555">
                  <c:v>-0.31753193989743683</c:v>
                </c:pt>
                <c:pt idx="556">
                  <c:v>-0.3368298616785993</c:v>
                </c:pt>
                <c:pt idx="557">
                  <c:v>-0.35683556707444503</c:v>
                </c:pt>
                <c:pt idx="558">
                  <c:v>-0.37754406743726887</c:v>
                </c:pt>
                <c:pt idx="559">
                  <c:v>-0.39895021324507474</c:v>
                </c:pt>
                <c:pt idx="560">
                  <c:v>-0.42104869604588446</c:v>
                </c:pt>
                <c:pt idx="561">
                  <c:v>-0.4438340505448195</c:v>
                </c:pt>
                <c:pt idx="562">
                  <c:v>-0.46730065682133676</c:v>
                </c:pt>
                <c:pt idx="563">
                  <c:v>-0.49144274266572596</c:v>
                </c:pt>
                <c:pt idx="564">
                  <c:v>-0.5162543860253811</c:v>
                </c:pt>
                <c:pt idx="565">
                  <c:v>-0.54172951755251175</c:v>
                </c:pt>
                <c:pt idx="566">
                  <c:v>-0.56786192324590778</c:v>
                </c:pt>
                <c:pt idx="567">
                  <c:v>-0.59464524718014999</c:v>
                </c:pt>
                <c:pt idx="568">
                  <c:v>-0.62207299431630381</c:v>
                </c:pt>
                <c:pt idx="569">
                  <c:v>-0.65013853338866834</c:v>
                </c:pt>
                <c:pt idx="570">
                  <c:v>-0.67883509986258395</c:v>
                </c:pt>
                <c:pt idx="571">
                  <c:v>-0.70815579895868164</c:v>
                </c:pt>
                <c:pt idx="572">
                  <c:v>-0.73809360873925023</c:v>
                </c:pt>
                <c:pt idx="573">
                  <c:v>-0.76864138325266096</c:v>
                </c:pt>
                <c:pt idx="574">
                  <c:v>-0.79979185573200162</c:v>
                </c:pt>
                <c:pt idx="575">
                  <c:v>-0.83153764184424706</c:v>
                </c:pt>
                <c:pt idx="576">
                  <c:v>-0.8638712429864549</c:v>
                </c:pt>
                <c:pt idx="577">
                  <c:v>-0.89678504962560157</c:v>
                </c:pt>
                <c:pt idx="578">
                  <c:v>-0.93027134467877692</c:v>
                </c:pt>
                <c:pt idx="579">
                  <c:v>-0.96432230693056953</c:v>
                </c:pt>
                <c:pt idx="580">
                  <c:v>-0.998930014484541</c:v>
                </c:pt>
                <c:pt idx="581">
                  <c:v>-1.0340864482457706</c:v>
                </c:pt>
                <c:pt idx="582">
                  <c:v>-1.0697834954315149</c:v>
                </c:pt>
                <c:pt idx="583">
                  <c:v>-1.1060129531070844</c:v>
                </c:pt>
                <c:pt idx="584">
                  <c:v>-1.1427665317440958</c:v>
                </c:pt>
                <c:pt idx="585">
                  <c:v>-1.1800358587983011</c:v>
                </c:pt>
                <c:pt idx="586">
                  <c:v>-1.2178124823042453</c:v>
                </c:pt>
                <c:pt idx="587">
                  <c:v>-1.2560878744840565</c:v>
                </c:pt>
                <c:pt idx="588">
                  <c:v>-1.294853435367687</c:v>
                </c:pt>
                <c:pt idx="589">
                  <c:v>-1.3341004964220013</c:v>
                </c:pt>
                <c:pt idx="590">
                  <c:v>-1.3738203241861071</c:v>
                </c:pt>
                <c:pt idx="591">
                  <c:v>-1.414004123910404</c:v>
                </c:pt>
                <c:pt idx="592">
                  <c:v>-1.4546430431968271</c:v>
                </c:pt>
                <c:pt idx="593">
                  <c:v>-1.4957281756378278</c:v>
                </c:pt>
                <c:pt idx="594">
                  <c:v>-1.5372505644516532</c:v>
                </c:pt>
                <c:pt idx="595">
                  <c:v>-1.5792012061115532</c:v>
                </c:pt>
                <c:pt idx="596">
                  <c:v>-1.6215710539665396</c:v>
                </c:pt>
                <c:pt idx="597">
                  <c:v>-1.6643510218514193</c:v>
                </c:pt>
                <c:pt idx="598">
                  <c:v>-1.7075319876838109</c:v>
                </c:pt>
                <c:pt idx="599">
                  <c:v>-1.7511047970459372</c:v>
                </c:pt>
                <c:pt idx="600">
                  <c:v>-1.7950602667490001</c:v>
                </c:pt>
                <c:pt idx="601">
                  <c:v>-1.8393891883780222</c:v>
                </c:pt>
                <c:pt idx="602">
                  <c:v>-1.8840823318150421</c:v>
                </c:pt>
                <c:pt idx="603">
                  <c:v>-1.9291304487386336</c:v>
                </c:pt>
                <c:pt idx="604">
                  <c:v>-1.9745242760977504</c:v>
                </c:pt>
                <c:pt idx="605">
                  <c:v>-2.020254539557945</c:v>
                </c:pt>
                <c:pt idx="606">
                  <c:v>-2.0663119569180646</c:v>
                </c:pt>
                <c:pt idx="607">
                  <c:v>-2.1126872414955735</c:v>
                </c:pt>
                <c:pt idx="608">
                  <c:v>-2.1593711054787037</c:v>
                </c:pt>
                <c:pt idx="609">
                  <c:v>-2.2063542632436928</c:v>
                </c:pt>
                <c:pt idx="610">
                  <c:v>-2.2536274346353977</c:v>
                </c:pt>
                <c:pt idx="611">
                  <c:v>-2.301181348209667</c:v>
                </c:pt>
                <c:pt idx="612">
                  <c:v>-2.3490067444358629</c:v>
                </c:pt>
                <c:pt idx="613">
                  <c:v>-2.3970943788580112</c:v>
                </c:pt>
                <c:pt idx="614">
                  <c:v>-2.4454350252130972</c:v>
                </c:pt>
                <c:pt idx="615">
                  <c:v>-2.4940194785050807</c:v>
                </c:pt>
                <c:pt idx="616">
                  <c:v>-2.5428385580332731</c:v>
                </c:pt>
                <c:pt idx="617">
                  <c:v>-2.5918831103737587</c:v>
                </c:pt>
                <c:pt idx="618">
                  <c:v>-2.6411440123125884</c:v>
                </c:pt>
                <c:pt idx="619">
                  <c:v>-2.6906121737295936</c:v>
                </c:pt>
                <c:pt idx="620">
                  <c:v>-2.7402785404316181</c:v>
                </c:pt>
                <c:pt idx="621">
                  <c:v>-2.7901340969341448</c:v>
                </c:pt>
                <c:pt idx="622">
                  <c:v>-2.8401698691902326</c:v>
                </c:pt>
                <c:pt idx="623">
                  <c:v>-2.8903769272658417</c:v>
                </c:pt>
                <c:pt idx="624">
                  <c:v>-2.9407463879606031</c:v>
                </c:pt>
                <c:pt idx="625">
                  <c:v>-2.991269417373188</c:v>
                </c:pt>
                <c:pt idx="626">
                  <c:v>-3.0419372334104771</c:v>
                </c:pt>
                <c:pt idx="627">
                  <c:v>-3.0927411082397747</c:v>
                </c:pt>
                <c:pt idx="628">
                  <c:v>-3.1436723706834147</c:v>
                </c:pt>
                <c:pt idx="629">
                  <c:v>-3.1947224085550729</c:v>
                </c:pt>
                <c:pt idx="630">
                  <c:v>-3.2458826709372604</c:v>
                </c:pt>
                <c:pt idx="631">
                  <c:v>-3.2971446703994469</c:v>
                </c:pt>
                <c:pt idx="632">
                  <c:v>-3.3484999851563693</c:v>
                </c:pt>
                <c:pt idx="633">
                  <c:v>-3.3999402611660812</c:v>
                </c:pt>
                <c:pt idx="634">
                  <c:v>-3.4514572141674269</c:v>
                </c:pt>
                <c:pt idx="635">
                  <c:v>-3.503042631656589</c:v>
                </c:pt>
                <c:pt idx="636">
                  <c:v>-3.5546883748024936</c:v>
                </c:pt>
                <c:pt idx="637">
                  <c:v>-3.6063863803008411</c:v>
                </c:pt>
                <c:pt idx="638">
                  <c:v>-3.6581286621666278</c:v>
                </c:pt>
                <c:pt idx="639">
                  <c:v>-3.7099073134650467</c:v>
                </c:pt>
                <c:pt idx="640">
                  <c:v>-3.7617145079807059</c:v>
                </c:pt>
                <c:pt idx="641">
                  <c:v>-3.8135425018251783</c:v>
                </c:pt>
                <c:pt idx="642">
                  <c:v>-3.8653836349829032</c:v>
                </c:pt>
                <c:pt idx="643">
                  <c:v>-3.917230332795544</c:v>
                </c:pt>
                <c:pt idx="644">
                  <c:v>-3.9690751073848909</c:v>
                </c:pt>
                <c:pt idx="645">
                  <c:v>-4.0209105590145677</c:v>
                </c:pt>
                <c:pt idx="646">
                  <c:v>-4.0727293773906545</c:v>
                </c:pt>
                <c:pt idx="647">
                  <c:v>-4.1245243429015703</c:v>
                </c:pt>
                <c:pt idx="648">
                  <c:v>-4.1762883277974812</c:v>
                </c:pt>
                <c:pt idx="649">
                  <c:v>-4.2280142973095742</c:v>
                </c:pt>
                <c:pt idx="650">
                  <c:v>-4.2796953107095685</c:v>
                </c:pt>
                <c:pt idx="651">
                  <c:v>-4.3313245223099228</c:v>
                </c:pt>
                <c:pt idx="652">
                  <c:v>-4.382895182405119</c:v>
                </c:pt>
                <c:pt idx="653">
                  <c:v>-4.4344006381545764</c:v>
                </c:pt>
                <c:pt idx="654">
                  <c:v>-4.4858343344076896</c:v>
                </c:pt>
                <c:pt idx="655">
                  <c:v>-4.5371898144715255</c:v>
                </c:pt>
                <c:pt idx="656">
                  <c:v>-4.5884607208218</c:v>
                </c:pt>
                <c:pt idx="657">
                  <c:v>-4.6396407957577308</c:v>
                </c:pt>
                <c:pt idx="658">
                  <c:v>-4.690723882001409</c:v>
                </c:pt>
                <c:pt idx="659">
                  <c:v>-4.7417039232423575</c:v>
                </c:pt>
                <c:pt idx="660">
                  <c:v>-4.7925749646280025</c:v>
                </c:pt>
                <c:pt idx="661">
                  <c:v>-4.8433311532007366</c:v>
                </c:pt>
                <c:pt idx="662">
                  <c:v>-4.8939667382823639</c:v>
                </c:pt>
                <c:pt idx="663">
                  <c:v>-4.9444760718066734</c:v>
                </c:pt>
                <c:pt idx="664">
                  <c:v>-4.9948536086009359</c:v>
                </c:pt>
                <c:pt idx="665">
                  <c:v>-5.045093906617149</c:v>
                </c:pt>
                <c:pt idx="666">
                  <c:v>-5.0951916271138495</c:v>
                </c:pt>
                <c:pt idx="667">
                  <c:v>-5.1451415347893494</c:v>
                </c:pt>
                <c:pt idx="668">
                  <c:v>-5.194938497867259</c:v>
                </c:pt>
                <c:pt idx="669">
                  <c:v>-5.2445774881351808</c:v>
                </c:pt>
                <c:pt idx="670">
                  <c:v>-5.2940535809374936</c:v>
                </c:pt>
                <c:pt idx="671">
                  <c:v>-5.3433619551230755</c:v>
                </c:pt>
                <c:pt idx="672">
                  <c:v>-5.3924978929489784</c:v>
                </c:pt>
                <c:pt idx="673">
                  <c:v>-5.4414567799409141</c:v>
                </c:pt>
                <c:pt idx="674">
                  <c:v>-5.4902341047115293</c:v>
                </c:pt>
                <c:pt idx="675">
                  <c:v>-5.5388254587374179</c:v>
                </c:pt>
                <c:pt idx="676">
                  <c:v>-5.5872265360958284</c:v>
                </c:pt>
                <c:pt idx="677">
                  <c:v>-5.6354331331620608</c:v>
                </c:pt>
                <c:pt idx="678">
                  <c:v>-5.6834411482684715</c:v>
                </c:pt>
                <c:pt idx="679">
                  <c:v>-5.7312465813261344</c:v>
                </c:pt>
                <c:pt idx="680">
                  <c:v>-5.7788455334100837</c:v>
                </c:pt>
                <c:pt idx="681">
                  <c:v>-5.8262342063091586</c:v>
                </c:pt>
                <c:pt idx="682">
                  <c:v>-5.8734089020414464</c:v>
                </c:pt>
                <c:pt idx="683">
                  <c:v>-5.920366022336264</c:v>
                </c:pt>
                <c:pt idx="684">
                  <c:v>-5.9671020680837294</c:v>
                </c:pt>
                <c:pt idx="685">
                  <c:v>-6.0136136387528731</c:v>
                </c:pt>
                <c:pt idx="686">
                  <c:v>-6.0598974317793148</c:v>
                </c:pt>
                <c:pt idx="687">
                  <c:v>-6.1059502419234146</c:v>
                </c:pt>
                <c:pt idx="688">
                  <c:v>-6.1517689605999974</c:v>
                </c:pt>
                <c:pt idx="689">
                  <c:v>-6.1973505751805309</c:v>
                </c:pt>
                <c:pt idx="690">
                  <c:v>-6.2426921682687837</c:v>
                </c:pt>
                <c:pt idx="691">
                  <c:v>-6.2877909169509145</c:v>
                </c:pt>
                <c:pt idx="692">
                  <c:v>-6.3326440920209599</c:v>
                </c:pt>
                <c:pt idx="693">
                  <c:v>-6.3772490571827074</c:v>
                </c:pt>
                <c:pt idx="694">
                  <c:v>-6.4216032682288349</c:v>
                </c:pt>
                <c:pt idx="695">
                  <c:v>-6.4657042721983427</c:v>
                </c:pt>
                <c:pt idx="696">
                  <c:v>-6.5095497065131562</c:v>
                </c:pt>
                <c:pt idx="697">
                  <c:v>-6.5531372980948372</c:v>
                </c:pt>
                <c:pt idx="698">
                  <c:v>-6.5964648624623505</c:v>
                </c:pt>
                <c:pt idx="699">
                  <c:v>-6.6395303028117292</c:v>
                </c:pt>
                <c:pt idx="700">
                  <c:v>-6.6823316090786191</c:v>
                </c:pt>
                <c:pt idx="701">
                  <c:v>-6.724866856984506</c:v>
                </c:pt>
                <c:pt idx="702">
                  <c:v>-6.767134207067544</c:v>
                </c:pt>
                <c:pt idx="703">
                  <c:v>-6.8091319036988667</c:v>
                </c:pt>
                <c:pt idx="704">
                  <c:v>-6.8508582740851507</c:v>
                </c:pt>
                <c:pt idx="705">
                  <c:v>-6.8923117272583934</c:v>
                </c:pt>
                <c:pt idx="706">
                  <c:v>-6.9334907530535839</c:v>
                </c:pt>
                <c:pt idx="707">
                  <c:v>-6.9743939210752259</c:v>
                </c:pt>
                <c:pt idx="708">
                  <c:v>-7.0150198796533862</c:v>
                </c:pt>
                <c:pt idx="709">
                  <c:v>-7.0553673547901328</c:v>
                </c:pt>
                <c:pt idx="710">
                  <c:v>-7.0954351490971259</c:v>
                </c:pt>
                <c:pt idx="711">
                  <c:v>-7.1352221407250589</c:v>
                </c:pt>
                <c:pt idx="712">
                  <c:v>-7.1747272822857591</c:v>
                </c:pt>
                <c:pt idx="713">
                  <c:v>-7.2139495997676919</c:v>
                </c:pt>
                <c:pt idx="714">
                  <c:v>-7.2528881914454457</c:v>
                </c:pt>
                <c:pt idx="715">
                  <c:v>-7.291542226784097</c:v>
                </c:pt>
                <c:pt idx="716">
                  <c:v>-7.329910945338975</c:v>
                </c:pt>
                <c:pt idx="717">
                  <c:v>-7.3679936556515546</c:v>
                </c:pt>
                <c:pt idx="718">
                  <c:v>-7.405789734142175</c:v>
                </c:pt>
                <c:pt idx="719">
                  <c:v>-7.4432986240001151</c:v>
                </c:pt>
                <c:pt idx="720">
                  <c:v>-7.4433357680900443</c:v>
                </c:pt>
                <c:pt idx="721">
                  <c:v>-7.443372911895068</c:v>
                </c:pt>
                <c:pt idx="722">
                  <c:v>-7.443410055415181</c:v>
                </c:pt>
                <c:pt idx="723">
                  <c:v>-7.443447198650385</c:v>
                </c:pt>
                <c:pt idx="724">
                  <c:v>-7.4434843416006791</c:v>
                </c:pt>
                <c:pt idx="725">
                  <c:v>-7.4435214842660677</c:v>
                </c:pt>
                <c:pt idx="726">
                  <c:v>-7.4435586266465421</c:v>
                </c:pt>
                <c:pt idx="727">
                  <c:v>-7.4435957687421084</c:v>
                </c:pt>
                <c:pt idx="728">
                  <c:v>-7.443632910552763</c:v>
                </c:pt>
                <c:pt idx="729">
                  <c:v>-7.4436700520785068</c:v>
                </c:pt>
                <c:pt idx="730">
                  <c:v>-7.4437071933193391</c:v>
                </c:pt>
                <c:pt idx="731">
                  <c:v>-7.4437443342752587</c:v>
                </c:pt>
                <c:pt idx="732">
                  <c:v>-7.4437814749462623</c:v>
                </c:pt>
                <c:pt idx="733">
                  <c:v>-7.4438186153323587</c:v>
                </c:pt>
                <c:pt idx="734">
                  <c:v>-7.4438557554335398</c:v>
                </c:pt>
                <c:pt idx="735">
                  <c:v>-7.4438928952498058</c:v>
                </c:pt>
                <c:pt idx="736">
                  <c:v>-7.4439300347811574</c:v>
                </c:pt>
                <c:pt idx="737">
                  <c:v>-7.4439671740275948</c:v>
                </c:pt>
                <c:pt idx="738">
                  <c:v>-7.4440043129891151</c:v>
                </c:pt>
                <c:pt idx="739">
                  <c:v>-7.4440414516657203</c:v>
                </c:pt>
                <c:pt idx="740">
                  <c:v>-7.4440785900574129</c:v>
                </c:pt>
                <c:pt idx="741">
                  <c:v>-7.4441157281641859</c:v>
                </c:pt>
                <c:pt idx="742">
                  <c:v>-7.444152865986041</c:v>
                </c:pt>
                <c:pt idx="743">
                  <c:v>-7.44419000352298</c:v>
                </c:pt>
                <c:pt idx="744">
                  <c:v>-7.4442271407750011</c:v>
                </c:pt>
                <c:pt idx="745">
                  <c:v>-7.4442642777421071</c:v>
                </c:pt>
                <c:pt idx="746">
                  <c:v>-7.4443014144242907</c:v>
                </c:pt>
                <c:pt idx="747">
                  <c:v>-7.4443385508215547</c:v>
                </c:pt>
                <c:pt idx="748">
                  <c:v>-7.4443756869339026</c:v>
                </c:pt>
                <c:pt idx="749">
                  <c:v>-7.4444128227613273</c:v>
                </c:pt>
                <c:pt idx="750">
                  <c:v>-7.4444499583038342</c:v>
                </c:pt>
                <c:pt idx="751">
                  <c:v>-7.4444870935614178</c:v>
                </c:pt>
                <c:pt idx="752">
                  <c:v>-7.4445242285340827</c:v>
                </c:pt>
                <c:pt idx="753">
                  <c:v>-7.4445613632218226</c:v>
                </c:pt>
                <c:pt idx="754">
                  <c:v>-7.4445984976246464</c:v>
                </c:pt>
                <c:pt idx="755">
                  <c:v>-7.4446356317425373</c:v>
                </c:pt>
                <c:pt idx="756">
                  <c:v>-7.4446727655755121</c:v>
                </c:pt>
                <c:pt idx="757">
                  <c:v>-7.4447098991235627</c:v>
                </c:pt>
                <c:pt idx="758">
                  <c:v>-7.4447470323866902</c:v>
                </c:pt>
                <c:pt idx="759">
                  <c:v>-7.4447841653648892</c:v>
                </c:pt>
                <c:pt idx="760">
                  <c:v>-7.4448212980581685</c:v>
                </c:pt>
                <c:pt idx="761">
                  <c:v>-7.4448584304665193</c:v>
                </c:pt>
                <c:pt idx="762">
                  <c:v>-7.444895562589946</c:v>
                </c:pt>
                <c:pt idx="763">
                  <c:v>-7.4449326944284451</c:v>
                </c:pt>
                <c:pt idx="764">
                  <c:v>-7.4449698259820218</c:v>
                </c:pt>
                <c:pt idx="765">
                  <c:v>-7.4450069572506692</c:v>
                </c:pt>
                <c:pt idx="766">
                  <c:v>-7.4450440882343907</c:v>
                </c:pt>
                <c:pt idx="767">
                  <c:v>-7.4450812189331783</c:v>
                </c:pt>
                <c:pt idx="768">
                  <c:v>-7.4451183493470419</c:v>
                </c:pt>
                <c:pt idx="769">
                  <c:v>-7.4451554794759813</c:v>
                </c:pt>
                <c:pt idx="770">
                  <c:v>-7.4451926093199843</c:v>
                </c:pt>
                <c:pt idx="771">
                  <c:v>-7.4452297388790631</c:v>
                </c:pt>
                <c:pt idx="772">
                  <c:v>-7.4452668681532135</c:v>
                </c:pt>
                <c:pt idx="773">
                  <c:v>-7.4453039971424282</c:v>
                </c:pt>
                <c:pt idx="774">
                  <c:v>-7.4453411258467144</c:v>
                </c:pt>
                <c:pt idx="775">
                  <c:v>-7.4453782542660667</c:v>
                </c:pt>
                <c:pt idx="776">
                  <c:v>-7.4454153824004923</c:v>
                </c:pt>
                <c:pt idx="777">
                  <c:v>-7.4454525102499831</c:v>
                </c:pt>
                <c:pt idx="778">
                  <c:v>-7.4454896378145401</c:v>
                </c:pt>
                <c:pt idx="779">
                  <c:v>-7.4455267650941694</c:v>
                </c:pt>
                <c:pt idx="780">
                  <c:v>-7.4455638920888605</c:v>
                </c:pt>
                <c:pt idx="781">
                  <c:v>-7.4456010187986204</c:v>
                </c:pt>
                <c:pt idx="782">
                  <c:v>-7.4456381452234428</c:v>
                </c:pt>
                <c:pt idx="783">
                  <c:v>-7.4456752713633358</c:v>
                </c:pt>
                <c:pt idx="784">
                  <c:v>-7.4457123972182906</c:v>
                </c:pt>
                <c:pt idx="785">
                  <c:v>-7.4457495227883079</c:v>
                </c:pt>
                <c:pt idx="786">
                  <c:v>-7.4457866480733932</c:v>
                </c:pt>
                <c:pt idx="787">
                  <c:v>-7.445823773073541</c:v>
                </c:pt>
                <c:pt idx="788">
                  <c:v>-7.4458608977887488</c:v>
                </c:pt>
                <c:pt idx="789">
                  <c:v>-7.4458980222190227</c:v>
                </c:pt>
                <c:pt idx="790">
                  <c:v>-7.4459351463643575</c:v>
                </c:pt>
                <c:pt idx="791">
                  <c:v>-7.4459722702247548</c:v>
                </c:pt>
                <c:pt idx="792">
                  <c:v>-7.4460093938002156</c:v>
                </c:pt>
                <c:pt idx="793">
                  <c:v>-7.4460465170907328</c:v>
                </c:pt>
                <c:pt idx="794">
                  <c:v>-7.4460836400963162</c:v>
                </c:pt>
                <c:pt idx="795">
                  <c:v>-7.4461207628169577</c:v>
                </c:pt>
                <c:pt idx="796">
                  <c:v>-7.4461578852526564</c:v>
                </c:pt>
                <c:pt idx="797">
                  <c:v>-7.4461950074034169</c:v>
                </c:pt>
                <c:pt idx="798">
                  <c:v>-7.4462321292692355</c:v>
                </c:pt>
                <c:pt idx="799">
                  <c:v>-7.4462692508501149</c:v>
                </c:pt>
                <c:pt idx="800">
                  <c:v>-7.4463063721460498</c:v>
                </c:pt>
                <c:pt idx="801">
                  <c:v>-7.4463434931570438</c:v>
                </c:pt>
                <c:pt idx="802">
                  <c:v>-7.4463806138830932</c:v>
                </c:pt>
                <c:pt idx="803">
                  <c:v>-7.4464177343242008</c:v>
                </c:pt>
                <c:pt idx="804">
                  <c:v>-7.446454854480363</c:v>
                </c:pt>
                <c:pt idx="805">
                  <c:v>-7.4464919743515843</c:v>
                </c:pt>
                <c:pt idx="806">
                  <c:v>-7.4465290939378601</c:v>
                </c:pt>
                <c:pt idx="807">
                  <c:v>-7.4465662132391923</c:v>
                </c:pt>
                <c:pt idx="808">
                  <c:v>-7.4466033322555738</c:v>
                </c:pt>
                <c:pt idx="809">
                  <c:v>-7.4466404509870143</c:v>
                </c:pt>
                <c:pt idx="810">
                  <c:v>-7.4466775694335068</c:v>
                </c:pt>
                <c:pt idx="811">
                  <c:v>-7.4467146875950547</c:v>
                </c:pt>
                <c:pt idx="812">
                  <c:v>-7.4467518054716528</c:v>
                </c:pt>
                <c:pt idx="813">
                  <c:v>-7.4467889230633064</c:v>
                </c:pt>
                <c:pt idx="814">
                  <c:v>-7.4468260403700102</c:v>
                </c:pt>
                <c:pt idx="815">
                  <c:v>-7.4468631573917623</c:v>
                </c:pt>
                <c:pt idx="816">
                  <c:v>-7.446900274128569</c:v>
                </c:pt>
                <c:pt idx="817">
                  <c:v>-7.4469373905804277</c:v>
                </c:pt>
                <c:pt idx="818">
                  <c:v>-7.4469745067473347</c:v>
                </c:pt>
                <c:pt idx="819">
                  <c:v>-7.4470116226292928</c:v>
                </c:pt>
                <c:pt idx="820">
                  <c:v>-7.4470487382263002</c:v>
                </c:pt>
                <c:pt idx="821">
                  <c:v>-7.4470858535383568</c:v>
                </c:pt>
                <c:pt idx="822">
                  <c:v>-7.4471229685654583</c:v>
                </c:pt>
                <c:pt idx="823">
                  <c:v>-7.4471600833076153</c:v>
                </c:pt>
                <c:pt idx="824">
                  <c:v>-7.4471971977648179</c:v>
                </c:pt>
                <c:pt idx="825">
                  <c:v>-7.4472343119370645</c:v>
                </c:pt>
                <c:pt idx="826">
                  <c:v>-7.4472714258243569</c:v>
                </c:pt>
                <c:pt idx="827">
                  <c:v>-7.447308539426702</c:v>
                </c:pt>
                <c:pt idx="828">
                  <c:v>-7.4473456527440911</c:v>
                </c:pt>
                <c:pt idx="829">
                  <c:v>-7.4473827657765259</c:v>
                </c:pt>
                <c:pt idx="830">
                  <c:v>-7.4474198785240038</c:v>
                </c:pt>
                <c:pt idx="831">
                  <c:v>-7.4474569909865274</c:v>
                </c:pt>
                <c:pt idx="832">
                  <c:v>-7.4474941031640958</c:v>
                </c:pt>
                <c:pt idx="833">
                  <c:v>-7.4475312150567046</c:v>
                </c:pt>
                <c:pt idx="834">
                  <c:v>-7.4475683266643626</c:v>
                </c:pt>
                <c:pt idx="835">
                  <c:v>-7.4476054379870646</c:v>
                </c:pt>
                <c:pt idx="836">
                  <c:v>-7.4476425490248035</c:v>
                </c:pt>
                <c:pt idx="837">
                  <c:v>-7.4476796597775889</c:v>
                </c:pt>
                <c:pt idx="838">
                  <c:v>-7.4477167702454148</c:v>
                </c:pt>
                <c:pt idx="839">
                  <c:v>-7.4477538804282792</c:v>
                </c:pt>
                <c:pt idx="840">
                  <c:v>-7.447790990326185</c:v>
                </c:pt>
                <c:pt idx="841">
                  <c:v>-7.4478280999391355</c:v>
                </c:pt>
                <c:pt idx="842">
                  <c:v>-7.4478652092671256</c:v>
                </c:pt>
                <c:pt idx="843">
                  <c:v>-7.4479023183101516</c:v>
                </c:pt>
                <c:pt idx="844">
                  <c:v>-7.4479394270682207</c:v>
                </c:pt>
                <c:pt idx="845">
                  <c:v>-7.4479765355413265</c:v>
                </c:pt>
                <c:pt idx="846">
                  <c:v>-7.4480136437294737</c:v>
                </c:pt>
                <c:pt idx="847">
                  <c:v>-7.4480507516326551</c:v>
                </c:pt>
                <c:pt idx="848">
                  <c:v>-7.448087859250875</c:v>
                </c:pt>
                <c:pt idx="849">
                  <c:v>-7.4481249665841354</c:v>
                </c:pt>
                <c:pt idx="850">
                  <c:v>-7.4481620736324299</c:v>
                </c:pt>
                <c:pt idx="851">
                  <c:v>-7.4481991803957603</c:v>
                </c:pt>
                <c:pt idx="852">
                  <c:v>-7.4482362868741276</c:v>
                </c:pt>
                <c:pt idx="853">
                  <c:v>-7.4482733930675282</c:v>
                </c:pt>
                <c:pt idx="854">
                  <c:v>-7.4483104989759621</c:v>
                </c:pt>
                <c:pt idx="855">
                  <c:v>-7.4483476045994346</c:v>
                </c:pt>
                <c:pt idx="856">
                  <c:v>-7.4483847099379421</c:v>
                </c:pt>
                <c:pt idx="857">
                  <c:v>-7.4484218149914811</c:v>
                </c:pt>
                <c:pt idx="858">
                  <c:v>-7.448458919760057</c:v>
                </c:pt>
                <c:pt idx="859">
                  <c:v>-7.4484960242436618</c:v>
                </c:pt>
                <c:pt idx="860">
                  <c:v>-7.4485331284422989</c:v>
                </c:pt>
                <c:pt idx="861">
                  <c:v>-7.448570232355971</c:v>
                </c:pt>
                <c:pt idx="862">
                  <c:v>-7.4486073359846712</c:v>
                </c:pt>
                <c:pt idx="863">
                  <c:v>-7.448644439328409</c:v>
                </c:pt>
                <c:pt idx="864">
                  <c:v>-7.4486815423871713</c:v>
                </c:pt>
                <c:pt idx="865">
                  <c:v>-7.4487186451609642</c:v>
                </c:pt>
                <c:pt idx="866">
                  <c:v>-7.4487557476497885</c:v>
                </c:pt>
                <c:pt idx="867">
                  <c:v>-7.4487928498536453</c:v>
                </c:pt>
                <c:pt idx="868">
                  <c:v>-7.4488299517725274</c:v>
                </c:pt>
                <c:pt idx="869">
                  <c:v>-7.4488670534064383</c:v>
                </c:pt>
                <c:pt idx="870">
                  <c:v>-7.4489041547553771</c:v>
                </c:pt>
                <c:pt idx="871">
                  <c:v>-7.4489412558193475</c:v>
                </c:pt>
                <c:pt idx="872">
                  <c:v>-7.4489783565983423</c:v>
                </c:pt>
                <c:pt idx="873">
                  <c:v>-7.4490154570923623</c:v>
                </c:pt>
                <c:pt idx="874">
                  <c:v>-7.4490525573014148</c:v>
                </c:pt>
                <c:pt idx="875">
                  <c:v>-7.449089657225489</c:v>
                </c:pt>
                <c:pt idx="876">
                  <c:v>-7.4491267568645867</c:v>
                </c:pt>
                <c:pt idx="877">
                  <c:v>-7.4491638562187115</c:v>
                </c:pt>
                <c:pt idx="878">
                  <c:v>-7.4492009552878606</c:v>
                </c:pt>
                <c:pt idx="879">
                  <c:v>-7.4492380540720342</c:v>
                </c:pt>
                <c:pt idx="880">
                  <c:v>-7.449275152571234</c:v>
                </c:pt>
                <c:pt idx="881">
                  <c:v>-7.449312250785459</c:v>
                </c:pt>
                <c:pt idx="882">
                  <c:v>-7.4493493487147031</c:v>
                </c:pt>
                <c:pt idx="883">
                  <c:v>-7.4493864463589716</c:v>
                </c:pt>
                <c:pt idx="884">
                  <c:v>-7.4494235437182628</c:v>
                </c:pt>
                <c:pt idx="885">
                  <c:v>-7.4494606407925739</c:v>
                </c:pt>
                <c:pt idx="886">
                  <c:v>-7.4494977375819094</c:v>
                </c:pt>
                <c:pt idx="887">
                  <c:v>-7.449534834086263</c:v>
                </c:pt>
                <c:pt idx="888">
                  <c:v>-7.4495719303056411</c:v>
                </c:pt>
                <c:pt idx="889">
                  <c:v>-7.4496090262400365</c:v>
                </c:pt>
                <c:pt idx="890">
                  <c:v>-7.4496461218894519</c:v>
                </c:pt>
                <c:pt idx="891">
                  <c:v>-7.4496832172538845</c:v>
                </c:pt>
                <c:pt idx="892">
                  <c:v>-7.4497203123333398</c:v>
                </c:pt>
                <c:pt idx="893">
                  <c:v>-7.4497574071278105</c:v>
                </c:pt>
                <c:pt idx="894">
                  <c:v>-7.4497945016373013</c:v>
                </c:pt>
                <c:pt idx="895">
                  <c:v>-7.4498315958618093</c:v>
                </c:pt>
                <c:pt idx="896">
                  <c:v>-7.4498686898013347</c:v>
                </c:pt>
                <c:pt idx="897">
                  <c:v>-7.4499057834558764</c:v>
                </c:pt>
                <c:pt idx="898">
                  <c:v>-7.4499428768254363</c:v>
                </c:pt>
                <c:pt idx="899">
                  <c:v>-7.44997996991001</c:v>
                </c:pt>
                <c:pt idx="900">
                  <c:v>-7.4500170627096018</c:v>
                </c:pt>
                <c:pt idx="901">
                  <c:v>-7.4500541552242039</c:v>
                </c:pt>
                <c:pt idx="902">
                  <c:v>-7.4500912474538241</c:v>
                </c:pt>
                <c:pt idx="903">
                  <c:v>-7.4501283393984581</c:v>
                </c:pt>
                <c:pt idx="904">
                  <c:v>-7.4501654310581076</c:v>
                </c:pt>
                <c:pt idx="905">
                  <c:v>-7.4502025224327673</c:v>
                </c:pt>
                <c:pt idx="906">
                  <c:v>-7.4502396135224442</c:v>
                </c:pt>
                <c:pt idx="907">
                  <c:v>-7.4502767043271296</c:v>
                </c:pt>
                <c:pt idx="908">
                  <c:v>-7.4503137948468288</c:v>
                </c:pt>
                <c:pt idx="909">
                  <c:v>-7.450350885081539</c:v>
                </c:pt>
                <c:pt idx="910">
                  <c:v>-7.4503879750312638</c:v>
                </c:pt>
                <c:pt idx="911">
                  <c:v>-7.4504250646959953</c:v>
                </c:pt>
                <c:pt idx="912">
                  <c:v>-7.4504621540757396</c:v>
                </c:pt>
                <c:pt idx="913">
                  <c:v>-7.4504992431704924</c:v>
                </c:pt>
                <c:pt idx="914">
                  <c:v>-7.4505363319802562</c:v>
                </c:pt>
                <c:pt idx="915">
                  <c:v>-7.4505734205050276</c:v>
                </c:pt>
                <c:pt idx="916">
                  <c:v>-7.4506105087448082</c:v>
                </c:pt>
                <c:pt idx="917">
                  <c:v>-7.4506475966995982</c:v>
                </c:pt>
                <c:pt idx="918">
                  <c:v>-7.4506846843693983</c:v>
                </c:pt>
                <c:pt idx="919">
                  <c:v>-7.4507217717542016</c:v>
                </c:pt>
                <c:pt idx="920">
                  <c:v>-7.4507588588540123</c:v>
                </c:pt>
                <c:pt idx="921">
                  <c:v>-7.4507959456688342</c:v>
                </c:pt>
                <c:pt idx="922">
                  <c:v>-7.4508330321986564</c:v>
                </c:pt>
                <c:pt idx="923">
                  <c:v>-7.4508701184434889</c:v>
                </c:pt>
                <c:pt idx="924">
                  <c:v>-7.4509072044033262</c:v>
                </c:pt>
                <c:pt idx="925">
                  <c:v>-7.4509442900781631</c:v>
                </c:pt>
                <c:pt idx="926">
                  <c:v>-7.4509813754680119</c:v>
                </c:pt>
                <c:pt idx="927">
                  <c:v>-7.451018460572862</c:v>
                </c:pt>
                <c:pt idx="928">
                  <c:v>-7.4510555453927161</c:v>
                </c:pt>
                <c:pt idx="929">
                  <c:v>-7.4510926299275715</c:v>
                </c:pt>
                <c:pt idx="930">
                  <c:v>-7.4511297141774318</c:v>
                </c:pt>
                <c:pt idx="931">
                  <c:v>-7.451166798142296</c:v>
                </c:pt>
                <c:pt idx="932">
                  <c:v>-7.4512038818221589</c:v>
                </c:pt>
                <c:pt idx="933">
                  <c:v>-7.4512409652170266</c:v>
                </c:pt>
                <c:pt idx="934">
                  <c:v>-7.4512780483268921</c:v>
                </c:pt>
                <c:pt idx="935">
                  <c:v>-7.4513151311517616</c:v>
                </c:pt>
                <c:pt idx="936">
                  <c:v>-7.4513522136916315</c:v>
                </c:pt>
                <c:pt idx="937">
                  <c:v>-7.4513892959464973</c:v>
                </c:pt>
                <c:pt idx="938">
                  <c:v>-7.4514263779163663</c:v>
                </c:pt>
                <c:pt idx="939">
                  <c:v>-7.4514634596012357</c:v>
                </c:pt>
                <c:pt idx="940">
                  <c:v>-7.4515005410011002</c:v>
                </c:pt>
                <c:pt idx="941">
                  <c:v>-7.4515376221159633</c:v>
                </c:pt>
                <c:pt idx="942">
                  <c:v>-7.4515747029458241</c:v>
                </c:pt>
                <c:pt idx="943">
                  <c:v>-7.4516117834906854</c:v>
                </c:pt>
                <c:pt idx="944">
                  <c:v>-7.4516488637505391</c:v>
                </c:pt>
                <c:pt idx="945">
                  <c:v>-7.4516859437253933</c:v>
                </c:pt>
                <c:pt idx="946">
                  <c:v>-7.4517230234152434</c:v>
                </c:pt>
                <c:pt idx="947">
                  <c:v>-7.4517601028200904</c:v>
                </c:pt>
                <c:pt idx="948">
                  <c:v>-7.4517971819399262</c:v>
                </c:pt>
                <c:pt idx="949">
                  <c:v>-7.4518342607747652</c:v>
                </c:pt>
                <c:pt idx="950">
                  <c:v>-7.4518713393245957</c:v>
                </c:pt>
                <c:pt idx="951">
                  <c:v>-7.4519084175894195</c:v>
                </c:pt>
                <c:pt idx="952">
                  <c:v>-7.4519454955692348</c:v>
                </c:pt>
                <c:pt idx="953">
                  <c:v>-7.4519825732640461</c:v>
                </c:pt>
                <c:pt idx="954">
                  <c:v>-7.4520196506738516</c:v>
                </c:pt>
                <c:pt idx="955">
                  <c:v>-7.452056727798646</c:v>
                </c:pt>
                <c:pt idx="956">
                  <c:v>-7.4520938046384382</c:v>
                </c:pt>
                <c:pt idx="957">
                  <c:v>-7.4521308811932148</c:v>
                </c:pt>
                <c:pt idx="958">
                  <c:v>-7.4521679574629864</c:v>
                </c:pt>
                <c:pt idx="959">
                  <c:v>-7.4522050334477461</c:v>
                </c:pt>
                <c:pt idx="960">
                  <c:v>-7.4522421091474982</c:v>
                </c:pt>
                <c:pt idx="961">
                  <c:v>-7.4522791845622418</c:v>
                </c:pt>
                <c:pt idx="962">
                  <c:v>-7.4523162596919699</c:v>
                </c:pt>
                <c:pt idx="963">
                  <c:v>-7.4523533345366921</c:v>
                </c:pt>
                <c:pt idx="964">
                  <c:v>-7.4523904090963997</c:v>
                </c:pt>
                <c:pt idx="965">
                  <c:v>-7.4524274833710988</c:v>
                </c:pt>
                <c:pt idx="966">
                  <c:v>-7.4524645573607824</c:v>
                </c:pt>
                <c:pt idx="967">
                  <c:v>-7.4525016310654548</c:v>
                </c:pt>
                <c:pt idx="968">
                  <c:v>-7.4525387044851144</c:v>
                </c:pt>
                <c:pt idx="969">
                  <c:v>-7.4525757776197628</c:v>
                </c:pt>
                <c:pt idx="970">
                  <c:v>-7.4526128504693929</c:v>
                </c:pt>
                <c:pt idx="971">
                  <c:v>-7.452649923034012</c:v>
                </c:pt>
                <c:pt idx="972">
                  <c:v>-7.4526869953136146</c:v>
                </c:pt>
                <c:pt idx="973">
                  <c:v>-7.4527240673082042</c:v>
                </c:pt>
                <c:pt idx="974">
                  <c:v>-7.4527611390177748</c:v>
                </c:pt>
                <c:pt idx="975">
                  <c:v>-7.4527982104423307</c:v>
                </c:pt>
                <c:pt idx="976">
                  <c:v>-7.452835281581871</c:v>
                </c:pt>
                <c:pt idx="977">
                  <c:v>-7.452872352436394</c:v>
                </c:pt>
                <c:pt idx="978">
                  <c:v>-7.4529094230058996</c:v>
                </c:pt>
                <c:pt idx="979">
                  <c:v>-7.4529464932903879</c:v>
                </c:pt>
                <c:pt idx="980">
                  <c:v>-7.4529835632898589</c:v>
                </c:pt>
                <c:pt idx="981">
                  <c:v>-7.4530206330043107</c:v>
                </c:pt>
                <c:pt idx="982">
                  <c:v>-7.4530577024337434</c:v>
                </c:pt>
                <c:pt idx="983">
                  <c:v>-7.4530947715781561</c:v>
                </c:pt>
                <c:pt idx="984">
                  <c:v>-7.4531318404375515</c:v>
                </c:pt>
                <c:pt idx="985">
                  <c:v>-7.453168909011926</c:v>
                </c:pt>
                <c:pt idx="986">
                  <c:v>-7.4532059773012795</c:v>
                </c:pt>
                <c:pt idx="987">
                  <c:v>-7.4532430453056104</c:v>
                </c:pt>
                <c:pt idx="988">
                  <c:v>-7.4532801130249222</c:v>
                </c:pt>
                <c:pt idx="989">
                  <c:v>-7.4533171804592122</c:v>
                </c:pt>
                <c:pt idx="990">
                  <c:v>-7.4533542476084778</c:v>
                </c:pt>
                <c:pt idx="991">
                  <c:v>-7.4533913144727224</c:v>
                </c:pt>
                <c:pt idx="992">
                  <c:v>-7.4534283810519426</c:v>
                </c:pt>
                <c:pt idx="993">
                  <c:v>-7.4534654473461428</c:v>
                </c:pt>
                <c:pt idx="994">
                  <c:v>-7.453502513355315</c:v>
                </c:pt>
                <c:pt idx="995">
                  <c:v>-7.4535395790794645</c:v>
                </c:pt>
                <c:pt idx="996">
                  <c:v>-7.4535766445185878</c:v>
                </c:pt>
                <c:pt idx="997">
                  <c:v>-7.4536137096726884</c:v>
                </c:pt>
                <c:pt idx="998">
                  <c:v>-7.4536507745417646</c:v>
                </c:pt>
                <c:pt idx="999">
                  <c:v>-7.4536878391258137</c:v>
                </c:pt>
                <c:pt idx="1000">
                  <c:v>-7.4537249034248338</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35.800100000000199</c:v>
                </c:pt>
                <c:pt idx="720">
                  <c:v>35.800200000000203</c:v>
                </c:pt>
                <c:pt idx="721">
                  <c:v>35.800300000000206</c:v>
                </c:pt>
                <c:pt idx="722">
                  <c:v>35.800400000000209</c:v>
                </c:pt>
                <c:pt idx="723">
                  <c:v>35.800500000000213</c:v>
                </c:pt>
                <c:pt idx="724">
                  <c:v>35.800600000000216</c:v>
                </c:pt>
                <c:pt idx="725">
                  <c:v>35.800700000000219</c:v>
                </c:pt>
                <c:pt idx="726">
                  <c:v>35.800800000000223</c:v>
                </c:pt>
                <c:pt idx="727">
                  <c:v>35.800900000000226</c:v>
                </c:pt>
                <c:pt idx="728">
                  <c:v>35.801000000000229</c:v>
                </c:pt>
                <c:pt idx="729">
                  <c:v>35.801100000000233</c:v>
                </c:pt>
                <c:pt idx="730">
                  <c:v>35.801200000000236</c:v>
                </c:pt>
                <c:pt idx="731">
                  <c:v>35.801300000000239</c:v>
                </c:pt>
                <c:pt idx="732">
                  <c:v>35.801400000000243</c:v>
                </c:pt>
                <c:pt idx="733">
                  <c:v>35.801500000000246</c:v>
                </c:pt>
                <c:pt idx="734">
                  <c:v>35.801600000000249</c:v>
                </c:pt>
                <c:pt idx="735">
                  <c:v>35.801700000000253</c:v>
                </c:pt>
                <c:pt idx="736">
                  <c:v>35.801800000000256</c:v>
                </c:pt>
                <c:pt idx="737">
                  <c:v>35.801900000000259</c:v>
                </c:pt>
                <c:pt idx="738">
                  <c:v>35.802000000000263</c:v>
                </c:pt>
                <c:pt idx="739">
                  <c:v>35.802100000000266</c:v>
                </c:pt>
                <c:pt idx="740">
                  <c:v>35.802200000000269</c:v>
                </c:pt>
                <c:pt idx="741">
                  <c:v>35.802300000000272</c:v>
                </c:pt>
                <c:pt idx="742">
                  <c:v>35.802400000000276</c:v>
                </c:pt>
                <c:pt idx="743">
                  <c:v>35.802500000000279</c:v>
                </c:pt>
                <c:pt idx="744">
                  <c:v>35.802600000000282</c:v>
                </c:pt>
                <c:pt idx="745">
                  <c:v>35.802700000000286</c:v>
                </c:pt>
                <c:pt idx="746">
                  <c:v>35.802800000000289</c:v>
                </c:pt>
                <c:pt idx="747">
                  <c:v>35.802900000000292</c:v>
                </c:pt>
                <c:pt idx="748">
                  <c:v>35.803000000000296</c:v>
                </c:pt>
                <c:pt idx="749">
                  <c:v>35.803100000000299</c:v>
                </c:pt>
                <c:pt idx="750">
                  <c:v>35.803200000000302</c:v>
                </c:pt>
                <c:pt idx="751">
                  <c:v>35.803300000000306</c:v>
                </c:pt>
                <c:pt idx="752">
                  <c:v>35.803400000000309</c:v>
                </c:pt>
                <c:pt idx="753">
                  <c:v>35.803500000000312</c:v>
                </c:pt>
                <c:pt idx="754">
                  <c:v>35.803600000000316</c:v>
                </c:pt>
                <c:pt idx="755">
                  <c:v>35.803700000000319</c:v>
                </c:pt>
                <c:pt idx="756">
                  <c:v>35.803800000000322</c:v>
                </c:pt>
                <c:pt idx="757">
                  <c:v>35.803900000000326</c:v>
                </c:pt>
                <c:pt idx="758">
                  <c:v>35.804000000000329</c:v>
                </c:pt>
                <c:pt idx="759">
                  <c:v>35.804100000000332</c:v>
                </c:pt>
                <c:pt idx="760">
                  <c:v>35.804200000000336</c:v>
                </c:pt>
                <c:pt idx="761">
                  <c:v>35.804300000000339</c:v>
                </c:pt>
                <c:pt idx="762">
                  <c:v>35.804400000000342</c:v>
                </c:pt>
                <c:pt idx="763">
                  <c:v>35.804500000000345</c:v>
                </c:pt>
                <c:pt idx="764">
                  <c:v>35.804600000000349</c:v>
                </c:pt>
                <c:pt idx="765">
                  <c:v>35.804700000000352</c:v>
                </c:pt>
                <c:pt idx="766">
                  <c:v>35.804800000000355</c:v>
                </c:pt>
                <c:pt idx="767">
                  <c:v>35.804900000000359</c:v>
                </c:pt>
                <c:pt idx="768">
                  <c:v>35.805000000000362</c:v>
                </c:pt>
                <c:pt idx="769">
                  <c:v>35.805100000000365</c:v>
                </c:pt>
                <c:pt idx="770">
                  <c:v>35.805200000000369</c:v>
                </c:pt>
                <c:pt idx="771">
                  <c:v>35.805300000000372</c:v>
                </c:pt>
                <c:pt idx="772">
                  <c:v>35.805400000000375</c:v>
                </c:pt>
                <c:pt idx="773">
                  <c:v>35.805500000000379</c:v>
                </c:pt>
                <c:pt idx="774">
                  <c:v>35.805600000000382</c:v>
                </c:pt>
                <c:pt idx="775">
                  <c:v>35.805700000000385</c:v>
                </c:pt>
                <c:pt idx="776">
                  <c:v>35.805800000000389</c:v>
                </c:pt>
                <c:pt idx="777">
                  <c:v>35.805900000000392</c:v>
                </c:pt>
                <c:pt idx="778">
                  <c:v>35.806000000000395</c:v>
                </c:pt>
                <c:pt idx="779">
                  <c:v>35.806100000000399</c:v>
                </c:pt>
                <c:pt idx="780">
                  <c:v>35.806200000000402</c:v>
                </c:pt>
                <c:pt idx="781">
                  <c:v>35.806300000000405</c:v>
                </c:pt>
                <c:pt idx="782">
                  <c:v>35.806400000000409</c:v>
                </c:pt>
                <c:pt idx="783">
                  <c:v>35.806500000000412</c:v>
                </c:pt>
                <c:pt idx="784">
                  <c:v>35.806600000000415</c:v>
                </c:pt>
                <c:pt idx="785">
                  <c:v>35.806700000000419</c:v>
                </c:pt>
                <c:pt idx="786">
                  <c:v>35.806800000000422</c:v>
                </c:pt>
                <c:pt idx="787">
                  <c:v>35.806900000000425</c:v>
                </c:pt>
                <c:pt idx="788">
                  <c:v>35.807000000000428</c:v>
                </c:pt>
                <c:pt idx="789">
                  <c:v>35.807100000000432</c:v>
                </c:pt>
                <c:pt idx="790">
                  <c:v>35.807200000000435</c:v>
                </c:pt>
                <c:pt idx="791">
                  <c:v>35.807300000000438</c:v>
                </c:pt>
                <c:pt idx="792">
                  <c:v>35.807400000000442</c:v>
                </c:pt>
                <c:pt idx="793">
                  <c:v>35.807500000000445</c:v>
                </c:pt>
                <c:pt idx="794">
                  <c:v>35.807600000000448</c:v>
                </c:pt>
                <c:pt idx="795">
                  <c:v>35.807700000000452</c:v>
                </c:pt>
                <c:pt idx="796">
                  <c:v>35.807800000000455</c:v>
                </c:pt>
                <c:pt idx="797">
                  <c:v>35.807900000000458</c:v>
                </c:pt>
                <c:pt idx="798">
                  <c:v>35.808000000000462</c:v>
                </c:pt>
                <c:pt idx="799">
                  <c:v>35.808100000000465</c:v>
                </c:pt>
                <c:pt idx="800">
                  <c:v>35.808200000000468</c:v>
                </c:pt>
                <c:pt idx="801">
                  <c:v>35.808300000000472</c:v>
                </c:pt>
                <c:pt idx="802">
                  <c:v>35.808400000000475</c:v>
                </c:pt>
                <c:pt idx="803">
                  <c:v>35.808500000000478</c:v>
                </c:pt>
                <c:pt idx="804">
                  <c:v>35.808600000000482</c:v>
                </c:pt>
                <c:pt idx="805">
                  <c:v>35.808700000000485</c:v>
                </c:pt>
                <c:pt idx="806">
                  <c:v>35.808800000000488</c:v>
                </c:pt>
                <c:pt idx="807">
                  <c:v>35.808900000000492</c:v>
                </c:pt>
                <c:pt idx="808">
                  <c:v>35.809000000000495</c:v>
                </c:pt>
                <c:pt idx="809">
                  <c:v>35.809100000000498</c:v>
                </c:pt>
                <c:pt idx="810">
                  <c:v>35.809200000000502</c:v>
                </c:pt>
                <c:pt idx="811">
                  <c:v>35.809300000000505</c:v>
                </c:pt>
                <c:pt idx="812">
                  <c:v>35.809400000000508</c:v>
                </c:pt>
                <c:pt idx="813">
                  <c:v>35.809500000000511</c:v>
                </c:pt>
                <c:pt idx="814">
                  <c:v>35.809600000000515</c:v>
                </c:pt>
                <c:pt idx="815">
                  <c:v>35.809700000000518</c:v>
                </c:pt>
                <c:pt idx="816">
                  <c:v>35.809800000000521</c:v>
                </c:pt>
                <c:pt idx="817">
                  <c:v>35.809900000000525</c:v>
                </c:pt>
                <c:pt idx="818">
                  <c:v>35.810000000000528</c:v>
                </c:pt>
                <c:pt idx="819">
                  <c:v>35.810100000000531</c:v>
                </c:pt>
                <c:pt idx="820">
                  <c:v>35.810200000000535</c:v>
                </c:pt>
                <c:pt idx="821">
                  <c:v>35.810300000000538</c:v>
                </c:pt>
                <c:pt idx="822">
                  <c:v>35.810400000000541</c:v>
                </c:pt>
                <c:pt idx="823">
                  <c:v>35.810500000000545</c:v>
                </c:pt>
                <c:pt idx="824">
                  <c:v>35.810600000000548</c:v>
                </c:pt>
                <c:pt idx="825">
                  <c:v>35.810700000000551</c:v>
                </c:pt>
                <c:pt idx="826">
                  <c:v>35.810800000000555</c:v>
                </c:pt>
                <c:pt idx="827">
                  <c:v>35.810900000000558</c:v>
                </c:pt>
                <c:pt idx="828">
                  <c:v>35.811000000000561</c:v>
                </c:pt>
                <c:pt idx="829">
                  <c:v>35.811100000000565</c:v>
                </c:pt>
                <c:pt idx="830">
                  <c:v>35.811200000000568</c:v>
                </c:pt>
                <c:pt idx="831">
                  <c:v>35.811300000000571</c:v>
                </c:pt>
                <c:pt idx="832">
                  <c:v>35.811400000000575</c:v>
                </c:pt>
                <c:pt idx="833">
                  <c:v>35.811500000000578</c:v>
                </c:pt>
                <c:pt idx="834">
                  <c:v>35.811600000000581</c:v>
                </c:pt>
                <c:pt idx="835">
                  <c:v>35.811700000000585</c:v>
                </c:pt>
                <c:pt idx="836">
                  <c:v>35.811800000000588</c:v>
                </c:pt>
                <c:pt idx="837">
                  <c:v>35.811900000000591</c:v>
                </c:pt>
                <c:pt idx="838">
                  <c:v>35.812000000000594</c:v>
                </c:pt>
                <c:pt idx="839">
                  <c:v>35.812100000000598</c:v>
                </c:pt>
                <c:pt idx="840">
                  <c:v>35.812200000000601</c:v>
                </c:pt>
                <c:pt idx="841">
                  <c:v>35.812300000000604</c:v>
                </c:pt>
                <c:pt idx="842">
                  <c:v>35.812400000000608</c:v>
                </c:pt>
                <c:pt idx="843">
                  <c:v>35.812500000000611</c:v>
                </c:pt>
                <c:pt idx="844">
                  <c:v>35.812600000000614</c:v>
                </c:pt>
                <c:pt idx="845">
                  <c:v>35.812700000000618</c:v>
                </c:pt>
                <c:pt idx="846">
                  <c:v>35.812800000000621</c:v>
                </c:pt>
                <c:pt idx="847">
                  <c:v>35.812900000000624</c:v>
                </c:pt>
                <c:pt idx="848">
                  <c:v>35.813000000000628</c:v>
                </c:pt>
                <c:pt idx="849">
                  <c:v>35.813100000000631</c:v>
                </c:pt>
                <c:pt idx="850">
                  <c:v>35.813200000000634</c:v>
                </c:pt>
                <c:pt idx="851">
                  <c:v>35.813300000000638</c:v>
                </c:pt>
                <c:pt idx="852">
                  <c:v>35.813400000000641</c:v>
                </c:pt>
                <c:pt idx="853">
                  <c:v>35.813500000000644</c:v>
                </c:pt>
                <c:pt idx="854">
                  <c:v>35.813600000000648</c:v>
                </c:pt>
                <c:pt idx="855">
                  <c:v>35.813700000000651</c:v>
                </c:pt>
                <c:pt idx="856">
                  <c:v>35.813800000000654</c:v>
                </c:pt>
                <c:pt idx="857">
                  <c:v>35.813900000000658</c:v>
                </c:pt>
                <c:pt idx="858">
                  <c:v>35.814000000000661</c:v>
                </c:pt>
                <c:pt idx="859">
                  <c:v>35.814100000000664</c:v>
                </c:pt>
                <c:pt idx="860">
                  <c:v>35.814200000000668</c:v>
                </c:pt>
                <c:pt idx="861">
                  <c:v>35.814300000000671</c:v>
                </c:pt>
                <c:pt idx="862">
                  <c:v>35.814400000000674</c:v>
                </c:pt>
                <c:pt idx="863">
                  <c:v>35.814500000000677</c:v>
                </c:pt>
                <c:pt idx="864">
                  <c:v>35.814600000000681</c:v>
                </c:pt>
                <c:pt idx="865">
                  <c:v>35.814700000000684</c:v>
                </c:pt>
                <c:pt idx="866">
                  <c:v>35.814800000000687</c:v>
                </c:pt>
                <c:pt idx="867">
                  <c:v>35.814900000000691</c:v>
                </c:pt>
                <c:pt idx="868">
                  <c:v>35.815000000000694</c:v>
                </c:pt>
                <c:pt idx="869">
                  <c:v>35.815100000000697</c:v>
                </c:pt>
                <c:pt idx="870">
                  <c:v>35.815200000000701</c:v>
                </c:pt>
                <c:pt idx="871">
                  <c:v>35.815300000000704</c:v>
                </c:pt>
                <c:pt idx="872">
                  <c:v>35.815400000000707</c:v>
                </c:pt>
                <c:pt idx="873">
                  <c:v>35.815500000000711</c:v>
                </c:pt>
                <c:pt idx="874">
                  <c:v>35.815600000000714</c:v>
                </c:pt>
                <c:pt idx="875">
                  <c:v>35.815700000000717</c:v>
                </c:pt>
                <c:pt idx="876">
                  <c:v>35.815800000000721</c:v>
                </c:pt>
                <c:pt idx="877">
                  <c:v>35.815900000000724</c:v>
                </c:pt>
                <c:pt idx="878">
                  <c:v>35.816000000000727</c:v>
                </c:pt>
                <c:pt idx="879">
                  <c:v>35.816100000000731</c:v>
                </c:pt>
                <c:pt idx="880">
                  <c:v>35.816200000000734</c:v>
                </c:pt>
                <c:pt idx="881">
                  <c:v>35.816300000000737</c:v>
                </c:pt>
                <c:pt idx="882">
                  <c:v>35.816400000000741</c:v>
                </c:pt>
                <c:pt idx="883">
                  <c:v>35.816500000000744</c:v>
                </c:pt>
                <c:pt idx="884">
                  <c:v>35.816600000000747</c:v>
                </c:pt>
                <c:pt idx="885">
                  <c:v>35.81670000000075</c:v>
                </c:pt>
                <c:pt idx="886">
                  <c:v>35.816800000000754</c:v>
                </c:pt>
                <c:pt idx="887">
                  <c:v>35.816900000000757</c:v>
                </c:pt>
                <c:pt idx="888">
                  <c:v>35.81700000000076</c:v>
                </c:pt>
                <c:pt idx="889">
                  <c:v>35.817100000000764</c:v>
                </c:pt>
                <c:pt idx="890">
                  <c:v>35.817200000000767</c:v>
                </c:pt>
                <c:pt idx="891">
                  <c:v>35.81730000000077</c:v>
                </c:pt>
                <c:pt idx="892">
                  <c:v>35.817400000000774</c:v>
                </c:pt>
                <c:pt idx="893">
                  <c:v>35.817500000000777</c:v>
                </c:pt>
                <c:pt idx="894">
                  <c:v>35.81760000000078</c:v>
                </c:pt>
                <c:pt idx="895">
                  <c:v>35.817700000000784</c:v>
                </c:pt>
                <c:pt idx="896">
                  <c:v>35.817800000000787</c:v>
                </c:pt>
                <c:pt idx="897">
                  <c:v>35.81790000000079</c:v>
                </c:pt>
                <c:pt idx="898">
                  <c:v>35.818000000000794</c:v>
                </c:pt>
                <c:pt idx="899">
                  <c:v>35.818100000000797</c:v>
                </c:pt>
                <c:pt idx="900">
                  <c:v>35.8182000000008</c:v>
                </c:pt>
                <c:pt idx="901">
                  <c:v>35.818300000000804</c:v>
                </c:pt>
                <c:pt idx="902">
                  <c:v>35.818400000000807</c:v>
                </c:pt>
                <c:pt idx="903">
                  <c:v>35.81850000000081</c:v>
                </c:pt>
                <c:pt idx="904">
                  <c:v>35.818600000000814</c:v>
                </c:pt>
                <c:pt idx="905">
                  <c:v>35.818700000000817</c:v>
                </c:pt>
                <c:pt idx="906">
                  <c:v>35.81880000000082</c:v>
                </c:pt>
                <c:pt idx="907">
                  <c:v>35.818900000000824</c:v>
                </c:pt>
                <c:pt idx="908">
                  <c:v>35.819000000000827</c:v>
                </c:pt>
                <c:pt idx="909">
                  <c:v>35.81910000000083</c:v>
                </c:pt>
                <c:pt idx="910">
                  <c:v>35.819200000000833</c:v>
                </c:pt>
                <c:pt idx="911">
                  <c:v>35.819300000000837</c:v>
                </c:pt>
                <c:pt idx="912">
                  <c:v>35.81940000000084</c:v>
                </c:pt>
                <c:pt idx="913">
                  <c:v>35.819500000000843</c:v>
                </c:pt>
                <c:pt idx="914">
                  <c:v>35.819600000000847</c:v>
                </c:pt>
                <c:pt idx="915">
                  <c:v>35.81970000000085</c:v>
                </c:pt>
                <c:pt idx="916">
                  <c:v>35.819800000000853</c:v>
                </c:pt>
                <c:pt idx="917">
                  <c:v>35.819900000000857</c:v>
                </c:pt>
                <c:pt idx="918">
                  <c:v>35.82000000000086</c:v>
                </c:pt>
                <c:pt idx="919">
                  <c:v>35.820100000000863</c:v>
                </c:pt>
                <c:pt idx="920">
                  <c:v>35.820200000000867</c:v>
                </c:pt>
                <c:pt idx="921">
                  <c:v>35.82030000000087</c:v>
                </c:pt>
                <c:pt idx="922">
                  <c:v>35.820400000000873</c:v>
                </c:pt>
                <c:pt idx="923">
                  <c:v>35.820500000000877</c:v>
                </c:pt>
                <c:pt idx="924">
                  <c:v>35.82060000000088</c:v>
                </c:pt>
                <c:pt idx="925">
                  <c:v>35.820700000000883</c:v>
                </c:pt>
                <c:pt idx="926">
                  <c:v>35.820800000000887</c:v>
                </c:pt>
                <c:pt idx="927">
                  <c:v>35.82090000000089</c:v>
                </c:pt>
                <c:pt idx="928">
                  <c:v>35.821000000000893</c:v>
                </c:pt>
                <c:pt idx="929">
                  <c:v>35.821100000000897</c:v>
                </c:pt>
                <c:pt idx="930">
                  <c:v>35.8212000000009</c:v>
                </c:pt>
                <c:pt idx="931">
                  <c:v>35.821300000000903</c:v>
                </c:pt>
                <c:pt idx="932">
                  <c:v>35.821400000000907</c:v>
                </c:pt>
                <c:pt idx="933">
                  <c:v>35.82150000000091</c:v>
                </c:pt>
                <c:pt idx="934">
                  <c:v>35.821600000000913</c:v>
                </c:pt>
                <c:pt idx="935">
                  <c:v>35.821700000000916</c:v>
                </c:pt>
                <c:pt idx="936">
                  <c:v>35.82180000000092</c:v>
                </c:pt>
                <c:pt idx="937">
                  <c:v>35.821900000000923</c:v>
                </c:pt>
                <c:pt idx="938">
                  <c:v>35.822000000000926</c:v>
                </c:pt>
                <c:pt idx="939">
                  <c:v>35.82210000000093</c:v>
                </c:pt>
                <c:pt idx="940">
                  <c:v>35.822200000000933</c:v>
                </c:pt>
                <c:pt idx="941">
                  <c:v>35.822300000000936</c:v>
                </c:pt>
                <c:pt idx="942">
                  <c:v>35.82240000000094</c:v>
                </c:pt>
                <c:pt idx="943">
                  <c:v>35.822500000000943</c:v>
                </c:pt>
                <c:pt idx="944">
                  <c:v>35.822600000000946</c:v>
                </c:pt>
                <c:pt idx="945">
                  <c:v>35.82270000000095</c:v>
                </c:pt>
                <c:pt idx="946">
                  <c:v>35.822800000000953</c:v>
                </c:pt>
                <c:pt idx="947">
                  <c:v>35.822900000000956</c:v>
                </c:pt>
                <c:pt idx="948">
                  <c:v>35.82300000000096</c:v>
                </c:pt>
                <c:pt idx="949">
                  <c:v>35.823100000000963</c:v>
                </c:pt>
                <c:pt idx="950">
                  <c:v>35.823200000000966</c:v>
                </c:pt>
                <c:pt idx="951">
                  <c:v>35.82330000000097</c:v>
                </c:pt>
                <c:pt idx="952">
                  <c:v>35.823400000000973</c:v>
                </c:pt>
                <c:pt idx="953">
                  <c:v>35.823500000000976</c:v>
                </c:pt>
                <c:pt idx="954">
                  <c:v>35.82360000000098</c:v>
                </c:pt>
                <c:pt idx="955">
                  <c:v>35.823700000000983</c:v>
                </c:pt>
                <c:pt idx="956">
                  <c:v>35.823800000000986</c:v>
                </c:pt>
                <c:pt idx="957">
                  <c:v>35.82390000000099</c:v>
                </c:pt>
                <c:pt idx="958">
                  <c:v>35.824000000000993</c:v>
                </c:pt>
                <c:pt idx="959">
                  <c:v>35.824100000000996</c:v>
                </c:pt>
                <c:pt idx="960">
                  <c:v>35.824200000000999</c:v>
                </c:pt>
                <c:pt idx="961">
                  <c:v>35.824300000001003</c:v>
                </c:pt>
                <c:pt idx="962">
                  <c:v>35.824400000001006</c:v>
                </c:pt>
                <c:pt idx="963">
                  <c:v>35.824500000001009</c:v>
                </c:pt>
                <c:pt idx="964">
                  <c:v>35.824600000001013</c:v>
                </c:pt>
                <c:pt idx="965">
                  <c:v>35.824700000001016</c:v>
                </c:pt>
                <c:pt idx="966">
                  <c:v>35.824800000001019</c:v>
                </c:pt>
                <c:pt idx="967">
                  <c:v>35.824900000001023</c:v>
                </c:pt>
                <c:pt idx="968">
                  <c:v>35.825000000001026</c:v>
                </c:pt>
                <c:pt idx="969">
                  <c:v>35.825100000001029</c:v>
                </c:pt>
                <c:pt idx="970">
                  <c:v>35.825200000001033</c:v>
                </c:pt>
                <c:pt idx="971">
                  <c:v>35.825300000001036</c:v>
                </c:pt>
                <c:pt idx="972">
                  <c:v>35.825400000001039</c:v>
                </c:pt>
                <c:pt idx="973">
                  <c:v>35.825500000001043</c:v>
                </c:pt>
                <c:pt idx="974">
                  <c:v>35.825600000001046</c:v>
                </c:pt>
                <c:pt idx="975">
                  <c:v>35.825700000001049</c:v>
                </c:pt>
                <c:pt idx="976">
                  <c:v>35.825800000001053</c:v>
                </c:pt>
                <c:pt idx="977">
                  <c:v>35.825900000001056</c:v>
                </c:pt>
                <c:pt idx="978">
                  <c:v>35.826000000001059</c:v>
                </c:pt>
                <c:pt idx="979">
                  <c:v>35.826100000001063</c:v>
                </c:pt>
                <c:pt idx="980">
                  <c:v>35.826200000001066</c:v>
                </c:pt>
                <c:pt idx="981">
                  <c:v>35.826300000001069</c:v>
                </c:pt>
                <c:pt idx="982">
                  <c:v>35.826400000001072</c:v>
                </c:pt>
                <c:pt idx="983">
                  <c:v>35.826500000001076</c:v>
                </c:pt>
                <c:pt idx="984">
                  <c:v>35.826600000001079</c:v>
                </c:pt>
                <c:pt idx="985">
                  <c:v>35.826700000001082</c:v>
                </c:pt>
                <c:pt idx="986">
                  <c:v>35.826800000001086</c:v>
                </c:pt>
                <c:pt idx="987">
                  <c:v>35.826900000001089</c:v>
                </c:pt>
                <c:pt idx="988">
                  <c:v>35.827000000001092</c:v>
                </c:pt>
                <c:pt idx="989">
                  <c:v>35.827100000001096</c:v>
                </c:pt>
                <c:pt idx="990">
                  <c:v>35.827200000001099</c:v>
                </c:pt>
                <c:pt idx="991">
                  <c:v>35.827300000001102</c:v>
                </c:pt>
                <c:pt idx="992">
                  <c:v>35.827400000001106</c:v>
                </c:pt>
                <c:pt idx="993">
                  <c:v>35.827500000001109</c:v>
                </c:pt>
                <c:pt idx="994">
                  <c:v>35.827600000001112</c:v>
                </c:pt>
                <c:pt idx="995">
                  <c:v>35.827700000001116</c:v>
                </c:pt>
                <c:pt idx="996">
                  <c:v>35.827800000001119</c:v>
                </c:pt>
                <c:pt idx="997">
                  <c:v>35.827900000001122</c:v>
                </c:pt>
                <c:pt idx="998">
                  <c:v>35.828000000001126</c:v>
                </c:pt>
                <c:pt idx="999">
                  <c:v>35.828100000001129</c:v>
                </c:pt>
                <c:pt idx="1000">
                  <c:v>35.828200000001132</c:v>
                </c:pt>
              </c:numCache>
            </c:numRef>
          </c:xVal>
          <c:yVal>
            <c:numRef>
              <c:f>Calculs!$J$4:$J$1004</c:f>
              <c:numCache>
                <c:formatCode>0.00</c:formatCode>
                <c:ptCount val="1001"/>
                <c:pt idx="0">
                  <c:v>0</c:v>
                </c:pt>
                <c:pt idx="1">
                  <c:v>5.9417120583002422E-7</c:v>
                </c:pt>
                <c:pt idx="2">
                  <c:v>8.8758788412430698E-5</c:v>
                </c:pt>
                <c:pt idx="3">
                  <c:v>4.3730525824801653E-4</c:v>
                </c:pt>
                <c:pt idx="4">
                  <c:v>1.2191647999031426E-3</c:v>
                </c:pt>
                <c:pt idx="5">
                  <c:v>2.60743891780179E-3</c:v>
                </c:pt>
                <c:pt idx="6">
                  <c:v>4.7316594234144936E-3</c:v>
                </c:pt>
                <c:pt idx="7">
                  <c:v>7.6339421242493637E-3</c:v>
                </c:pt>
                <c:pt idx="8">
                  <c:v>1.1312649997228055E-2</c:v>
                </c:pt>
                <c:pt idx="9">
                  <c:v>1.5766137650963671E-2</c:v>
                </c:pt>
                <c:pt idx="10">
                  <c:v>2.0992751356097399E-2</c:v>
                </c:pt>
                <c:pt idx="11">
                  <c:v>2.6990829075952932E-2</c:v>
                </c:pt>
                <c:pt idx="12">
                  <c:v>3.3758700497506205E-2</c:v>
                </c:pt>
                <c:pt idx="13">
                  <c:v>4.1294687062667909E-2</c:v>
                </c:pt>
                <c:pt idx="14">
                  <c:v>4.959710199987629E-2</c:v>
                </c:pt>
                <c:pt idx="15">
                  <c:v>5.8664250355997663E-2</c:v>
                </c:pt>
                <c:pt idx="16">
                  <c:v>6.849442902853202E-2</c:v>
                </c:pt>
                <c:pt idx="17">
                  <c:v>7.9085926798121167E-2</c:v>
                </c:pt>
                <c:pt idx="18">
                  <c:v>9.0437024361356727E-2</c:v>
                </c:pt>
                <c:pt idx="19">
                  <c:v>0.10254599436388534</c:v>
                </c:pt>
                <c:pt idx="20">
                  <c:v>0.11541110143380838</c:v>
                </c:pt>
                <c:pt idx="21">
                  <c:v>0.12903060221537346</c:v>
                </c:pt>
                <c:pt idx="22">
                  <c:v>0.14340274540295503</c:v>
                </c:pt>
                <c:pt idx="23">
                  <c:v>0.15852577177532118</c:v>
                </c:pt>
                <c:pt idx="24">
                  <c:v>0.17439791423018408</c:v>
                </c:pt>
                <c:pt idx="25">
                  <c:v>0.19101739781903102</c:v>
                </c:pt>
                <c:pt idx="26">
                  <c:v>0.20838243978223328</c:v>
                </c:pt>
                <c:pt idx="27">
                  <c:v>0.22649124958443018</c:v>
                </c:pt>
                <c:pt idx="28">
                  <c:v>0.24534202895018503</c:v>
                </c:pt>
                <c:pt idx="29">
                  <c:v>0.26493297189991044</c:v>
                </c:pt>
                <c:pt idx="30">
                  <c:v>0.28526226478605987</c:v>
                </c:pt>
                <c:pt idx="31">
                  <c:v>0.30632808632958264</c:v>
                </c:pt>
                <c:pt idx="32">
                  <c:v>0.3281286076566392</c:v>
                </c:pt>
                <c:pt idx="33">
                  <c:v>0.35066199233557399</c:v>
                </c:pt>
                <c:pt idx="34">
                  <c:v>0.37396900368513969</c:v>
                </c:pt>
                <c:pt idx="35">
                  <c:v>0.39809184175867945</c:v>
                </c:pt>
                <c:pt idx="36">
                  <c:v>0.42303151244144921</c:v>
                </c:pt>
                <c:pt idx="37">
                  <c:v>0.44878894761475002</c:v>
                </c:pt>
                <c:pt idx="38">
                  <c:v>0.47536498817031114</c:v>
                </c:pt>
                <c:pt idx="39">
                  <c:v>0.50276038833445169</c:v>
                </c:pt>
                <c:pt idx="40">
                  <c:v>0.53097581964779139</c:v>
                </c:pt>
                <c:pt idx="41">
                  <c:v>0.56001187463693047</c:v>
                </c:pt>
                <c:pt idx="42">
                  <c:v>0.58986907020980117</c:v>
                </c:pt>
                <c:pt idx="43">
                  <c:v>0.62054785080239805</c:v>
                </c:pt>
                <c:pt idx="44">
                  <c:v>0.65204859130118575</c:v>
                </c:pt>
                <c:pt idx="45">
                  <c:v>0.68437159976257156</c:v>
                </c:pt>
                <c:pt idx="46">
                  <c:v>0.71751711994832557</c:v>
                </c:pt>
                <c:pt idx="47">
                  <c:v>0.75148533369367565</c:v>
                </c:pt>
                <c:pt idx="48">
                  <c:v>0.78627636312293558</c:v>
                </c:pt>
                <c:pt idx="49">
                  <c:v>0.82189027272590343</c:v>
                </c:pt>
                <c:pt idx="50">
                  <c:v>0.85832707130685426</c:v>
                </c:pt>
                <c:pt idx="51">
                  <c:v>0.89558695609627015</c:v>
                </c:pt>
                <c:pt idx="52">
                  <c:v>0.93367055882792982</c:v>
                </c:pt>
                <c:pt idx="53">
                  <c:v>0.97257870779249822</c:v>
                </c:pt>
                <c:pt idx="54">
                  <c:v>1.0123121876422416</c:v>
                </c:pt>
                <c:pt idx="55">
                  <c:v>1.0528717406765087</c:v>
                </c:pt>
                <c:pt idx="56">
                  <c:v>1.0942580680586567</c:v>
                </c:pt>
                <c:pt idx="57">
                  <c:v>1.1364718309693629</c:v>
                </c:pt>
                <c:pt idx="58">
                  <c:v>1.1795136517008162</c:v>
                </c:pt>
                <c:pt idx="59">
                  <c:v>1.223384114695901</c:v>
                </c:pt>
                <c:pt idx="60">
                  <c:v>1.2680837675361263</c:v>
                </c:pt>
                <c:pt idx="61">
                  <c:v>1.3136131218817431</c:v>
                </c:pt>
                <c:pt idx="62">
                  <c:v>1.3599726543672048</c:v>
                </c:pt>
                <c:pt idx="63">
                  <c:v>1.4071628074548712</c:v>
                </c:pt>
                <c:pt idx="64">
                  <c:v>1.4551839902496244</c:v>
                </c:pt>
                <c:pt idx="65">
                  <c:v>1.5040365792768537</c:v>
                </c:pt>
                <c:pt idx="66">
                  <c:v>1.553720919226079</c:v>
                </c:pt>
                <c:pt idx="67">
                  <c:v>1.6042373236623062</c:v>
                </c:pt>
                <c:pt idx="68">
                  <c:v>1.6555860757070535</c:v>
                </c:pt>
                <c:pt idx="69">
                  <c:v>1.7077674286908433</c:v>
                </c:pt>
                <c:pt idx="70">
                  <c:v>1.7607816067788238</c:v>
                </c:pt>
                <c:pt idx="71">
                  <c:v>1.8146288055710631</c:v>
                </c:pt>
                <c:pt idx="72">
                  <c:v>1.8693091926789549</c:v>
                </c:pt>
                <c:pt idx="73">
                  <c:v>1.9248229082790678</c:v>
                </c:pt>
                <c:pt idx="74">
                  <c:v>1.9811700656456828</c:v>
                </c:pt>
                <c:pt idx="75">
                  <c:v>2.0383507516631796</c:v>
                </c:pt>
                <c:pt idx="76">
                  <c:v>2.0963650273193521</c:v>
                </c:pt>
                <c:pt idx="77">
                  <c:v>2.1552129281806627</c:v>
                </c:pt>
                <c:pt idx="78">
                  <c:v>2.2148944648503828</c:v>
                </c:pt>
                <c:pt idx="79">
                  <c:v>2.2754096234105012</c:v>
                </c:pt>
                <c:pt idx="80">
                  <c:v>2.3367583658482283</c:v>
                </c:pt>
                <c:pt idx="81">
                  <c:v>2.398940630467874</c:v>
                </c:pt>
                <c:pt idx="82">
                  <c:v>2.4619563322888243</c:v>
                </c:pt>
                <c:pt idx="83">
                  <c:v>2.5258053634303042</c:v>
                </c:pt>
                <c:pt idx="84">
                  <c:v>2.5904875934835645</c:v>
                </c:pt>
                <c:pt idx="85">
                  <c:v>2.6560028698721001</c:v>
                </c:pt>
                <c:pt idx="86">
                  <c:v>2.7223510182004675</c:v>
                </c:pt>
                <c:pt idx="87">
                  <c:v>2.7895318425922357</c:v>
                </c:pt>
                <c:pt idx="88">
                  <c:v>2.8575451260175755</c:v>
                </c:pt>
                <c:pt idx="89">
                  <c:v>2.9263906306109635</c:v>
                </c:pt>
                <c:pt idx="90">
                  <c:v>2.9960680979794492</c:v>
                </c:pt>
                <c:pt idx="91">
                  <c:v>3.0665772495019108</c:v>
                </c:pt>
                <c:pt idx="92">
                  <c:v>3.1379177866196972</c:v>
                </c:pt>
                <c:pt idx="93">
                  <c:v>3.2100893911190376</c:v>
                </c:pt>
                <c:pt idx="94">
                  <c:v>3.283091725405578</c:v>
                </c:pt>
                <c:pt idx="95">
                  <c:v>3.3569244327713803</c:v>
                </c:pt>
                <c:pt idx="96">
                  <c:v>3.4315871376547098</c:v>
                </c:pt>
                <c:pt idx="97">
                  <c:v>3.5070794458929115</c:v>
                </c:pt>
                <c:pt idx="98">
                  <c:v>3.5834009449686692</c:v>
                </c:pt>
                <c:pt idx="99">
                  <c:v>3.6605512042499155</c:v>
                </c:pt>
                <c:pt idx="100">
                  <c:v>3.7385297752236575</c:v>
                </c:pt>
                <c:pt idx="101">
                  <c:v>3.8173360701943806</c:v>
                </c:pt>
                <c:pt idx="102">
                  <c:v>3.8969692404067691</c:v>
                </c:pt>
                <c:pt idx="103">
                  <c:v>3.9774282970660488</c:v>
                </c:pt>
                <c:pt idx="104">
                  <c:v>4.0587122329382384</c:v>
                </c:pt>
                <c:pt idx="105">
                  <c:v>4.1408200225867029</c:v>
                </c:pt>
                <c:pt idx="106">
                  <c:v>4.2237506226033155</c:v>
                </c:pt>
                <c:pt idx="107">
                  <c:v>4.3075029718344284</c:v>
                </c:pt>
                <c:pt idx="108">
                  <c:v>4.392075991601863</c:v>
                </c:pt>
                <c:pt idx="109">
                  <c:v>4.4774685859191017</c:v>
                </c:pt>
                <c:pt idx="110">
                  <c:v>4.5636796417028682</c:v>
                </c:pt>
                <c:pt idx="111">
                  <c:v>4.650708028980266</c:v>
                </c:pt>
                <c:pt idx="112">
                  <c:v>4.7385526010916443</c:v>
                </c:pt>
                <c:pt idx="113">
                  <c:v>4.8272121948893396</c:v>
                </c:pt>
                <c:pt idx="114">
                  <c:v>4.916685630932454</c:v>
                </c:pt>
                <c:pt idx="115">
                  <c:v>5.0069717136778067</c:v>
                </c:pt>
                <c:pt idx="116">
                  <c:v>5.0980692316671945</c:v>
                </c:pt>
                <c:pt idx="117">
                  <c:v>5.1899769577110986</c:v>
                </c:pt>
                <c:pt idx="118">
                  <c:v>5.2826936490689533</c:v>
                </c:pt>
                <c:pt idx="119">
                  <c:v>5.3762180476261037</c:v>
                </c:pt>
                <c:pt idx="120">
                  <c:v>5.4705488800675637</c:v>
                </c:pt>
                <c:pt idx="121">
                  <c:v>5.565684858048682</c:v>
                </c:pt>
                <c:pt idx="122">
                  <c:v>5.6616246783628199</c:v>
                </c:pt>
                <c:pt idx="123">
                  <c:v>5.7583670231061479</c:v>
                </c:pt>
                <c:pt idx="124">
                  <c:v>5.8559105598396455</c:v>
                </c:pt>
                <c:pt idx="125">
                  <c:v>5.9542539417484059</c:v>
                </c:pt>
                <c:pt idx="126">
                  <c:v>6.053395807798327</c:v>
                </c:pt>
                <c:pt idx="127">
                  <c:v>6.1533347828902771</c:v>
                </c:pt>
                <c:pt idx="128">
                  <c:v>6.2540694780118136</c:v>
                </c:pt>
                <c:pt idx="129">
                  <c:v>6.3555984903865301</c:v>
                </c:pt>
                <c:pt idx="130">
                  <c:v>6.457920403621114</c:v>
                </c:pt>
                <c:pt idx="131">
                  <c:v>6.5610337878501728</c:v>
                </c:pt>
                <c:pt idx="132">
                  <c:v>6.6649371998789118</c:v>
                </c:pt>
                <c:pt idx="133">
                  <c:v>6.7696291833237208</c:v>
                </c:pt>
                <c:pt idx="134">
                  <c:v>6.8751082687507292</c:v>
                </c:pt>
                <c:pt idx="135">
                  <c:v>6.9813729738124</c:v>
                </c:pt>
                <c:pt idx="136">
                  <c:v>7.0884218033822144</c:v>
                </c:pt>
                <c:pt idx="137">
                  <c:v>7.1962532496875022</c:v>
                </c:pt>
                <c:pt idx="138">
                  <c:v>7.3048657924404754</c:v>
                </c:pt>
                <c:pt idx="139">
                  <c:v>7.4142578989675147</c:v>
                </c:pt>
                <c:pt idx="140">
                  <c:v>7.5244280243367578</c:v>
                </c:pt>
                <c:pt idx="141">
                  <c:v>7.6353746114840373</c:v>
                </c:pt>
                <c:pt idx="142">
                  <c:v>7.7470960913372169</c:v>
                </c:pt>
                <c:pt idx="143">
                  <c:v>7.8595908829389671</c:v>
                </c:pt>
                <c:pt idx="144">
                  <c:v>7.9728573935680229</c:v>
                </c:pt>
                <c:pt idx="145">
                  <c:v>8.0868940188589651</c:v>
                </c:pt>
                <c:pt idx="146">
                  <c:v>8.2016991429205692</c:v>
                </c:pt>
                <c:pt idx="147">
                  <c:v>8.3172711384527478</c:v>
                </c:pt>
                <c:pt idx="148">
                  <c:v>8.4336083668621367</c:v>
                </c:pt>
                <c:pt idx="149">
                  <c:v>8.5507091783763549</c:v>
                </c:pt>
                <c:pt idx="150">
                  <c:v>8.6685719121569615</c:v>
                </c:pt>
                <c:pt idx="151">
                  <c:v>8.7871949399257865</c:v>
                </c:pt>
                <c:pt idx="152">
                  <c:v>8.9065767097253712</c:v>
                </c:pt>
                <c:pt idx="153">
                  <c:v>9.0267157026731457</c:v>
                </c:pt>
                <c:pt idx="154">
                  <c:v>9.1476103895757195</c:v>
                </c:pt>
                <c:pt idx="155">
                  <c:v>9.2692592310291744</c:v>
                </c:pt>
                <c:pt idx="156">
                  <c:v>9.3916606775183222</c:v>
                </c:pt>
                <c:pt idx="157">
                  <c:v>9.5148131695149427</c:v>
                </c:pt>
                <c:pt idx="158">
                  <c:v>9.6387151375750477</c:v>
                </c:pt>
                <c:pt idx="159">
                  <c:v>9.7633650024351724</c:v>
                </c:pt>
                <c:pt idx="160">
                  <c:v>9.8887611751077245</c:v>
                </c:pt>
                <c:pt idx="161">
                  <c:v>10.014902056975419</c:v>
                </c:pt>
                <c:pt idx="162">
                  <c:v>10.141786039884805</c:v>
                </c:pt>
                <c:pt idx="163">
                  <c:v>10.269411506238914</c:v>
                </c:pt>
                <c:pt idx="164">
                  <c:v>10.397776829089052</c:v>
                </c:pt>
                <c:pt idx="165">
                  <c:v>10.526880372225744</c:v>
                </c:pt>
                <c:pt idx="166">
                  <c:v>10.656720490268855</c:v>
                </c:pt>
                <c:pt idx="167">
                  <c:v>10.787295528756905</c:v>
                </c:pt>
                <c:pt idx="168">
                  <c:v>10.918603824235595</c:v>
                </c:pt>
                <c:pt idx="169">
                  <c:v>11.05064370434555</c:v>
                </c:pt>
                <c:pt idx="170">
                  <c:v>11.183413487909315</c:v>
                </c:pt>
                <c:pt idx="171">
                  <c:v>11.316911485017602</c:v>
                </c:pt>
                <c:pt idx="172">
                  <c:v>11.451135997114809</c:v>
                </c:pt>
                <c:pt idx="173">
                  <c:v>11.586085317083819</c:v>
                </c:pt>
                <c:pt idx="174">
                  <c:v>11.721757729330106</c:v>
                </c:pt>
                <c:pt idx="175">
                  <c:v>11.85815150986515</c:v>
                </c:pt>
                <c:pt idx="176">
                  <c:v>11.995264926389178</c:v>
                </c:pt>
                <c:pt idx="177">
                  <c:v>12.133096238373234</c:v>
                </c:pt>
                <c:pt idx="178">
                  <c:v>12.271643697140613</c:v>
                </c:pt>
                <c:pt idx="179">
                  <c:v>12.410905545947642</c:v>
                </c:pt>
                <c:pt idx="180">
                  <c:v>12.550880020063845</c:v>
                </c:pt>
                <c:pt idx="181">
                  <c:v>12.691565346851476</c:v>
                </c:pt>
                <c:pt idx="182">
                  <c:v>12.832959745844462</c:v>
                </c:pt>
                <c:pt idx="183">
                  <c:v>12.975061428826738</c:v>
                </c:pt>
                <c:pt idx="184">
                  <c:v>13.117868599909995</c:v>
                </c:pt>
                <c:pt idx="185">
                  <c:v>13.261379455610861</c:v>
                </c:pt>
                <c:pt idx="186">
                  <c:v>13.405592184927503</c:v>
                </c:pt>
                <c:pt idx="187">
                  <c:v>13.550504969415675</c:v>
                </c:pt>
                <c:pt idx="188">
                  <c:v>13.696115983264214</c:v>
                </c:pt>
                <c:pt idx="189">
                  <c:v>13.842423393369991</c:v>
                </c:pt>
                <c:pt idx="190">
                  <c:v>13.989425359412339</c:v>
                </c:pt>
                <c:pt idx="191">
                  <c:v>14.137120033926935</c:v>
                </c:pt>
                <c:pt idx="192">
                  <c:v>14.285505562379186</c:v>
                </c:pt>
                <c:pt idx="193">
                  <c:v>14.43458008323708</c:v>
                </c:pt>
                <c:pt idx="194">
                  <c:v>14.584341728043555</c:v>
                </c:pt>
                <c:pt idx="195">
                  <c:v>14.734788621488352</c:v>
                </c:pt>
                <c:pt idx="196">
                  <c:v>14.885918881479393</c:v>
                </c:pt>
                <c:pt idx="197">
                  <c:v>15.037730619213656</c:v>
                </c:pt>
                <c:pt idx="198">
                  <c:v>15.190221939247589</c:v>
                </c:pt>
                <c:pt idx="199">
                  <c:v>15.343390939567044</c:v>
                </c:pt>
                <c:pt idx="200">
                  <c:v>15.497235711656741</c:v>
                </c:pt>
                <c:pt idx="201">
                  <c:v>15.651754340569278</c:v>
                </c:pt>
                <c:pt idx="202">
                  <c:v>15.806944904993687</c:v>
                </c:pt>
                <c:pt idx="203">
                  <c:v>15.96280547732353</c:v>
                </c:pt>
                <c:pt idx="204">
                  <c:v>16.119334123724556</c:v>
                </c:pt>
                <c:pt idx="205">
                  <c:v>16.276528904201925</c:v>
                </c:pt>
                <c:pt idx="206">
                  <c:v>16.434387872666981</c:v>
                </c:pt>
                <c:pt idx="207">
                  <c:v>16.592909077003611</c:v>
                </c:pt>
                <c:pt idx="208">
                  <c:v>16.752090559134171</c:v>
                </c:pt>
                <c:pt idx="209">
                  <c:v>16.911930355084987</c:v>
                </c:pt>
                <c:pt idx="210">
                  <c:v>17.072426495051442</c:v>
                </c:pt>
                <c:pt idx="211">
                  <c:v>17.233577003462653</c:v>
                </c:pt>
                <c:pt idx="212">
                  <c:v>17.395379899045739</c:v>
                </c:pt>
                <c:pt idx="213">
                  <c:v>17.557833194889678</c:v>
                </c:pt>
                <c:pt idx="214">
                  <c:v>17.720934898508762</c:v>
                </c:pt>
                <c:pt idx="215">
                  <c:v>17.884683011905665</c:v>
                </c:pt>
                <c:pt idx="216">
                  <c:v>18.049075531634106</c:v>
                </c:pt>
                <c:pt idx="217">
                  <c:v>18.214110448861124</c:v>
                </c:pt>
                <c:pt idx="218">
                  <c:v>18.379785749428972</c:v>
                </c:pt>
                <c:pt idx="219">
                  <c:v>18.546099413916611</c:v>
                </c:pt>
                <c:pt idx="220">
                  <c:v>18.713049417700848</c:v>
                </c:pt>
                <c:pt idx="221">
                  <c:v>18.880633731017067</c:v>
                </c:pt>
                <c:pt idx="222">
                  <c:v>19.048850319019607</c:v>
                </c:pt>
                <c:pt idx="223">
                  <c:v>19.217697141841757</c:v>
                </c:pt>
                <c:pt idx="224">
                  <c:v>19.387172154655381</c:v>
                </c:pt>
                <c:pt idx="225">
                  <c:v>19.557273307730185</c:v>
                </c:pt>
                <c:pt idx="226">
                  <c:v>19.727998546492611</c:v>
                </c:pt>
                <c:pt idx="227">
                  <c:v>19.899345811584372</c:v>
                </c:pt>
                <c:pt idx="228">
                  <c:v>20.071313038920628</c:v>
                </c:pt>
                <c:pt idx="229">
                  <c:v>20.243898159747804</c:v>
                </c:pt>
                <c:pt idx="230">
                  <c:v>20.417099100701058</c:v>
                </c:pt>
                <c:pt idx="231">
                  <c:v>20.590913783861385</c:v>
                </c:pt>
                <c:pt idx="232">
                  <c:v>20.76534012681239</c:v>
                </c:pt>
                <c:pt idx="233">
                  <c:v>20.940376042696695</c:v>
                </c:pt>
                <c:pt idx="234">
                  <c:v>21.116019440272002</c:v>
                </c:pt>
                <c:pt idx="235">
                  <c:v>21.292268223966829</c:v>
                </c:pt>
                <c:pt idx="236">
                  <c:v>21.469120293935884</c:v>
                </c:pt>
                <c:pt idx="237">
                  <c:v>21.646573546115107</c:v>
                </c:pt>
                <c:pt idx="238">
                  <c:v>21.824625872276378</c:v>
                </c:pt>
                <c:pt idx="239">
                  <c:v>22.003275160081877</c:v>
                </c:pt>
                <c:pt idx="240">
                  <c:v>22.182519293138117</c:v>
                </c:pt>
                <c:pt idx="241">
                  <c:v>22.362356151049653</c:v>
                </c:pt>
                <c:pt idx="242">
                  <c:v>22.542783609472433</c:v>
                </c:pt>
                <c:pt idx="243">
                  <c:v>22.723799540166851</c:v>
                </c:pt>
                <c:pt idx="244">
                  <c:v>22.905401811050449</c:v>
                </c:pt>
                <c:pt idx="245">
                  <c:v>23.087588286250298</c:v>
                </c:pt>
                <c:pt idx="246">
                  <c:v>23.270356826155055</c:v>
                </c:pt>
                <c:pt idx="247">
                  <c:v>23.453705287466704</c:v>
                </c:pt>
                <c:pt idx="248">
                  <c:v>23.637631523251962</c:v>
                </c:pt>
                <c:pt idx="249">
                  <c:v>23.822133382993364</c:v>
                </c:pt>
                <c:pt idx="250">
                  <c:v>24.00720871264004</c:v>
                </c:pt>
                <c:pt idx="251">
                  <c:v>24.192855153482256</c:v>
                </c:pt>
                <c:pt idx="252">
                  <c:v>24.37906994072857</c:v>
                </c:pt>
                <c:pt idx="253">
                  <c:v>24.565850104507433</c:v>
                </c:pt>
                <c:pt idx="254">
                  <c:v>24.75319267117478</c:v>
                </c:pt>
                <c:pt idx="255">
                  <c:v>24.941094663381531</c:v>
                </c:pt>
                <c:pt idx="256">
                  <c:v>25.129553100140569</c:v>
                </c:pt>
                <c:pt idx="257">
                  <c:v>25.318564996893201</c:v>
                </c:pt>
                <c:pt idx="258">
                  <c:v>25.508127365575138</c:v>
                </c:pt>
                <c:pt idx="259">
                  <c:v>25.698237214681942</c:v>
                </c:pt>
                <c:pt idx="260">
                  <c:v>25.888891549333977</c:v>
                </c:pt>
                <c:pt idx="261">
                  <c:v>26.080087371340873</c:v>
                </c:pt>
                <c:pt idx="262">
                  <c:v>26.271821679265468</c:v>
                </c:pt>
                <c:pt idx="263">
                  <c:v>26.464091468487261</c:v>
                </c:pt>
                <c:pt idx="264">
                  <c:v>26.656893731265374</c:v>
                </c:pt>
                <c:pt idx="265">
                  <c:v>26.850225456800999</c:v>
                </c:pt>
                <c:pt idx="266">
                  <c:v>27.044083631299383</c:v>
                </c:pt>
                <c:pt idx="267">
                  <c:v>27.238465238031285</c:v>
                </c:pt>
                <c:pt idx="268">
                  <c:v>27.433367257393964</c:v>
                </c:pt>
                <c:pt idx="269">
                  <c:v>27.628786666971685</c:v>
                </c:pt>
                <c:pt idx="270">
                  <c:v>27.824720441595705</c:v>
                </c:pt>
                <c:pt idx="271">
                  <c:v>28.021165553403808</c:v>
                </c:pt>
                <c:pt idx="272">
                  <c:v>28.218118971899337</c:v>
                </c:pt>
                <c:pt idx="273">
                  <c:v>28.415577664009742</c:v>
                </c:pt>
                <c:pt idx="274">
                  <c:v>28.613538594144661</c:v>
                </c:pt>
                <c:pt idx="275">
                  <c:v>28.811998724253499</c:v>
                </c:pt>
                <c:pt idx="276">
                  <c:v>29.010955013882548</c:v>
                </c:pt>
                <c:pt idx="277">
                  <c:v>29.210404420231615</c:v>
                </c:pt>
                <c:pt idx="278">
                  <c:v>29.410343898210179</c:v>
                </c:pt>
                <c:pt idx="279">
                  <c:v>29.610770400493077</c:v>
                </c:pt>
                <c:pt idx="280">
                  <c:v>29.811680877575714</c:v>
                </c:pt>
                <c:pt idx="281">
                  <c:v>30.013072277828794</c:v>
                </c:pt>
                <c:pt idx="282">
                  <c:v>30.214941547552595</c:v>
                </c:pt>
                <c:pt idx="283">
                  <c:v>30.417285631030758</c:v>
                </c:pt>
                <c:pt idx="284">
                  <c:v>30.62010147058362</c:v>
                </c:pt>
                <c:pt idx="285">
                  <c:v>30.823386006621071</c:v>
                </c:pt>
                <c:pt idx="286">
                  <c:v>31.027136177694956</c:v>
                </c:pt>
                <c:pt idx="287">
                  <c:v>31.231348920550996</c:v>
                </c:pt>
                <c:pt idx="288">
                  <c:v>31.436021170180272</c:v>
                </c:pt>
                <c:pt idx="289">
                  <c:v>31.641149859870215</c:v>
                </c:pt>
                <c:pt idx="290">
                  <c:v>31.846731921255163</c:v>
                </c:pt>
                <c:pt idx="291">
                  <c:v>32.052764284366447</c:v>
                </c:pt>
                <c:pt idx="292">
                  <c:v>32.25924387768201</c:v>
                </c:pt>
                <c:pt idx="293">
                  <c:v>32.46616762817559</c:v>
                </c:pt>
                <c:pt idx="294">
                  <c:v>32.673532461365433</c:v>
                </c:pt>
                <c:pt idx="295">
                  <c:v>32.881335301362547</c:v>
                </c:pt>
                <c:pt idx="296">
                  <c:v>33.089573070918526</c:v>
                </c:pt>
                <c:pt idx="297">
                  <c:v>33.298242691472893</c:v>
                </c:pt>
                <c:pt idx="298">
                  <c:v>33.507338817283078</c:v>
                </c:pt>
                <c:pt idx="299">
                  <c:v>33.716851567482337</c:v>
                </c:pt>
                <c:pt idx="300">
                  <c:v>33.926768791578532</c:v>
                </c:pt>
                <c:pt idx="301">
                  <c:v>34.137078337154684</c:v>
                </c:pt>
                <c:pt idx="302">
                  <c:v>34.347768050173023</c:v>
                </c:pt>
                <c:pt idx="303">
                  <c:v>34.558825775273505</c:v>
                </c:pt>
                <c:pt idx="304">
                  <c:v>34.77023935606686</c:v>
                </c:pt>
                <c:pt idx="305">
                  <c:v>34.981996635422171</c:v>
                </c:pt>
                <c:pt idx="306">
                  <c:v>35.194085455748954</c:v>
                </c:pt>
                <c:pt idx="307">
                  <c:v>35.406493659273849</c:v>
                </c:pt>
                <c:pt idx="308">
                  <c:v>35.619209088311813</c:v>
                </c:pt>
                <c:pt idx="309">
                  <c:v>35.832219585531924</c:v>
                </c:pt>
                <c:pt idx="310">
                  <c:v>36.045512994217752</c:v>
                </c:pt>
                <c:pt idx="311">
                  <c:v>36.259077158522338</c:v>
                </c:pt>
                <c:pt idx="312">
                  <c:v>36.472899923717776</c:v>
                </c:pt>
                <c:pt idx="313">
                  <c:v>36.686969136439437</c:v>
                </c:pt>
                <c:pt idx="314">
                  <c:v>36.901272644924788</c:v>
                </c:pt>
                <c:pt idx="315">
                  <c:v>37.11579829924689</c:v>
                </c:pt>
                <c:pt idx="316">
                  <c:v>37.330533951542549</c:v>
                </c:pt>
                <c:pt idx="317">
                  <c:v>37.545467456235123</c:v>
                </c:pt>
                <c:pt idx="318">
                  <c:v>37.760586670252017</c:v>
                </c:pt>
                <c:pt idx="319">
                  <c:v>37.975879453236885</c:v>
                </c:pt>
                <c:pt idx="320">
                  <c:v>38.19133366775651</c:v>
                </c:pt>
                <c:pt idx="321">
                  <c:v>38.406938091500869</c:v>
                </c:pt>
                <c:pt idx="322">
                  <c:v>38.622683329811771</c:v>
                </c:pt>
                <c:pt idx="323">
                  <c:v>38.838560903305833</c:v>
                </c:pt>
                <c:pt idx="324">
                  <c:v>39.054562335111818</c:v>
                </c:pt>
                <c:pt idx="325">
                  <c:v>39.27067915095941</c:v>
                </c:pt>
                <c:pt idx="326">
                  <c:v>39.486902879265415</c:v>
                </c:pt>
                <c:pt idx="327">
                  <c:v>39.703225051217444</c:v>
                </c:pt>
                <c:pt idx="328">
                  <c:v>39.919637200855014</c:v>
                </c:pt>
                <c:pt idx="329">
                  <c:v>40.136130865148111</c:v>
                </c:pt>
                <c:pt idx="330">
                  <c:v>40.352697584073212</c:v>
                </c:pt>
                <c:pt idx="331">
                  <c:v>40.569328900686791</c:v>
                </c:pt>
                <c:pt idx="332">
                  <c:v>40.786016361196282</c:v>
                </c:pt>
                <c:pt idx="333">
                  <c:v>41.00275151502855</c:v>
                </c:pt>
                <c:pt idx="334">
                  <c:v>41.219525914895826</c:v>
                </c:pt>
                <c:pt idx="335">
                  <c:v>41.436331116859165</c:v>
                </c:pt>
                <c:pt idx="336">
                  <c:v>41.653158680389367</c:v>
                </c:pt>
                <c:pt idx="337">
                  <c:v>41.87000016842547</c:v>
                </c:pt>
                <c:pt idx="338">
                  <c:v>42.086847147430696</c:v>
                </c:pt>
                <c:pt idx="339">
                  <c:v>42.303691187445956</c:v>
                </c:pt>
                <c:pt idx="340">
                  <c:v>42.520523862140884</c:v>
                </c:pt>
                <c:pt idx="341">
                  <c:v>42.737336748862383</c:v>
                </c:pt>
                <c:pt idx="342">
                  <c:v>42.954121428680743</c:v>
                </c:pt>
                <c:pt idx="343">
                  <c:v>43.170869486433268</c:v>
                </c:pt>
                <c:pt idx="344">
                  <c:v>43.387572510765501</c:v>
                </c:pt>
                <c:pt idx="345">
                  <c:v>43.604222094169955</c:v>
                </c:pt>
                <c:pt idx="346">
                  <c:v>43.820809833022466</c:v>
                </c:pt>
                <c:pt idx="347">
                  <c:v>44.037327327616062</c:v>
                </c:pt>
                <c:pt idx="348">
                  <c:v>44.25376628194644</c:v>
                </c:pt>
                <c:pt idx="349">
                  <c:v>44.470118603497028</c:v>
                </c:pt>
                <c:pt idx="350">
                  <c:v>44.686376303400287</c:v>
                </c:pt>
                <c:pt idx="351">
                  <c:v>44.902531396592188</c:v>
                </c:pt>
                <c:pt idx="352">
                  <c:v>45.118575901829189</c:v>
                </c:pt>
                <c:pt idx="353">
                  <c:v>45.334501841703066</c:v>
                </c:pt>
                <c:pt idx="354">
                  <c:v>45.550301242653568</c:v>
                </c:pt>
                <c:pt idx="355">
                  <c:v>45.765966134978903</c:v>
                </c:pt>
                <c:pt idx="356">
                  <c:v>45.98148855284407</c:v>
                </c:pt>
                <c:pt idx="357">
                  <c:v>46.196860534287019</c:v>
                </c:pt>
                <c:pt idx="358">
                  <c:v>46.412074121222652</c:v>
                </c:pt>
                <c:pt idx="359">
                  <c:v>46.6271213594447</c:v>
                </c:pt>
                <c:pt idx="360">
                  <c:v>46.841996386593848</c:v>
                </c:pt>
                <c:pt idx="361">
                  <c:v>47.056697519954319</c:v>
                </c:pt>
                <c:pt idx="362">
                  <c:v>47.271225165897988</c:v>
                </c:pt>
                <c:pt idx="363">
                  <c:v>47.48557972950254</c:v>
                </c:pt>
                <c:pt idx="364">
                  <c:v>47.699761614557175</c:v>
                </c:pt>
                <c:pt idx="365">
                  <c:v>47.913771223568261</c:v>
                </c:pt>
                <c:pt idx="366">
                  <c:v>48.127608957764949</c:v>
                </c:pt>
                <c:pt idx="367">
                  <c:v>48.34127521710478</c:v>
                </c:pt>
                <c:pt idx="368">
                  <c:v>48.554770400279246</c:v>
                </c:pt>
                <c:pt idx="369">
                  <c:v>48.76809490471932</c:v>
                </c:pt>
                <c:pt idx="370">
                  <c:v>48.981249126600972</c:v>
                </c:pt>
                <c:pt idx="371">
                  <c:v>49.194233460850633</c:v>
                </c:pt>
                <c:pt idx="372">
                  <c:v>49.407048301150631</c:v>
                </c:pt>
                <c:pt idx="373">
                  <c:v>49.619694039944626</c:v>
                </c:pt>
                <c:pt idx="374">
                  <c:v>49.832171068442982</c:v>
                </c:pt>
                <c:pt idx="375">
                  <c:v>50.044479776628116</c:v>
                </c:pt>
                <c:pt idx="376">
                  <c:v>50.256620553259836</c:v>
                </c:pt>
                <c:pt idx="377">
                  <c:v>50.46859378588065</c:v>
                </c:pt>
                <c:pt idx="378">
                  <c:v>50.680399860821005</c:v>
                </c:pt>
                <c:pt idx="379">
                  <c:v>50.892039163204551</c:v>
                </c:pt>
                <c:pt idx="380">
                  <c:v>51.103512076953336</c:v>
                </c:pt>
                <c:pt idx="381">
                  <c:v>51.314818984793021</c:v>
                </c:pt>
                <c:pt idx="382">
                  <c:v>51.525960268258004</c:v>
                </c:pt>
                <c:pt idx="383">
                  <c:v>51.73693630769656</c:v>
                </c:pt>
                <c:pt idx="384">
                  <c:v>51.94774748227595</c:v>
                </c:pt>
                <c:pt idx="385">
                  <c:v>52.158394169987481</c:v>
                </c:pt>
                <c:pt idx="386">
                  <c:v>52.368876747651555</c:v>
                </c:pt>
                <c:pt idx="387">
                  <c:v>52.579195590922708</c:v>
                </c:pt>
                <c:pt idx="388">
                  <c:v>52.789351074294579</c:v>
                </c:pt>
                <c:pt idx="389">
                  <c:v>52.99934357110488</c:v>
                </c:pt>
                <c:pt idx="390">
                  <c:v>53.209173453540345</c:v>
                </c:pt>
                <c:pt idx="391">
                  <c:v>53.418841092641635</c:v>
                </c:pt>
                <c:pt idx="392">
                  <c:v>53.628346858308234</c:v>
                </c:pt>
                <c:pt idx="393">
                  <c:v>53.837691119303301</c:v>
                </c:pt>
                <c:pt idx="394">
                  <c:v>54.046874243258507</c:v>
                </c:pt>
                <c:pt idx="395">
                  <c:v>54.255896596678845</c:v>
                </c:pt>
                <c:pt idx="396">
                  <c:v>54.464758544947415</c:v>
                </c:pt>
                <c:pt idx="397">
                  <c:v>54.673460452330175</c:v>
                </c:pt>
                <c:pt idx="398">
                  <c:v>54.882002681980694</c:v>
                </c:pt>
                <c:pt idx="399">
                  <c:v>55.090385595944845</c:v>
                </c:pt>
                <c:pt idx="400">
                  <c:v>55.298609555165484</c:v>
                </c:pt>
                <c:pt idx="401">
                  <c:v>57.372134512097986</c:v>
                </c:pt>
                <c:pt idx="402">
                  <c:v>59.429995981978763</c:v>
                </c:pt>
                <c:pt idx="403">
                  <c:v>61.472544712615758</c:v>
                </c:pt>
                <c:pt idx="404">
                  <c:v>63.500121014959277</c:v>
                </c:pt>
                <c:pt idx="405">
                  <c:v>65.513055191147672</c:v>
                </c:pt>
                <c:pt idx="406">
                  <c:v>67.511667940844248</c:v>
                </c:pt>
                <c:pt idx="407">
                  <c:v>69.496270747183033</c:v>
                </c:pt>
                <c:pt idx="408">
                  <c:v>71.46716624354832</c:v>
                </c:pt>
                <c:pt idx="409">
                  <c:v>73.424648562327661</c:v>
                </c:pt>
                <c:pt idx="410">
                  <c:v>75.369003666699271</c:v>
                </c:pt>
                <c:pt idx="411">
                  <c:v>77.300509666442451</c:v>
                </c:pt>
                <c:pt idx="412">
                  <c:v>79.219437118692838</c:v>
                </c:pt>
                <c:pt idx="413">
                  <c:v>81.126049314502509</c:v>
                </c:pt>
                <c:pt idx="414">
                  <c:v>83.020602552008114</c:v>
                </c:pt>
                <c:pt idx="415">
                  <c:v>84.903346396957318</c:v>
                </c:pt>
                <c:pt idx="416">
                  <c:v>86.774523931295221</c:v>
                </c:pt>
                <c:pt idx="417">
                  <c:v>88.634371990467073</c:v>
                </c:pt>
                <c:pt idx="418">
                  <c:v>90.48312139005192</c:v>
                </c:pt>
                <c:pt idx="419">
                  <c:v>92.320997142302701</c:v>
                </c:pt>
                <c:pt idx="420">
                  <c:v>94.148218663132525</c:v>
                </c:pt>
                <c:pt idx="421">
                  <c:v>95.96499997005327</c:v>
                </c:pt>
                <c:pt idx="422">
                  <c:v>97.77154987154131</c:v>
                </c:pt>
                <c:pt idx="423">
                  <c:v>99.568072148276599</c:v>
                </c:pt>
                <c:pt idx="424">
                  <c:v>101.35476572667406</c:v>
                </c:pt>
                <c:pt idx="425">
                  <c:v>103.13182484510122</c:v>
                </c:pt>
                <c:pt idx="426">
                  <c:v>104.8994392131527</c:v>
                </c:pt>
                <c:pt idx="427">
                  <c:v>106.65779416433023</c:v>
                </c:pt>
                <c:pt idx="428">
                  <c:v>108.40707080245654</c:v>
                </c:pt>
                <c:pt idx="429">
                  <c:v>110.14744614213254</c:v>
                </c:pt>
                <c:pt idx="430">
                  <c:v>111.87909324352918</c:v>
                </c:pt>
                <c:pt idx="431">
                  <c:v>113.60218134178915</c:v>
                </c:pt>
                <c:pt idx="432">
                  <c:v>115.31687597129751</c:v>
                </c:pt>
                <c:pt idx="433">
                  <c:v>117.02333908506645</c:v>
                </c:pt>
                <c:pt idx="434">
                  <c:v>118.72172916946508</c:v>
                </c:pt>
                <c:pt idx="435">
                  <c:v>120.4122013545128</c:v>
                </c:pt>
                <c:pt idx="436">
                  <c:v>122.09490751994279</c:v>
                </c:pt>
                <c:pt idx="437">
                  <c:v>123.7699963972306</c:v>
                </c:pt>
                <c:pt idx="438">
                  <c:v>125.43761366777274</c:v>
                </c:pt>
                <c:pt idx="439">
                  <c:v>127.09790205738985</c:v>
                </c:pt>
                <c:pt idx="440">
                  <c:v>128.75100142731992</c:v>
                </c:pt>
                <c:pt idx="441">
                  <c:v>130.39704886185828</c:v>
                </c:pt>
                <c:pt idx="442">
                  <c:v>132.03617875279255</c:v>
                </c:pt>
                <c:pt idx="443">
                  <c:v>133.66852288077354</c:v>
                </c:pt>
                <c:pt idx="444">
                  <c:v>135.29421049375503</c:v>
                </c:pt>
                <c:pt idx="445">
                  <c:v>136.91336838262922</c:v>
                </c:pt>
                <c:pt idx="446">
                  <c:v>138.52612095417734</c:v>
                </c:pt>
                <c:pt idx="447">
                  <c:v>140.13259030144971</c:v>
                </c:pt>
                <c:pt idx="448">
                  <c:v>141.73289627168256</c:v>
                </c:pt>
                <c:pt idx="449">
                  <c:v>143.32715653185474</c:v>
                </c:pt>
                <c:pt idx="450">
                  <c:v>144.91548663198097</c:v>
                </c:pt>
                <c:pt idx="451">
                  <c:v>146.49800006623445</c:v>
                </c:pt>
                <c:pt idx="452">
                  <c:v>148.07480833198625</c:v>
                </c:pt>
                <c:pt idx="453">
                  <c:v>149.64602098684469</c:v>
                </c:pt>
                <c:pt idx="454">
                  <c:v>151.21174570377397</c:v>
                </c:pt>
                <c:pt idx="455">
                  <c:v>152.77208832436693</c:v>
                </c:pt>
                <c:pt idx="456">
                  <c:v>154.32715291034327</c:v>
                </c:pt>
                <c:pt idx="457">
                  <c:v>155.87704179334077</c:v>
                </c:pt>
                <c:pt idx="458">
                  <c:v>157.42185562306364</c:v>
                </c:pt>
                <c:pt idx="459">
                  <c:v>158.96169341384908</c:v>
                </c:pt>
                <c:pt idx="460">
                  <c:v>160.49665258970947</c:v>
                </c:pt>
                <c:pt idx="461">
                  <c:v>162.0268290279048</c:v>
                </c:pt>
                <c:pt idx="462">
                  <c:v>163.55231710109734</c:v>
                </c:pt>
                <c:pt idx="463">
                  <c:v>165.07320971813709</c:v>
                </c:pt>
                <c:pt idx="464">
                  <c:v>166.58959836352443</c:v>
                </c:pt>
                <c:pt idx="465">
                  <c:v>168.10157313559324</c:v>
                </c:pt>
                <c:pt idx="466">
                  <c:v>169.60922278345569</c:v>
                </c:pt>
                <c:pt idx="467">
                  <c:v>171.11263474274696</c:v>
                </c:pt>
                <c:pt idx="468">
                  <c:v>172.6118951702058</c:v>
                </c:pt>
                <c:pt idx="469">
                  <c:v>174.10708897712465</c:v>
                </c:pt>
                <c:pt idx="470">
                  <c:v>175.59829986170033</c:v>
                </c:pt>
                <c:pt idx="471">
                  <c:v>177.08561034031413</c:v>
                </c:pt>
                <c:pt idx="472">
                  <c:v>178.5691017777676</c:v>
                </c:pt>
                <c:pt idx="473">
                  <c:v>180.04885441649805</c:v>
                </c:pt>
                <c:pt idx="474">
                  <c:v>181.52494740479531</c:v>
                </c:pt>
                <c:pt idx="475">
                  <c:v>182.99745882403894</c:v>
                </c:pt>
                <c:pt idx="476">
                  <c:v>184.46646571497209</c:v>
                </c:pt>
                <c:pt idx="477">
                  <c:v>185.93204410302633</c:v>
                </c:pt>
                <c:pt idx="478">
                  <c:v>187.39426902270839</c:v>
                </c:pt>
                <c:pt idx="479">
                  <c:v>188.85321454105724</c:v>
                </c:pt>
                <c:pt idx="480">
                  <c:v>190.30895378017684</c:v>
                </c:pt>
                <c:pt idx="481">
                  <c:v>191.76155893884646</c:v>
                </c:pt>
                <c:pt idx="482">
                  <c:v>193.21110131320768</c:v>
                </c:pt>
                <c:pt idx="483">
                  <c:v>194.6576513165227</c:v>
                </c:pt>
                <c:pt idx="484">
                  <c:v>196.10127849799514</c:v>
                </c:pt>
                <c:pt idx="485">
                  <c:v>197.54205156063983</c:v>
                </c:pt>
                <c:pt idx="486">
                  <c:v>198.98003837818365</c:v>
                </c:pt>
                <c:pt idx="487">
                  <c:v>200.41530601097381</c:v>
                </c:pt>
                <c:pt idx="488">
                  <c:v>201.84792072086438</c:v>
                </c:pt>
                <c:pt idx="489">
                  <c:v>203.27794798504533</c:v>
                </c:pt>
                <c:pt idx="490">
                  <c:v>204.705452508771</c:v>
                </c:pt>
                <c:pt idx="491">
                  <c:v>206.13049823693689</c:v>
                </c:pt>
                <c:pt idx="492">
                  <c:v>207.5531483644443</c:v>
                </c:pt>
                <c:pt idx="493">
                  <c:v>208.97346534528211</c:v>
                </c:pt>
                <c:pt idx="494">
                  <c:v>210.39151090024325</c:v>
                </c:pt>
                <c:pt idx="495">
                  <c:v>211.80734602317986</c:v>
                </c:pt>
                <c:pt idx="496">
                  <c:v>213.22103098568618</c:v>
                </c:pt>
                <c:pt idx="497">
                  <c:v>214.63262534008066</c:v>
                </c:pt>
                <c:pt idx="498">
                  <c:v>216.04218792053885</c:v>
                </c:pt>
                <c:pt idx="499">
                  <c:v>217.44977684220609</c:v>
                </c:pt>
                <c:pt idx="500">
                  <c:v>218.85544949809307</c:v>
                </c:pt>
                <c:pt idx="501">
                  <c:v>220.25926255352678</c:v>
                </c:pt>
                <c:pt idx="502">
                  <c:v>221.6612719378962</c:v>
                </c:pt>
                <c:pt idx="503">
                  <c:v>223.06153283339174</c:v>
                </c:pt>
                <c:pt idx="504">
                  <c:v>224.46009966039333</c:v>
                </c:pt>
                <c:pt idx="505">
                  <c:v>225.85702605911075</c:v>
                </c:pt>
                <c:pt idx="506">
                  <c:v>227.25236486702107</c:v>
                </c:pt>
                <c:pt idx="507">
                  <c:v>228.64616809158292</c:v>
                </c:pt>
                <c:pt idx="508">
                  <c:v>230.03848687763306</c:v>
                </c:pt>
                <c:pt idx="509">
                  <c:v>231.42937146878916</c:v>
                </c:pt>
                <c:pt idx="510">
                  <c:v>232.81887116209245</c:v>
                </c:pt>
                <c:pt idx="511">
                  <c:v>234.2070342550289</c:v>
                </c:pt>
                <c:pt idx="512">
                  <c:v>235.59390798396717</c:v>
                </c:pt>
                <c:pt idx="513">
                  <c:v>236.97953845295379</c:v>
                </c:pt>
                <c:pt idx="514">
                  <c:v>238.36397055171633</c:v>
                </c:pt>
                <c:pt idx="515">
                  <c:v>239.74724786165638</c:v>
                </c:pt>
                <c:pt idx="516">
                  <c:v>241.12941254858305</c:v>
                </c:pt>
                <c:pt idx="517">
                  <c:v>242.51050524096931</c:v>
                </c:pt>
                <c:pt idx="518">
                  <c:v>243.89056489263908</c:v>
                </c:pt>
                <c:pt idx="519">
                  <c:v>245.26962862905754</c:v>
                </c:pt>
                <c:pt idx="520">
                  <c:v>246.64773157684891</c:v>
                </c:pt>
                <c:pt idx="521">
                  <c:v>248.02490667686209</c:v>
                </c:pt>
                <c:pt idx="522">
                  <c:v>249.4011844820977</c:v>
                </c:pt>
                <c:pt idx="523">
                  <c:v>250.77659294313139</c:v>
                </c:pt>
                <c:pt idx="524">
                  <c:v>252.15115718530973</c:v>
                </c:pt>
                <c:pt idx="525">
                  <c:v>253.52489928387553</c:v>
                </c:pt>
                <c:pt idx="526">
                  <c:v>254.89783804511859</c:v>
                </c:pt>
                <c:pt idx="527">
                  <c:v>256.26998880335776</c:v>
                </c:pt>
                <c:pt idx="528">
                  <c:v>257.64136324466284</c:v>
                </c:pt>
                <c:pt idx="529">
                  <c:v>259.01196926832495</c:v>
                </c:pt>
                <c:pt idx="530">
                  <c:v>260.38181089588608</c:v>
                </c:pt>
                <c:pt idx="531">
                  <c:v>261.75088823497191</c:v>
                </c:pt>
                <c:pt idx="532">
                  <c:v>263.11919750147626</c:v>
                </c:pt>
                <c:pt idx="533">
                  <c:v>264.48673109936328</c:v>
                </c:pt>
                <c:pt idx="534">
                  <c:v>265.85347775318655</c:v>
                </c:pt>
                <c:pt idx="535">
                  <c:v>267.21942268504762</c:v>
                </c:pt>
                <c:pt idx="536">
                  <c:v>268.58454782558539</c:v>
                </c:pt>
                <c:pt idx="537">
                  <c:v>269.94883204783793</c:v>
                </c:pt>
                <c:pt idx="538">
                  <c:v>271.312251413296</c:v>
                </c:pt>
                <c:pt idx="539">
                  <c:v>272.67477942082854</c:v>
                </c:pt>
                <c:pt idx="540">
                  <c:v>274.03638725100052</c:v>
                </c:pt>
                <c:pt idx="541">
                  <c:v>275.39704400026727</c:v>
                </c:pt>
                <c:pt idx="542">
                  <c:v>276.75671690136153</c:v>
                </c:pt>
                <c:pt idx="543">
                  <c:v>278.11537152774048</c:v>
                </c:pt>
                <c:pt idx="544">
                  <c:v>279.47297198117997</c:v>
                </c:pt>
                <c:pt idx="545">
                  <c:v>280.82948106249677</c:v>
                </c:pt>
                <c:pt idx="546">
                  <c:v>282.18486042598863</c:v>
                </c:pt>
                <c:pt idx="547">
                  <c:v>283.53907071856565</c:v>
                </c:pt>
                <c:pt idx="548">
                  <c:v>284.89207170475572</c:v>
                </c:pt>
                <c:pt idx="549">
                  <c:v>286.24382237885476</c:v>
                </c:pt>
                <c:pt idx="550">
                  <c:v>287.59428106549484</c:v>
                </c:pt>
                <c:pt idx="551">
                  <c:v>288.94340550985572</c:v>
                </c:pt>
                <c:pt idx="552">
                  <c:v>290.29115295866268</c:v>
                </c:pt>
                <c:pt idx="553">
                  <c:v>291.63748023301861</c:v>
                </c:pt>
                <c:pt idx="554">
                  <c:v>292.98234379401566</c:v>
                </c:pt>
                <c:pt idx="555">
                  <c:v>294.32569980197133</c:v>
                </c:pt>
                <c:pt idx="556">
                  <c:v>295.66750417003789</c:v>
                </c:pt>
                <c:pt idx="557">
                  <c:v>297.00771261284632</c:v>
                </c:pt>
                <c:pt idx="558">
                  <c:v>298.34628069076462</c:v>
                </c:pt>
                <c:pt idx="559">
                  <c:v>299.68316385027953</c:v>
                </c:pt>
                <c:pt idx="560">
                  <c:v>301.01831746094643</c:v>
                </c:pt>
                <c:pt idx="561">
                  <c:v>302.35169684929667</c:v>
                </c:pt>
                <c:pt idx="562">
                  <c:v>303.68325733004116</c:v>
                </c:pt>
                <c:pt idx="563">
                  <c:v>305.01295423486823</c:v>
                </c:pt>
                <c:pt idx="564">
                  <c:v>306.3407429390939</c:v>
                </c:pt>
                <c:pt idx="565">
                  <c:v>307.66657888639236</c:v>
                </c:pt>
                <c:pt idx="566">
                  <c:v>308.99041761180473</c:v>
                </c:pt>
                <c:pt idx="567">
                  <c:v>310.31221476320042</c:v>
                </c:pt>
                <c:pt idx="568">
                  <c:v>311.63192612134355</c:v>
                </c:pt>
                <c:pt idx="569">
                  <c:v>312.94950761869876</c:v>
                </c:pt>
                <c:pt idx="570">
                  <c:v>314.26491535709448</c:v>
                </c:pt>
                <c:pt idx="571">
                  <c:v>315.57810562434759</c:v>
                </c:pt>
                <c:pt idx="572">
                  <c:v>316.88903490994119</c:v>
                </c:pt>
                <c:pt idx="573">
                  <c:v>318.19765991983684</c:v>
                </c:pt>
                <c:pt idx="574">
                  <c:v>319.50393759049274</c:v>
                </c:pt>
                <c:pt idx="575">
                  <c:v>320.8078251021517</c:v>
                </c:pt>
                <c:pt idx="576">
                  <c:v>322.10927989145546</c:v>
                </c:pt>
                <c:pt idx="577">
                  <c:v>323.40825966343562</c:v>
                </c:pt>
                <c:pt idx="578">
                  <c:v>324.70472240292565</c:v>
                </c:pt>
                <c:pt idx="579">
                  <c:v>325.99862638543453</c:v>
                </c:pt>
                <c:pt idx="580">
                  <c:v>327.2899301875172</c:v>
                </c:pt>
                <c:pt idx="581">
                  <c:v>328.57859269667404</c:v>
                </c:pt>
                <c:pt idx="582">
                  <c:v>329.86457312080785</c:v>
                </c:pt>
                <c:pt idx="583">
                  <c:v>331.14783099726446</c:v>
                </c:pt>
                <c:pt idx="584">
                  <c:v>332.42832620147971</c:v>
                </c:pt>
                <c:pt idx="585">
                  <c:v>333.70601895525363</c:v>
                </c:pt>
                <c:pt idx="586">
                  <c:v>334.98086983467124</c:v>
                </c:pt>
                <c:pt idx="587">
                  <c:v>336.25283977768618</c:v>
                </c:pt>
                <c:pt idx="588">
                  <c:v>337.52189009138317</c:v>
                </c:pt>
                <c:pt idx="589">
                  <c:v>338.7879824589333</c:v>
                </c:pt>
                <c:pt idx="590">
                  <c:v>340.05107894625434</c:v>
                </c:pt>
                <c:pt idx="591">
                  <c:v>341.31114200838829</c:v>
                </c:pt>
                <c:pt idx="592">
                  <c:v>342.56813449560639</c:v>
                </c:pt>
                <c:pt idx="593">
                  <c:v>343.82201965925134</c:v>
                </c:pt>
                <c:pt idx="594">
                  <c:v>345.07276115732583</c:v>
                </c:pt>
                <c:pt idx="595">
                  <c:v>346.32032305983495</c:v>
                </c:pt>
                <c:pt idx="596">
                  <c:v>347.56466985389079</c:v>
                </c:pt>
                <c:pt idx="597">
                  <c:v>348.80576644858559</c:v>
                </c:pt>
                <c:pt idx="598">
                  <c:v>350.04357817963984</c:v>
                </c:pt>
                <c:pt idx="599">
                  <c:v>351.2780708138319</c:v>
                </c:pt>
                <c:pt idx="600">
                  <c:v>352.50921055321379</c:v>
                </c:pt>
                <c:pt idx="601">
                  <c:v>353.73696403911924</c:v>
                </c:pt>
                <c:pt idx="602">
                  <c:v>354.96129835596793</c:v>
                </c:pt>
                <c:pt idx="603">
                  <c:v>356.18218103487135</c:v>
                </c:pt>
                <c:pt idx="604">
                  <c:v>357.39958005704392</c:v>
                </c:pt>
                <c:pt idx="605">
                  <c:v>358.6134638570237</c:v>
                </c:pt>
                <c:pt idx="606">
                  <c:v>359.82380132570643</c:v>
                </c:pt>
                <c:pt idx="607">
                  <c:v>361.0305618131967</c:v>
                </c:pt>
                <c:pt idx="608">
                  <c:v>362.23371513147924</c:v>
                </c:pt>
                <c:pt idx="609">
                  <c:v>363.43323155691456</c:v>
                </c:pt>
                <c:pt idx="610">
                  <c:v>364.62908183256098</c:v>
                </c:pt>
                <c:pt idx="611">
                  <c:v>365.82123717032704</c:v>
                </c:pt>
                <c:pt idx="612">
                  <c:v>367.00966925295688</c:v>
                </c:pt>
                <c:pt idx="613">
                  <c:v>368.19435023585129</c:v>
                </c:pt>
                <c:pt idx="614">
                  <c:v>369.37525274872752</c:v>
                </c:pt>
                <c:pt idx="615">
                  <c:v>370.55234989712051</c:v>
                </c:pt>
                <c:pt idx="616">
                  <c:v>371.72561526372778</c:v>
                </c:pt>
                <c:pt idx="617">
                  <c:v>372.8950229096011</c:v>
                </c:pt>
                <c:pt idx="618">
                  <c:v>374.06054737518713</c:v>
                </c:pt>
                <c:pt idx="619">
                  <c:v>375.22216368121963</c:v>
                </c:pt>
                <c:pt idx="620">
                  <c:v>376.37984732946546</c:v>
                </c:pt>
                <c:pt idx="621">
                  <c:v>377.53357430332733</c:v>
                </c:pt>
                <c:pt idx="622">
                  <c:v>378.68332106830474</c:v>
                </c:pt>
                <c:pt idx="623">
                  <c:v>379.8290645723165</c:v>
                </c:pt>
                <c:pt idx="624">
                  <c:v>380.97078224588643</c:v>
                </c:pt>
                <c:pt idx="625">
                  <c:v>382.10845200219478</c:v>
                </c:pt>
                <c:pt idx="626">
                  <c:v>383.24205223699772</c:v>
                </c:pt>
                <c:pt idx="627">
                  <c:v>384.37156182841687</c:v>
                </c:pt>
                <c:pt idx="628">
                  <c:v>385.49696013660167</c:v>
                </c:pt>
                <c:pt idx="629">
                  <c:v>386.61822700326627</c:v>
                </c:pt>
                <c:pt idx="630">
                  <c:v>387.73534275110359</c:v>
                </c:pt>
                <c:pt idx="631">
                  <c:v>388.84828818307835</c:v>
                </c:pt>
                <c:pt idx="632">
                  <c:v>389.95704458160191</c:v>
                </c:pt>
                <c:pt idx="633">
                  <c:v>391.06159370759048</c:v>
                </c:pt>
                <c:pt idx="634">
                  <c:v>392.16191779940937</c:v>
                </c:pt>
                <c:pt idx="635">
                  <c:v>393.25799957170534</c:v>
                </c:pt>
                <c:pt idx="636">
                  <c:v>394.34982221412906</c:v>
                </c:pt>
                <c:pt idx="637">
                  <c:v>395.43736938995028</c:v>
                </c:pt>
                <c:pt idx="638">
                  <c:v>396.52062523456755</c:v>
                </c:pt>
                <c:pt idx="639">
                  <c:v>397.59957435391482</c:v>
                </c:pt>
                <c:pt idx="640">
                  <c:v>398.67420182276715</c:v>
                </c:pt>
                <c:pt idx="641">
                  <c:v>399.74449318294774</c:v>
                </c:pt>
                <c:pt idx="642">
                  <c:v>400.81043444143825</c:v>
                </c:pt>
                <c:pt idx="643">
                  <c:v>401.87201206839478</c:v>
                </c:pt>
                <c:pt idx="644">
                  <c:v>402.92921299507162</c:v>
                </c:pt>
                <c:pt idx="645">
                  <c:v>403.98202461165511</c:v>
                </c:pt>
                <c:pt idx="646">
                  <c:v>405.03043476500937</c:v>
                </c:pt>
                <c:pt idx="647">
                  <c:v>406.07443175633648</c:v>
                </c:pt>
                <c:pt idx="648">
                  <c:v>407.11400433875309</c:v>
                </c:pt>
                <c:pt idx="649">
                  <c:v>408.14914171478546</c:v>
                </c:pt>
                <c:pt idx="650">
                  <c:v>409.17983353378548</c:v>
                </c:pt>
                <c:pt idx="651">
                  <c:v>410.20606988926932</c:v>
                </c:pt>
                <c:pt idx="652">
                  <c:v>411.22784131618113</c:v>
                </c:pt>
                <c:pt idx="653">
                  <c:v>412.24513878808392</c:v>
                </c:pt>
                <c:pt idx="654">
                  <c:v>413.25795371427949</c:v>
                </c:pt>
                <c:pt idx="655">
                  <c:v>414.26627793685986</c:v>
                </c:pt>
                <c:pt idx="656">
                  <c:v>415.27010372769195</c:v>
                </c:pt>
                <c:pt idx="657">
                  <c:v>416.26942378533778</c:v>
                </c:pt>
                <c:pt idx="658">
                  <c:v>417.26423123191222</c:v>
                </c:pt>
                <c:pt idx="659">
                  <c:v>418.25451960988039</c:v>
                </c:pt>
                <c:pt idx="660">
                  <c:v>419.24028287879651</c:v>
                </c:pt>
                <c:pt idx="661">
                  <c:v>420.22151541198662</c:v>
                </c:pt>
                <c:pt idx="662">
                  <c:v>421.19821199317687</c:v>
                </c:pt>
                <c:pt idx="663">
                  <c:v>422.17036781306945</c:v>
                </c:pt>
                <c:pt idx="664">
                  <c:v>423.13797846586829</c:v>
                </c:pt>
                <c:pt idx="665">
                  <c:v>424.10103994575627</c:v>
                </c:pt>
                <c:pt idx="666">
                  <c:v>425.05954864332608</c:v>
                </c:pt>
                <c:pt idx="667">
                  <c:v>426.01350134196645</c:v>
                </c:pt>
                <c:pt idx="668">
                  <c:v>426.96289521420607</c:v>
                </c:pt>
                <c:pt idx="669">
                  <c:v>427.90772781801655</c:v>
                </c:pt>
                <c:pt idx="670">
                  <c:v>428.84799709307669</c:v>
                </c:pt>
                <c:pt idx="671">
                  <c:v>429.7837013569997</c:v>
                </c:pt>
                <c:pt idx="672">
                  <c:v>430.71483930152561</c:v>
                </c:pt>
                <c:pt idx="673">
                  <c:v>431.64140998868004</c:v>
                </c:pt>
                <c:pt idx="674">
                  <c:v>432.56341284690166</c:v>
                </c:pt>
                <c:pt idx="675">
                  <c:v>433.48084766713993</c:v>
                </c:pt>
                <c:pt idx="676">
                  <c:v>434.3937145989247</c:v>
                </c:pt>
                <c:pt idx="677">
                  <c:v>435.30201414640993</c:v>
                </c:pt>
                <c:pt idx="678">
                  <c:v>436.20574716439245</c:v>
                </c:pt>
                <c:pt idx="679">
                  <c:v>437.10491485430828</c:v>
                </c:pt>
                <c:pt idx="680">
                  <c:v>437.99951876020759</c:v>
                </c:pt>
                <c:pt idx="681">
                  <c:v>438.8895607647101</c:v>
                </c:pt>
                <c:pt idx="682">
                  <c:v>439.77504308494252</c:v>
                </c:pt>
                <c:pt idx="683">
                  <c:v>440.6559682684599</c:v>
                </c:pt>
                <c:pt idx="684">
                  <c:v>441.53233918915203</c:v>
                </c:pt>
                <c:pt idx="685">
                  <c:v>442.40415904313659</c:v>
                </c:pt>
                <c:pt idx="686">
                  <c:v>443.27143134464069</c:v>
                </c:pt>
                <c:pt idx="687">
                  <c:v>444.13415992187214</c:v>
                </c:pt>
                <c:pt idx="688">
                  <c:v>444.99234891288211</c:v>
                </c:pt>
                <c:pt idx="689">
                  <c:v>445.84600276142021</c:v>
                </c:pt>
                <c:pt idx="690">
                  <c:v>446.69512621278392</c:v>
                </c:pt>
                <c:pt idx="691">
                  <c:v>447.53972430966337</c:v>
                </c:pt>
                <c:pt idx="692">
                  <c:v>448.37980238798315</c:v>
                </c:pt>
                <c:pt idx="693">
                  <c:v>449.21536607274209</c:v>
                </c:pt>
                <c:pt idx="694">
                  <c:v>450.0464212738525</c:v>
                </c:pt>
                <c:pt idx="695">
                  <c:v>450.87297418198057</c:v>
                </c:pt>
                <c:pt idx="696">
                  <c:v>451.69503126438838</c:v>
                </c:pt>
                <c:pt idx="697">
                  <c:v>452.51259926077938</c:v>
                </c:pt>
                <c:pt idx="698">
                  <c:v>453.32568517914831</c:v>
                </c:pt>
                <c:pt idx="699">
                  <c:v>454.13429629163676</c:v>
                </c:pt>
                <c:pt idx="700">
                  <c:v>454.93844013039535</c:v>
                </c:pt>
                <c:pt idx="701">
                  <c:v>455.73812448345421</c:v>
                </c:pt>
                <c:pt idx="702">
                  <c:v>456.53335739060202</c:v>
                </c:pt>
                <c:pt idx="703">
                  <c:v>457.32414713927545</c:v>
                </c:pt>
                <c:pt idx="704">
                  <c:v>458.11050226045955</c:v>
                </c:pt>
                <c:pt idx="705">
                  <c:v>458.8924315246004</c:v>
                </c:pt>
                <c:pt idx="706">
                  <c:v>459.6699439375306</c:v>
                </c:pt>
                <c:pt idx="707">
                  <c:v>460.44304873640937</c:v>
                </c:pt>
                <c:pt idx="708">
                  <c:v>461.21175538567707</c:v>
                </c:pt>
                <c:pt idx="709">
                  <c:v>461.97607357302604</c:v>
                </c:pt>
                <c:pt idx="710">
                  <c:v>462.73601320538836</c:v>
                </c:pt>
                <c:pt idx="711">
                  <c:v>463.49158440494085</c:v>
                </c:pt>
                <c:pt idx="712">
                  <c:v>464.24279750512898</c:v>
                </c:pt>
                <c:pt idx="713">
                  <c:v>464.98966304671001</c:v>
                </c:pt>
                <c:pt idx="714">
                  <c:v>465.73219177381611</c:v>
                </c:pt>
                <c:pt idx="715">
                  <c:v>466.47039463003864</c:v>
                </c:pt>
                <c:pt idx="716">
                  <c:v>467.20428275453378</c:v>
                </c:pt>
                <c:pt idx="717">
                  <c:v>467.93386747815055</c:v>
                </c:pt>
                <c:pt idx="718">
                  <c:v>468.65916031958193</c:v>
                </c:pt>
                <c:pt idx="719">
                  <c:v>468.65916031958193</c:v>
                </c:pt>
                <c:pt idx="720">
                  <c:v>468.65916031958193</c:v>
                </c:pt>
                <c:pt idx="721">
                  <c:v>468.65916031958193</c:v>
                </c:pt>
                <c:pt idx="722">
                  <c:v>468.65916031958193</c:v>
                </c:pt>
                <c:pt idx="723">
                  <c:v>468.65916031958193</c:v>
                </c:pt>
                <c:pt idx="724">
                  <c:v>468.65916031958193</c:v>
                </c:pt>
                <c:pt idx="725">
                  <c:v>468.65916031958193</c:v>
                </c:pt>
                <c:pt idx="726">
                  <c:v>468.65916031958193</c:v>
                </c:pt>
                <c:pt idx="727">
                  <c:v>468.65916031958193</c:v>
                </c:pt>
                <c:pt idx="728">
                  <c:v>468.65916031958193</c:v>
                </c:pt>
                <c:pt idx="729">
                  <c:v>468.65916031958193</c:v>
                </c:pt>
                <c:pt idx="730">
                  <c:v>468.65916031958193</c:v>
                </c:pt>
                <c:pt idx="731">
                  <c:v>468.65916031958193</c:v>
                </c:pt>
                <c:pt idx="732">
                  <c:v>468.65916031958193</c:v>
                </c:pt>
                <c:pt idx="733">
                  <c:v>468.65916031958193</c:v>
                </c:pt>
                <c:pt idx="734">
                  <c:v>468.65916031958193</c:v>
                </c:pt>
                <c:pt idx="735">
                  <c:v>468.65916031958193</c:v>
                </c:pt>
                <c:pt idx="736">
                  <c:v>468.65916031958193</c:v>
                </c:pt>
                <c:pt idx="737">
                  <c:v>468.65916031958193</c:v>
                </c:pt>
                <c:pt idx="738">
                  <c:v>468.65916031958193</c:v>
                </c:pt>
                <c:pt idx="739">
                  <c:v>468.65916031958193</c:v>
                </c:pt>
                <c:pt idx="740">
                  <c:v>468.65916031958193</c:v>
                </c:pt>
                <c:pt idx="741">
                  <c:v>468.65916031958193</c:v>
                </c:pt>
                <c:pt idx="742">
                  <c:v>468.65916031958193</c:v>
                </c:pt>
                <c:pt idx="743">
                  <c:v>468.65916031958193</c:v>
                </c:pt>
                <c:pt idx="744">
                  <c:v>468.65916031958193</c:v>
                </c:pt>
                <c:pt idx="745">
                  <c:v>468.65916031958193</c:v>
                </c:pt>
                <c:pt idx="746">
                  <c:v>468.65916031958193</c:v>
                </c:pt>
                <c:pt idx="747">
                  <c:v>468.65916031958193</c:v>
                </c:pt>
                <c:pt idx="748">
                  <c:v>468.65916031958193</c:v>
                </c:pt>
                <c:pt idx="749">
                  <c:v>468.65916031958193</c:v>
                </c:pt>
                <c:pt idx="750">
                  <c:v>468.65916031958193</c:v>
                </c:pt>
                <c:pt idx="751">
                  <c:v>468.65916031958193</c:v>
                </c:pt>
                <c:pt idx="752">
                  <c:v>468.65916031958193</c:v>
                </c:pt>
                <c:pt idx="753">
                  <c:v>468.65916031958193</c:v>
                </c:pt>
                <c:pt idx="754">
                  <c:v>468.65916031958193</c:v>
                </c:pt>
                <c:pt idx="755">
                  <c:v>468.65916031958193</c:v>
                </c:pt>
                <c:pt idx="756">
                  <c:v>468.65916031958193</c:v>
                </c:pt>
                <c:pt idx="757">
                  <c:v>468.65916031958193</c:v>
                </c:pt>
                <c:pt idx="758">
                  <c:v>468.65916031958193</c:v>
                </c:pt>
                <c:pt idx="759">
                  <c:v>468.65916031958193</c:v>
                </c:pt>
                <c:pt idx="760">
                  <c:v>468.65916031958193</c:v>
                </c:pt>
                <c:pt idx="761">
                  <c:v>468.65916031958193</c:v>
                </c:pt>
                <c:pt idx="762">
                  <c:v>468.65916031958193</c:v>
                </c:pt>
                <c:pt idx="763">
                  <c:v>468.65916031958193</c:v>
                </c:pt>
                <c:pt idx="764">
                  <c:v>468.65916031958193</c:v>
                </c:pt>
                <c:pt idx="765">
                  <c:v>468.65916031958193</c:v>
                </c:pt>
                <c:pt idx="766">
                  <c:v>468.65916031958193</c:v>
                </c:pt>
                <c:pt idx="767">
                  <c:v>468.65916031958193</c:v>
                </c:pt>
                <c:pt idx="768">
                  <c:v>468.65916031958193</c:v>
                </c:pt>
                <c:pt idx="769">
                  <c:v>468.65916031958193</c:v>
                </c:pt>
                <c:pt idx="770">
                  <c:v>468.65916031958193</c:v>
                </c:pt>
                <c:pt idx="771">
                  <c:v>468.65916031958193</c:v>
                </c:pt>
                <c:pt idx="772">
                  <c:v>468.65916031958193</c:v>
                </c:pt>
                <c:pt idx="773">
                  <c:v>468.65916031958193</c:v>
                </c:pt>
                <c:pt idx="774">
                  <c:v>468.65916031958193</c:v>
                </c:pt>
                <c:pt idx="775">
                  <c:v>468.65916031958193</c:v>
                </c:pt>
                <c:pt idx="776">
                  <c:v>468.65916031958193</c:v>
                </c:pt>
                <c:pt idx="777">
                  <c:v>468.65916031958193</c:v>
                </c:pt>
                <c:pt idx="778">
                  <c:v>468.65916031958193</c:v>
                </c:pt>
                <c:pt idx="779">
                  <c:v>468.65916031958193</c:v>
                </c:pt>
                <c:pt idx="780">
                  <c:v>468.65916031958193</c:v>
                </c:pt>
                <c:pt idx="781">
                  <c:v>468.65916031958193</c:v>
                </c:pt>
                <c:pt idx="782">
                  <c:v>468.65916031958193</c:v>
                </c:pt>
                <c:pt idx="783">
                  <c:v>468.65916031958193</c:v>
                </c:pt>
                <c:pt idx="784">
                  <c:v>468.65916031958193</c:v>
                </c:pt>
                <c:pt idx="785">
                  <c:v>468.65916031958193</c:v>
                </c:pt>
                <c:pt idx="786">
                  <c:v>468.65916031958193</c:v>
                </c:pt>
                <c:pt idx="787">
                  <c:v>468.65916031958193</c:v>
                </c:pt>
                <c:pt idx="788">
                  <c:v>468.65916031958193</c:v>
                </c:pt>
                <c:pt idx="789">
                  <c:v>468.65916031958193</c:v>
                </c:pt>
                <c:pt idx="790">
                  <c:v>468.65916031958193</c:v>
                </c:pt>
                <c:pt idx="791">
                  <c:v>468.65916031958193</c:v>
                </c:pt>
                <c:pt idx="792">
                  <c:v>468.65916031958193</c:v>
                </c:pt>
                <c:pt idx="793">
                  <c:v>468.65916031958193</c:v>
                </c:pt>
                <c:pt idx="794">
                  <c:v>468.65916031958193</c:v>
                </c:pt>
                <c:pt idx="795">
                  <c:v>468.65916031958193</c:v>
                </c:pt>
                <c:pt idx="796">
                  <c:v>468.65916031958193</c:v>
                </c:pt>
                <c:pt idx="797">
                  <c:v>468.65916031958193</c:v>
                </c:pt>
                <c:pt idx="798">
                  <c:v>468.65916031958193</c:v>
                </c:pt>
                <c:pt idx="799">
                  <c:v>468.65916031958193</c:v>
                </c:pt>
                <c:pt idx="800">
                  <c:v>468.65916031958193</c:v>
                </c:pt>
                <c:pt idx="801">
                  <c:v>468.65916031958193</c:v>
                </c:pt>
                <c:pt idx="802">
                  <c:v>468.65916031958193</c:v>
                </c:pt>
                <c:pt idx="803">
                  <c:v>468.65916031958193</c:v>
                </c:pt>
                <c:pt idx="804">
                  <c:v>468.65916031958193</c:v>
                </c:pt>
                <c:pt idx="805">
                  <c:v>468.65916031958193</c:v>
                </c:pt>
                <c:pt idx="806">
                  <c:v>468.65916031958193</c:v>
                </c:pt>
                <c:pt idx="807">
                  <c:v>468.65916031958193</c:v>
                </c:pt>
                <c:pt idx="808">
                  <c:v>468.65916031958193</c:v>
                </c:pt>
                <c:pt idx="809">
                  <c:v>468.65916031958193</c:v>
                </c:pt>
                <c:pt idx="810">
                  <c:v>468.65916031958193</c:v>
                </c:pt>
                <c:pt idx="811">
                  <c:v>468.65916031958193</c:v>
                </c:pt>
                <c:pt idx="812">
                  <c:v>468.65916031958193</c:v>
                </c:pt>
                <c:pt idx="813">
                  <c:v>468.65916031958193</c:v>
                </c:pt>
                <c:pt idx="814">
                  <c:v>468.65916031958193</c:v>
                </c:pt>
                <c:pt idx="815">
                  <c:v>468.65916031958193</c:v>
                </c:pt>
                <c:pt idx="816">
                  <c:v>468.65916031958193</c:v>
                </c:pt>
                <c:pt idx="817">
                  <c:v>468.65916031958193</c:v>
                </c:pt>
                <c:pt idx="818">
                  <c:v>468.65916031958193</c:v>
                </c:pt>
                <c:pt idx="819">
                  <c:v>468.65916031958193</c:v>
                </c:pt>
                <c:pt idx="820">
                  <c:v>468.65916031958193</c:v>
                </c:pt>
                <c:pt idx="821">
                  <c:v>468.65916031958193</c:v>
                </c:pt>
                <c:pt idx="822">
                  <c:v>468.65916031958193</c:v>
                </c:pt>
                <c:pt idx="823">
                  <c:v>468.65916031958193</c:v>
                </c:pt>
                <c:pt idx="824">
                  <c:v>468.65916031958193</c:v>
                </c:pt>
                <c:pt idx="825">
                  <c:v>468.65916031958193</c:v>
                </c:pt>
                <c:pt idx="826">
                  <c:v>468.65916031958193</c:v>
                </c:pt>
                <c:pt idx="827">
                  <c:v>468.65916031958193</c:v>
                </c:pt>
                <c:pt idx="828">
                  <c:v>468.65916031958193</c:v>
                </c:pt>
                <c:pt idx="829">
                  <c:v>468.65916031958193</c:v>
                </c:pt>
                <c:pt idx="830">
                  <c:v>468.65916031958193</c:v>
                </c:pt>
                <c:pt idx="831">
                  <c:v>468.65916031958193</c:v>
                </c:pt>
                <c:pt idx="832">
                  <c:v>468.65916031958193</c:v>
                </c:pt>
                <c:pt idx="833">
                  <c:v>468.65916031958193</c:v>
                </c:pt>
                <c:pt idx="834">
                  <c:v>468.65916031958193</c:v>
                </c:pt>
                <c:pt idx="835">
                  <c:v>468.65916031958193</c:v>
                </c:pt>
                <c:pt idx="836">
                  <c:v>468.65916031958193</c:v>
                </c:pt>
                <c:pt idx="837">
                  <c:v>468.65916031958193</c:v>
                </c:pt>
                <c:pt idx="838">
                  <c:v>468.65916031958193</c:v>
                </c:pt>
                <c:pt idx="839">
                  <c:v>468.65916031958193</c:v>
                </c:pt>
                <c:pt idx="840">
                  <c:v>468.65916031958193</c:v>
                </c:pt>
                <c:pt idx="841">
                  <c:v>468.65916031958193</c:v>
                </c:pt>
                <c:pt idx="842">
                  <c:v>468.65916031958193</c:v>
                </c:pt>
                <c:pt idx="843">
                  <c:v>468.65916031958193</c:v>
                </c:pt>
                <c:pt idx="844">
                  <c:v>468.65916031958193</c:v>
                </c:pt>
                <c:pt idx="845">
                  <c:v>468.65916031958193</c:v>
                </c:pt>
                <c:pt idx="846">
                  <c:v>468.65916031958193</c:v>
                </c:pt>
                <c:pt idx="847">
                  <c:v>468.65916031958193</c:v>
                </c:pt>
                <c:pt idx="848">
                  <c:v>468.65916031958193</c:v>
                </c:pt>
                <c:pt idx="849">
                  <c:v>468.65916031958193</c:v>
                </c:pt>
                <c:pt idx="850">
                  <c:v>468.65916031958193</c:v>
                </c:pt>
                <c:pt idx="851">
                  <c:v>468.65916031958193</c:v>
                </c:pt>
                <c:pt idx="852">
                  <c:v>468.65916031958193</c:v>
                </c:pt>
                <c:pt idx="853">
                  <c:v>468.65916031958193</c:v>
                </c:pt>
                <c:pt idx="854">
                  <c:v>468.65916031958193</c:v>
                </c:pt>
                <c:pt idx="855">
                  <c:v>468.65916031958193</c:v>
                </c:pt>
                <c:pt idx="856">
                  <c:v>468.65916031958193</c:v>
                </c:pt>
                <c:pt idx="857">
                  <c:v>468.65916031958193</c:v>
                </c:pt>
                <c:pt idx="858">
                  <c:v>468.65916031958193</c:v>
                </c:pt>
                <c:pt idx="859">
                  <c:v>468.65916031958193</c:v>
                </c:pt>
                <c:pt idx="860">
                  <c:v>468.65916031958193</c:v>
                </c:pt>
                <c:pt idx="861">
                  <c:v>468.65916031958193</c:v>
                </c:pt>
                <c:pt idx="862">
                  <c:v>468.65916031958193</c:v>
                </c:pt>
                <c:pt idx="863">
                  <c:v>468.65916031958193</c:v>
                </c:pt>
                <c:pt idx="864">
                  <c:v>468.65916031958193</c:v>
                </c:pt>
                <c:pt idx="865">
                  <c:v>468.65916031958193</c:v>
                </c:pt>
                <c:pt idx="866">
                  <c:v>468.65916031958193</c:v>
                </c:pt>
                <c:pt idx="867">
                  <c:v>468.65916031958193</c:v>
                </c:pt>
                <c:pt idx="868">
                  <c:v>468.65916031958193</c:v>
                </c:pt>
                <c:pt idx="869">
                  <c:v>468.65916031958193</c:v>
                </c:pt>
                <c:pt idx="870">
                  <c:v>468.65916031958193</c:v>
                </c:pt>
                <c:pt idx="871">
                  <c:v>468.65916031958193</c:v>
                </c:pt>
                <c:pt idx="872">
                  <c:v>468.65916031958193</c:v>
                </c:pt>
                <c:pt idx="873">
                  <c:v>468.65916031958193</c:v>
                </c:pt>
                <c:pt idx="874">
                  <c:v>468.65916031958193</c:v>
                </c:pt>
                <c:pt idx="875">
                  <c:v>468.65916031958193</c:v>
                </c:pt>
                <c:pt idx="876">
                  <c:v>468.65916031958193</c:v>
                </c:pt>
                <c:pt idx="877">
                  <c:v>468.65916031958193</c:v>
                </c:pt>
                <c:pt idx="878">
                  <c:v>468.65916031958193</c:v>
                </c:pt>
                <c:pt idx="879">
                  <c:v>468.65916031958193</c:v>
                </c:pt>
                <c:pt idx="880">
                  <c:v>468.65916031958193</c:v>
                </c:pt>
                <c:pt idx="881">
                  <c:v>468.65916031958193</c:v>
                </c:pt>
                <c:pt idx="882">
                  <c:v>468.65916031958193</c:v>
                </c:pt>
                <c:pt idx="883">
                  <c:v>468.65916031958193</c:v>
                </c:pt>
                <c:pt idx="884">
                  <c:v>468.65916031958193</c:v>
                </c:pt>
                <c:pt idx="885">
                  <c:v>468.65916031958193</c:v>
                </c:pt>
                <c:pt idx="886">
                  <c:v>468.65916031958193</c:v>
                </c:pt>
                <c:pt idx="887">
                  <c:v>468.65916031958193</c:v>
                </c:pt>
                <c:pt idx="888">
                  <c:v>468.65916031958193</c:v>
                </c:pt>
                <c:pt idx="889">
                  <c:v>468.65916031958193</c:v>
                </c:pt>
                <c:pt idx="890">
                  <c:v>468.65916031958193</c:v>
                </c:pt>
                <c:pt idx="891">
                  <c:v>468.65916031958193</c:v>
                </c:pt>
                <c:pt idx="892">
                  <c:v>468.65916031958193</c:v>
                </c:pt>
                <c:pt idx="893">
                  <c:v>468.65916031958193</c:v>
                </c:pt>
                <c:pt idx="894">
                  <c:v>468.65916031958193</c:v>
                </c:pt>
                <c:pt idx="895">
                  <c:v>468.65916031958193</c:v>
                </c:pt>
                <c:pt idx="896">
                  <c:v>468.65916031958193</c:v>
                </c:pt>
                <c:pt idx="897">
                  <c:v>468.65916031958193</c:v>
                </c:pt>
                <c:pt idx="898">
                  <c:v>468.65916031958193</c:v>
                </c:pt>
                <c:pt idx="899">
                  <c:v>468.65916031958193</c:v>
                </c:pt>
                <c:pt idx="900">
                  <c:v>468.65916031958193</c:v>
                </c:pt>
                <c:pt idx="901">
                  <c:v>468.65916031958193</c:v>
                </c:pt>
                <c:pt idx="902">
                  <c:v>468.65916031958193</c:v>
                </c:pt>
                <c:pt idx="903">
                  <c:v>468.65916031958193</c:v>
                </c:pt>
                <c:pt idx="904">
                  <c:v>468.65916031958193</c:v>
                </c:pt>
                <c:pt idx="905">
                  <c:v>468.65916031958193</c:v>
                </c:pt>
                <c:pt idx="906">
                  <c:v>468.65916031958193</c:v>
                </c:pt>
                <c:pt idx="907">
                  <c:v>468.65916031958193</c:v>
                </c:pt>
                <c:pt idx="908">
                  <c:v>468.65916031958193</c:v>
                </c:pt>
                <c:pt idx="909">
                  <c:v>468.65916031958193</c:v>
                </c:pt>
                <c:pt idx="910">
                  <c:v>468.65916031958193</c:v>
                </c:pt>
                <c:pt idx="911">
                  <c:v>468.65916031958193</c:v>
                </c:pt>
                <c:pt idx="912">
                  <c:v>468.65916031958193</c:v>
                </c:pt>
                <c:pt idx="913">
                  <c:v>468.65916031958193</c:v>
                </c:pt>
                <c:pt idx="914">
                  <c:v>468.65916031958193</c:v>
                </c:pt>
                <c:pt idx="915">
                  <c:v>468.65916031958193</c:v>
                </c:pt>
                <c:pt idx="916">
                  <c:v>468.65916031958193</c:v>
                </c:pt>
                <c:pt idx="917">
                  <c:v>468.65916031958193</c:v>
                </c:pt>
                <c:pt idx="918">
                  <c:v>468.65916031958193</c:v>
                </c:pt>
                <c:pt idx="919">
                  <c:v>468.65916031958193</c:v>
                </c:pt>
                <c:pt idx="920">
                  <c:v>468.65916031958193</c:v>
                </c:pt>
                <c:pt idx="921">
                  <c:v>468.65916031958193</c:v>
                </c:pt>
                <c:pt idx="922">
                  <c:v>468.65916031958193</c:v>
                </c:pt>
                <c:pt idx="923">
                  <c:v>468.65916031958193</c:v>
                </c:pt>
                <c:pt idx="924">
                  <c:v>468.65916031958193</c:v>
                </c:pt>
                <c:pt idx="925">
                  <c:v>468.65916031958193</c:v>
                </c:pt>
                <c:pt idx="926">
                  <c:v>468.65916031958193</c:v>
                </c:pt>
                <c:pt idx="927">
                  <c:v>468.65916031958193</c:v>
                </c:pt>
                <c:pt idx="928">
                  <c:v>468.65916031958193</c:v>
                </c:pt>
                <c:pt idx="929">
                  <c:v>468.65916031958193</c:v>
                </c:pt>
                <c:pt idx="930">
                  <c:v>468.65916031958193</c:v>
                </c:pt>
                <c:pt idx="931">
                  <c:v>468.65916031958193</c:v>
                </c:pt>
                <c:pt idx="932">
                  <c:v>468.65916031958193</c:v>
                </c:pt>
                <c:pt idx="933">
                  <c:v>468.65916031958193</c:v>
                </c:pt>
                <c:pt idx="934">
                  <c:v>468.65916031958193</c:v>
                </c:pt>
                <c:pt idx="935">
                  <c:v>468.65916031958193</c:v>
                </c:pt>
                <c:pt idx="936">
                  <c:v>468.65916031958193</c:v>
                </c:pt>
                <c:pt idx="937">
                  <c:v>468.65916031958193</c:v>
                </c:pt>
                <c:pt idx="938">
                  <c:v>468.65916031958193</c:v>
                </c:pt>
                <c:pt idx="939">
                  <c:v>468.65916031958193</c:v>
                </c:pt>
                <c:pt idx="940">
                  <c:v>468.65916031958193</c:v>
                </c:pt>
                <c:pt idx="941">
                  <c:v>468.65916031958193</c:v>
                </c:pt>
                <c:pt idx="942">
                  <c:v>468.65916031958193</c:v>
                </c:pt>
                <c:pt idx="943">
                  <c:v>468.65916031958193</c:v>
                </c:pt>
                <c:pt idx="944">
                  <c:v>468.65916031958193</c:v>
                </c:pt>
                <c:pt idx="945">
                  <c:v>468.65916031958193</c:v>
                </c:pt>
                <c:pt idx="946">
                  <c:v>468.65916031958193</c:v>
                </c:pt>
                <c:pt idx="947">
                  <c:v>468.65916031958193</c:v>
                </c:pt>
                <c:pt idx="948">
                  <c:v>468.65916031958193</c:v>
                </c:pt>
                <c:pt idx="949">
                  <c:v>468.65916031958193</c:v>
                </c:pt>
                <c:pt idx="950">
                  <c:v>468.65916031958193</c:v>
                </c:pt>
                <c:pt idx="951">
                  <c:v>468.65916031958193</c:v>
                </c:pt>
                <c:pt idx="952">
                  <c:v>468.65916031958193</c:v>
                </c:pt>
                <c:pt idx="953">
                  <c:v>468.65916031958193</c:v>
                </c:pt>
                <c:pt idx="954">
                  <c:v>468.65916031958193</c:v>
                </c:pt>
                <c:pt idx="955">
                  <c:v>468.65916031958193</c:v>
                </c:pt>
                <c:pt idx="956">
                  <c:v>468.65916031958193</c:v>
                </c:pt>
                <c:pt idx="957">
                  <c:v>468.65916031958193</c:v>
                </c:pt>
                <c:pt idx="958">
                  <c:v>468.65916031958193</c:v>
                </c:pt>
                <c:pt idx="959">
                  <c:v>468.65916031958193</c:v>
                </c:pt>
                <c:pt idx="960">
                  <c:v>468.65916031958193</c:v>
                </c:pt>
                <c:pt idx="961">
                  <c:v>468.65916031958193</c:v>
                </c:pt>
                <c:pt idx="962">
                  <c:v>468.65916031958193</c:v>
                </c:pt>
                <c:pt idx="963">
                  <c:v>468.65916031958193</c:v>
                </c:pt>
                <c:pt idx="964">
                  <c:v>468.65916031958193</c:v>
                </c:pt>
                <c:pt idx="965">
                  <c:v>468.65916031958193</c:v>
                </c:pt>
                <c:pt idx="966">
                  <c:v>468.65916031958193</c:v>
                </c:pt>
                <c:pt idx="967">
                  <c:v>468.65916031958193</c:v>
                </c:pt>
                <c:pt idx="968">
                  <c:v>468.65916031958193</c:v>
                </c:pt>
                <c:pt idx="969">
                  <c:v>468.65916031958193</c:v>
                </c:pt>
                <c:pt idx="970">
                  <c:v>468.65916031958193</c:v>
                </c:pt>
                <c:pt idx="971">
                  <c:v>468.65916031958193</c:v>
                </c:pt>
                <c:pt idx="972">
                  <c:v>468.65916031958193</c:v>
                </c:pt>
                <c:pt idx="973">
                  <c:v>468.65916031958193</c:v>
                </c:pt>
                <c:pt idx="974">
                  <c:v>468.65916031958193</c:v>
                </c:pt>
                <c:pt idx="975">
                  <c:v>468.65916031958193</c:v>
                </c:pt>
                <c:pt idx="976">
                  <c:v>468.65916031958193</c:v>
                </c:pt>
                <c:pt idx="977">
                  <c:v>468.65916031958193</c:v>
                </c:pt>
                <c:pt idx="978">
                  <c:v>468.65916031958193</c:v>
                </c:pt>
                <c:pt idx="979">
                  <c:v>468.65916031958193</c:v>
                </c:pt>
                <c:pt idx="980">
                  <c:v>468.65916031958193</c:v>
                </c:pt>
                <c:pt idx="981">
                  <c:v>468.65916031958193</c:v>
                </c:pt>
                <c:pt idx="982">
                  <c:v>468.65916031958193</c:v>
                </c:pt>
                <c:pt idx="983">
                  <c:v>468.65916031958193</c:v>
                </c:pt>
                <c:pt idx="984">
                  <c:v>468.65916031958193</c:v>
                </c:pt>
                <c:pt idx="985">
                  <c:v>468.65916031958193</c:v>
                </c:pt>
                <c:pt idx="986">
                  <c:v>468.65916031958193</c:v>
                </c:pt>
                <c:pt idx="987">
                  <c:v>468.65916031958193</c:v>
                </c:pt>
                <c:pt idx="988">
                  <c:v>468.65916031958193</c:v>
                </c:pt>
                <c:pt idx="989">
                  <c:v>468.65916031958193</c:v>
                </c:pt>
                <c:pt idx="990">
                  <c:v>468.65916031958193</c:v>
                </c:pt>
                <c:pt idx="991">
                  <c:v>468.65916031958193</c:v>
                </c:pt>
                <c:pt idx="992">
                  <c:v>468.65916031958193</c:v>
                </c:pt>
                <c:pt idx="993">
                  <c:v>468.65916031958193</c:v>
                </c:pt>
                <c:pt idx="994">
                  <c:v>468.65916031958193</c:v>
                </c:pt>
                <c:pt idx="995">
                  <c:v>468.65916031958193</c:v>
                </c:pt>
                <c:pt idx="996">
                  <c:v>468.65916031958193</c:v>
                </c:pt>
                <c:pt idx="997">
                  <c:v>468.65916031958193</c:v>
                </c:pt>
                <c:pt idx="998">
                  <c:v>468.65916031958193</c:v>
                </c:pt>
                <c:pt idx="999">
                  <c:v>468.65916031958193</c:v>
                </c:pt>
                <c:pt idx="1000">
                  <c:v>468.65916031958193</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35.800100000000199</c:v>
                </c:pt>
                <c:pt idx="720">
                  <c:v>35.800200000000203</c:v>
                </c:pt>
                <c:pt idx="721">
                  <c:v>35.800300000000206</c:v>
                </c:pt>
                <c:pt idx="722">
                  <c:v>35.800400000000209</c:v>
                </c:pt>
                <c:pt idx="723">
                  <c:v>35.800500000000213</c:v>
                </c:pt>
                <c:pt idx="724">
                  <c:v>35.800600000000216</c:v>
                </c:pt>
                <c:pt idx="725">
                  <c:v>35.800700000000219</c:v>
                </c:pt>
                <c:pt idx="726">
                  <c:v>35.800800000000223</c:v>
                </c:pt>
                <c:pt idx="727">
                  <c:v>35.800900000000226</c:v>
                </c:pt>
                <c:pt idx="728">
                  <c:v>35.801000000000229</c:v>
                </c:pt>
                <c:pt idx="729">
                  <c:v>35.801100000000233</c:v>
                </c:pt>
                <c:pt idx="730">
                  <c:v>35.801200000000236</c:v>
                </c:pt>
                <c:pt idx="731">
                  <c:v>35.801300000000239</c:v>
                </c:pt>
                <c:pt idx="732">
                  <c:v>35.801400000000243</c:v>
                </c:pt>
                <c:pt idx="733">
                  <c:v>35.801500000000246</c:v>
                </c:pt>
                <c:pt idx="734">
                  <c:v>35.801600000000249</c:v>
                </c:pt>
                <c:pt idx="735">
                  <c:v>35.801700000000253</c:v>
                </c:pt>
                <c:pt idx="736">
                  <c:v>35.801800000000256</c:v>
                </c:pt>
                <c:pt idx="737">
                  <c:v>35.801900000000259</c:v>
                </c:pt>
                <c:pt idx="738">
                  <c:v>35.802000000000263</c:v>
                </c:pt>
                <c:pt idx="739">
                  <c:v>35.802100000000266</c:v>
                </c:pt>
                <c:pt idx="740">
                  <c:v>35.802200000000269</c:v>
                </c:pt>
                <c:pt idx="741">
                  <c:v>35.802300000000272</c:v>
                </c:pt>
                <c:pt idx="742">
                  <c:v>35.802400000000276</c:v>
                </c:pt>
                <c:pt idx="743">
                  <c:v>35.802500000000279</c:v>
                </c:pt>
                <c:pt idx="744">
                  <c:v>35.802600000000282</c:v>
                </c:pt>
                <c:pt idx="745">
                  <c:v>35.802700000000286</c:v>
                </c:pt>
                <c:pt idx="746">
                  <c:v>35.802800000000289</c:v>
                </c:pt>
                <c:pt idx="747">
                  <c:v>35.802900000000292</c:v>
                </c:pt>
                <c:pt idx="748">
                  <c:v>35.803000000000296</c:v>
                </c:pt>
                <c:pt idx="749">
                  <c:v>35.803100000000299</c:v>
                </c:pt>
                <c:pt idx="750">
                  <c:v>35.803200000000302</c:v>
                </c:pt>
                <c:pt idx="751">
                  <c:v>35.803300000000306</c:v>
                </c:pt>
                <c:pt idx="752">
                  <c:v>35.803400000000309</c:v>
                </c:pt>
                <c:pt idx="753">
                  <c:v>35.803500000000312</c:v>
                </c:pt>
                <c:pt idx="754">
                  <c:v>35.803600000000316</c:v>
                </c:pt>
                <c:pt idx="755">
                  <c:v>35.803700000000319</c:v>
                </c:pt>
                <c:pt idx="756">
                  <c:v>35.803800000000322</c:v>
                </c:pt>
                <c:pt idx="757">
                  <c:v>35.803900000000326</c:v>
                </c:pt>
                <c:pt idx="758">
                  <c:v>35.804000000000329</c:v>
                </c:pt>
                <c:pt idx="759">
                  <c:v>35.804100000000332</c:v>
                </c:pt>
                <c:pt idx="760">
                  <c:v>35.804200000000336</c:v>
                </c:pt>
                <c:pt idx="761">
                  <c:v>35.804300000000339</c:v>
                </c:pt>
                <c:pt idx="762">
                  <c:v>35.804400000000342</c:v>
                </c:pt>
                <c:pt idx="763">
                  <c:v>35.804500000000345</c:v>
                </c:pt>
                <c:pt idx="764">
                  <c:v>35.804600000000349</c:v>
                </c:pt>
                <c:pt idx="765">
                  <c:v>35.804700000000352</c:v>
                </c:pt>
                <c:pt idx="766">
                  <c:v>35.804800000000355</c:v>
                </c:pt>
                <c:pt idx="767">
                  <c:v>35.804900000000359</c:v>
                </c:pt>
                <c:pt idx="768">
                  <c:v>35.805000000000362</c:v>
                </c:pt>
                <c:pt idx="769">
                  <c:v>35.805100000000365</c:v>
                </c:pt>
                <c:pt idx="770">
                  <c:v>35.805200000000369</c:v>
                </c:pt>
                <c:pt idx="771">
                  <c:v>35.805300000000372</c:v>
                </c:pt>
                <c:pt idx="772">
                  <c:v>35.805400000000375</c:v>
                </c:pt>
                <c:pt idx="773">
                  <c:v>35.805500000000379</c:v>
                </c:pt>
                <c:pt idx="774">
                  <c:v>35.805600000000382</c:v>
                </c:pt>
                <c:pt idx="775">
                  <c:v>35.805700000000385</c:v>
                </c:pt>
                <c:pt idx="776">
                  <c:v>35.805800000000389</c:v>
                </c:pt>
                <c:pt idx="777">
                  <c:v>35.805900000000392</c:v>
                </c:pt>
                <c:pt idx="778">
                  <c:v>35.806000000000395</c:v>
                </c:pt>
                <c:pt idx="779">
                  <c:v>35.806100000000399</c:v>
                </c:pt>
                <c:pt idx="780">
                  <c:v>35.806200000000402</c:v>
                </c:pt>
                <c:pt idx="781">
                  <c:v>35.806300000000405</c:v>
                </c:pt>
                <c:pt idx="782">
                  <c:v>35.806400000000409</c:v>
                </c:pt>
                <c:pt idx="783">
                  <c:v>35.806500000000412</c:v>
                </c:pt>
                <c:pt idx="784">
                  <c:v>35.806600000000415</c:v>
                </c:pt>
                <c:pt idx="785">
                  <c:v>35.806700000000419</c:v>
                </c:pt>
                <c:pt idx="786">
                  <c:v>35.806800000000422</c:v>
                </c:pt>
                <c:pt idx="787">
                  <c:v>35.806900000000425</c:v>
                </c:pt>
                <c:pt idx="788">
                  <c:v>35.807000000000428</c:v>
                </c:pt>
                <c:pt idx="789">
                  <c:v>35.807100000000432</c:v>
                </c:pt>
                <c:pt idx="790">
                  <c:v>35.807200000000435</c:v>
                </c:pt>
                <c:pt idx="791">
                  <c:v>35.807300000000438</c:v>
                </c:pt>
                <c:pt idx="792">
                  <c:v>35.807400000000442</c:v>
                </c:pt>
                <c:pt idx="793">
                  <c:v>35.807500000000445</c:v>
                </c:pt>
                <c:pt idx="794">
                  <c:v>35.807600000000448</c:v>
                </c:pt>
                <c:pt idx="795">
                  <c:v>35.807700000000452</c:v>
                </c:pt>
                <c:pt idx="796">
                  <c:v>35.807800000000455</c:v>
                </c:pt>
                <c:pt idx="797">
                  <c:v>35.807900000000458</c:v>
                </c:pt>
                <c:pt idx="798">
                  <c:v>35.808000000000462</c:v>
                </c:pt>
                <c:pt idx="799">
                  <c:v>35.808100000000465</c:v>
                </c:pt>
                <c:pt idx="800">
                  <c:v>35.808200000000468</c:v>
                </c:pt>
                <c:pt idx="801">
                  <c:v>35.808300000000472</c:v>
                </c:pt>
                <c:pt idx="802">
                  <c:v>35.808400000000475</c:v>
                </c:pt>
                <c:pt idx="803">
                  <c:v>35.808500000000478</c:v>
                </c:pt>
                <c:pt idx="804">
                  <c:v>35.808600000000482</c:v>
                </c:pt>
                <c:pt idx="805">
                  <c:v>35.808700000000485</c:v>
                </c:pt>
                <c:pt idx="806">
                  <c:v>35.808800000000488</c:v>
                </c:pt>
                <c:pt idx="807">
                  <c:v>35.808900000000492</c:v>
                </c:pt>
                <c:pt idx="808">
                  <c:v>35.809000000000495</c:v>
                </c:pt>
                <c:pt idx="809">
                  <c:v>35.809100000000498</c:v>
                </c:pt>
                <c:pt idx="810">
                  <c:v>35.809200000000502</c:v>
                </c:pt>
                <c:pt idx="811">
                  <c:v>35.809300000000505</c:v>
                </c:pt>
                <c:pt idx="812">
                  <c:v>35.809400000000508</c:v>
                </c:pt>
                <c:pt idx="813">
                  <c:v>35.809500000000511</c:v>
                </c:pt>
                <c:pt idx="814">
                  <c:v>35.809600000000515</c:v>
                </c:pt>
                <c:pt idx="815">
                  <c:v>35.809700000000518</c:v>
                </c:pt>
                <c:pt idx="816">
                  <c:v>35.809800000000521</c:v>
                </c:pt>
                <c:pt idx="817">
                  <c:v>35.809900000000525</c:v>
                </c:pt>
                <c:pt idx="818">
                  <c:v>35.810000000000528</c:v>
                </c:pt>
                <c:pt idx="819">
                  <c:v>35.810100000000531</c:v>
                </c:pt>
                <c:pt idx="820">
                  <c:v>35.810200000000535</c:v>
                </c:pt>
                <c:pt idx="821">
                  <c:v>35.810300000000538</c:v>
                </c:pt>
                <c:pt idx="822">
                  <c:v>35.810400000000541</c:v>
                </c:pt>
                <c:pt idx="823">
                  <c:v>35.810500000000545</c:v>
                </c:pt>
                <c:pt idx="824">
                  <c:v>35.810600000000548</c:v>
                </c:pt>
                <c:pt idx="825">
                  <c:v>35.810700000000551</c:v>
                </c:pt>
                <c:pt idx="826">
                  <c:v>35.810800000000555</c:v>
                </c:pt>
                <c:pt idx="827">
                  <c:v>35.810900000000558</c:v>
                </c:pt>
                <c:pt idx="828">
                  <c:v>35.811000000000561</c:v>
                </c:pt>
                <c:pt idx="829">
                  <c:v>35.811100000000565</c:v>
                </c:pt>
                <c:pt idx="830">
                  <c:v>35.811200000000568</c:v>
                </c:pt>
                <c:pt idx="831">
                  <c:v>35.811300000000571</c:v>
                </c:pt>
                <c:pt idx="832">
                  <c:v>35.811400000000575</c:v>
                </c:pt>
                <c:pt idx="833">
                  <c:v>35.811500000000578</c:v>
                </c:pt>
                <c:pt idx="834">
                  <c:v>35.811600000000581</c:v>
                </c:pt>
                <c:pt idx="835">
                  <c:v>35.811700000000585</c:v>
                </c:pt>
                <c:pt idx="836">
                  <c:v>35.811800000000588</c:v>
                </c:pt>
                <c:pt idx="837">
                  <c:v>35.811900000000591</c:v>
                </c:pt>
                <c:pt idx="838">
                  <c:v>35.812000000000594</c:v>
                </c:pt>
                <c:pt idx="839">
                  <c:v>35.812100000000598</c:v>
                </c:pt>
                <c:pt idx="840">
                  <c:v>35.812200000000601</c:v>
                </c:pt>
                <c:pt idx="841">
                  <c:v>35.812300000000604</c:v>
                </c:pt>
                <c:pt idx="842">
                  <c:v>35.812400000000608</c:v>
                </c:pt>
                <c:pt idx="843">
                  <c:v>35.812500000000611</c:v>
                </c:pt>
                <c:pt idx="844">
                  <c:v>35.812600000000614</c:v>
                </c:pt>
                <c:pt idx="845">
                  <c:v>35.812700000000618</c:v>
                </c:pt>
                <c:pt idx="846">
                  <c:v>35.812800000000621</c:v>
                </c:pt>
                <c:pt idx="847">
                  <c:v>35.812900000000624</c:v>
                </c:pt>
                <c:pt idx="848">
                  <c:v>35.813000000000628</c:v>
                </c:pt>
                <c:pt idx="849">
                  <c:v>35.813100000000631</c:v>
                </c:pt>
                <c:pt idx="850">
                  <c:v>35.813200000000634</c:v>
                </c:pt>
                <c:pt idx="851">
                  <c:v>35.813300000000638</c:v>
                </c:pt>
                <c:pt idx="852">
                  <c:v>35.813400000000641</c:v>
                </c:pt>
                <c:pt idx="853">
                  <c:v>35.813500000000644</c:v>
                </c:pt>
                <c:pt idx="854">
                  <c:v>35.813600000000648</c:v>
                </c:pt>
                <c:pt idx="855">
                  <c:v>35.813700000000651</c:v>
                </c:pt>
                <c:pt idx="856">
                  <c:v>35.813800000000654</c:v>
                </c:pt>
                <c:pt idx="857">
                  <c:v>35.813900000000658</c:v>
                </c:pt>
                <c:pt idx="858">
                  <c:v>35.814000000000661</c:v>
                </c:pt>
                <c:pt idx="859">
                  <c:v>35.814100000000664</c:v>
                </c:pt>
                <c:pt idx="860">
                  <c:v>35.814200000000668</c:v>
                </c:pt>
                <c:pt idx="861">
                  <c:v>35.814300000000671</c:v>
                </c:pt>
                <c:pt idx="862">
                  <c:v>35.814400000000674</c:v>
                </c:pt>
                <c:pt idx="863">
                  <c:v>35.814500000000677</c:v>
                </c:pt>
                <c:pt idx="864">
                  <c:v>35.814600000000681</c:v>
                </c:pt>
                <c:pt idx="865">
                  <c:v>35.814700000000684</c:v>
                </c:pt>
                <c:pt idx="866">
                  <c:v>35.814800000000687</c:v>
                </c:pt>
                <c:pt idx="867">
                  <c:v>35.814900000000691</c:v>
                </c:pt>
                <c:pt idx="868">
                  <c:v>35.815000000000694</c:v>
                </c:pt>
                <c:pt idx="869">
                  <c:v>35.815100000000697</c:v>
                </c:pt>
                <c:pt idx="870">
                  <c:v>35.815200000000701</c:v>
                </c:pt>
                <c:pt idx="871">
                  <c:v>35.815300000000704</c:v>
                </c:pt>
                <c:pt idx="872">
                  <c:v>35.815400000000707</c:v>
                </c:pt>
                <c:pt idx="873">
                  <c:v>35.815500000000711</c:v>
                </c:pt>
                <c:pt idx="874">
                  <c:v>35.815600000000714</c:v>
                </c:pt>
                <c:pt idx="875">
                  <c:v>35.815700000000717</c:v>
                </c:pt>
                <c:pt idx="876">
                  <c:v>35.815800000000721</c:v>
                </c:pt>
                <c:pt idx="877">
                  <c:v>35.815900000000724</c:v>
                </c:pt>
                <c:pt idx="878">
                  <c:v>35.816000000000727</c:v>
                </c:pt>
                <c:pt idx="879">
                  <c:v>35.816100000000731</c:v>
                </c:pt>
                <c:pt idx="880">
                  <c:v>35.816200000000734</c:v>
                </c:pt>
                <c:pt idx="881">
                  <c:v>35.816300000000737</c:v>
                </c:pt>
                <c:pt idx="882">
                  <c:v>35.816400000000741</c:v>
                </c:pt>
                <c:pt idx="883">
                  <c:v>35.816500000000744</c:v>
                </c:pt>
                <c:pt idx="884">
                  <c:v>35.816600000000747</c:v>
                </c:pt>
                <c:pt idx="885">
                  <c:v>35.81670000000075</c:v>
                </c:pt>
                <c:pt idx="886">
                  <c:v>35.816800000000754</c:v>
                </c:pt>
                <c:pt idx="887">
                  <c:v>35.816900000000757</c:v>
                </c:pt>
                <c:pt idx="888">
                  <c:v>35.81700000000076</c:v>
                </c:pt>
                <c:pt idx="889">
                  <c:v>35.817100000000764</c:v>
                </c:pt>
                <c:pt idx="890">
                  <c:v>35.817200000000767</c:v>
                </c:pt>
                <c:pt idx="891">
                  <c:v>35.81730000000077</c:v>
                </c:pt>
                <c:pt idx="892">
                  <c:v>35.817400000000774</c:v>
                </c:pt>
                <c:pt idx="893">
                  <c:v>35.817500000000777</c:v>
                </c:pt>
                <c:pt idx="894">
                  <c:v>35.81760000000078</c:v>
                </c:pt>
                <c:pt idx="895">
                  <c:v>35.817700000000784</c:v>
                </c:pt>
                <c:pt idx="896">
                  <c:v>35.817800000000787</c:v>
                </c:pt>
                <c:pt idx="897">
                  <c:v>35.81790000000079</c:v>
                </c:pt>
                <c:pt idx="898">
                  <c:v>35.818000000000794</c:v>
                </c:pt>
                <c:pt idx="899">
                  <c:v>35.818100000000797</c:v>
                </c:pt>
                <c:pt idx="900">
                  <c:v>35.8182000000008</c:v>
                </c:pt>
                <c:pt idx="901">
                  <c:v>35.818300000000804</c:v>
                </c:pt>
                <c:pt idx="902">
                  <c:v>35.818400000000807</c:v>
                </c:pt>
                <c:pt idx="903">
                  <c:v>35.81850000000081</c:v>
                </c:pt>
                <c:pt idx="904">
                  <c:v>35.818600000000814</c:v>
                </c:pt>
                <c:pt idx="905">
                  <c:v>35.818700000000817</c:v>
                </c:pt>
                <c:pt idx="906">
                  <c:v>35.81880000000082</c:v>
                </c:pt>
                <c:pt idx="907">
                  <c:v>35.818900000000824</c:v>
                </c:pt>
                <c:pt idx="908">
                  <c:v>35.819000000000827</c:v>
                </c:pt>
                <c:pt idx="909">
                  <c:v>35.81910000000083</c:v>
                </c:pt>
                <c:pt idx="910">
                  <c:v>35.819200000000833</c:v>
                </c:pt>
                <c:pt idx="911">
                  <c:v>35.819300000000837</c:v>
                </c:pt>
                <c:pt idx="912">
                  <c:v>35.81940000000084</c:v>
                </c:pt>
                <c:pt idx="913">
                  <c:v>35.819500000000843</c:v>
                </c:pt>
                <c:pt idx="914">
                  <c:v>35.819600000000847</c:v>
                </c:pt>
                <c:pt idx="915">
                  <c:v>35.81970000000085</c:v>
                </c:pt>
                <c:pt idx="916">
                  <c:v>35.819800000000853</c:v>
                </c:pt>
                <c:pt idx="917">
                  <c:v>35.819900000000857</c:v>
                </c:pt>
                <c:pt idx="918">
                  <c:v>35.82000000000086</c:v>
                </c:pt>
                <c:pt idx="919">
                  <c:v>35.820100000000863</c:v>
                </c:pt>
                <c:pt idx="920">
                  <c:v>35.820200000000867</c:v>
                </c:pt>
                <c:pt idx="921">
                  <c:v>35.82030000000087</c:v>
                </c:pt>
                <c:pt idx="922">
                  <c:v>35.820400000000873</c:v>
                </c:pt>
                <c:pt idx="923">
                  <c:v>35.820500000000877</c:v>
                </c:pt>
                <c:pt idx="924">
                  <c:v>35.82060000000088</c:v>
                </c:pt>
                <c:pt idx="925">
                  <c:v>35.820700000000883</c:v>
                </c:pt>
                <c:pt idx="926">
                  <c:v>35.820800000000887</c:v>
                </c:pt>
                <c:pt idx="927">
                  <c:v>35.82090000000089</c:v>
                </c:pt>
                <c:pt idx="928">
                  <c:v>35.821000000000893</c:v>
                </c:pt>
                <c:pt idx="929">
                  <c:v>35.821100000000897</c:v>
                </c:pt>
                <c:pt idx="930">
                  <c:v>35.8212000000009</c:v>
                </c:pt>
                <c:pt idx="931">
                  <c:v>35.821300000000903</c:v>
                </c:pt>
                <c:pt idx="932">
                  <c:v>35.821400000000907</c:v>
                </c:pt>
                <c:pt idx="933">
                  <c:v>35.82150000000091</c:v>
                </c:pt>
                <c:pt idx="934">
                  <c:v>35.821600000000913</c:v>
                </c:pt>
                <c:pt idx="935">
                  <c:v>35.821700000000916</c:v>
                </c:pt>
                <c:pt idx="936">
                  <c:v>35.82180000000092</c:v>
                </c:pt>
                <c:pt idx="937">
                  <c:v>35.821900000000923</c:v>
                </c:pt>
                <c:pt idx="938">
                  <c:v>35.822000000000926</c:v>
                </c:pt>
                <c:pt idx="939">
                  <c:v>35.82210000000093</c:v>
                </c:pt>
                <c:pt idx="940">
                  <c:v>35.822200000000933</c:v>
                </c:pt>
                <c:pt idx="941">
                  <c:v>35.822300000000936</c:v>
                </c:pt>
                <c:pt idx="942">
                  <c:v>35.82240000000094</c:v>
                </c:pt>
                <c:pt idx="943">
                  <c:v>35.822500000000943</c:v>
                </c:pt>
                <c:pt idx="944">
                  <c:v>35.822600000000946</c:v>
                </c:pt>
                <c:pt idx="945">
                  <c:v>35.82270000000095</c:v>
                </c:pt>
                <c:pt idx="946">
                  <c:v>35.822800000000953</c:v>
                </c:pt>
                <c:pt idx="947">
                  <c:v>35.822900000000956</c:v>
                </c:pt>
                <c:pt idx="948">
                  <c:v>35.82300000000096</c:v>
                </c:pt>
                <c:pt idx="949">
                  <c:v>35.823100000000963</c:v>
                </c:pt>
                <c:pt idx="950">
                  <c:v>35.823200000000966</c:v>
                </c:pt>
                <c:pt idx="951">
                  <c:v>35.82330000000097</c:v>
                </c:pt>
                <c:pt idx="952">
                  <c:v>35.823400000000973</c:v>
                </c:pt>
                <c:pt idx="953">
                  <c:v>35.823500000000976</c:v>
                </c:pt>
                <c:pt idx="954">
                  <c:v>35.82360000000098</c:v>
                </c:pt>
                <c:pt idx="955">
                  <c:v>35.823700000000983</c:v>
                </c:pt>
                <c:pt idx="956">
                  <c:v>35.823800000000986</c:v>
                </c:pt>
                <c:pt idx="957">
                  <c:v>35.82390000000099</c:v>
                </c:pt>
                <c:pt idx="958">
                  <c:v>35.824000000000993</c:v>
                </c:pt>
                <c:pt idx="959">
                  <c:v>35.824100000000996</c:v>
                </c:pt>
                <c:pt idx="960">
                  <c:v>35.824200000000999</c:v>
                </c:pt>
                <c:pt idx="961">
                  <c:v>35.824300000001003</c:v>
                </c:pt>
                <c:pt idx="962">
                  <c:v>35.824400000001006</c:v>
                </c:pt>
                <c:pt idx="963">
                  <c:v>35.824500000001009</c:v>
                </c:pt>
                <c:pt idx="964">
                  <c:v>35.824600000001013</c:v>
                </c:pt>
                <c:pt idx="965">
                  <c:v>35.824700000001016</c:v>
                </c:pt>
                <c:pt idx="966">
                  <c:v>35.824800000001019</c:v>
                </c:pt>
                <c:pt idx="967">
                  <c:v>35.824900000001023</c:v>
                </c:pt>
                <c:pt idx="968">
                  <c:v>35.825000000001026</c:v>
                </c:pt>
                <c:pt idx="969">
                  <c:v>35.825100000001029</c:v>
                </c:pt>
                <c:pt idx="970">
                  <c:v>35.825200000001033</c:v>
                </c:pt>
                <c:pt idx="971">
                  <c:v>35.825300000001036</c:v>
                </c:pt>
                <c:pt idx="972">
                  <c:v>35.825400000001039</c:v>
                </c:pt>
                <c:pt idx="973">
                  <c:v>35.825500000001043</c:v>
                </c:pt>
                <c:pt idx="974">
                  <c:v>35.825600000001046</c:v>
                </c:pt>
                <c:pt idx="975">
                  <c:v>35.825700000001049</c:v>
                </c:pt>
                <c:pt idx="976">
                  <c:v>35.825800000001053</c:v>
                </c:pt>
                <c:pt idx="977">
                  <c:v>35.825900000001056</c:v>
                </c:pt>
                <c:pt idx="978">
                  <c:v>35.826000000001059</c:v>
                </c:pt>
                <c:pt idx="979">
                  <c:v>35.826100000001063</c:v>
                </c:pt>
                <c:pt idx="980">
                  <c:v>35.826200000001066</c:v>
                </c:pt>
                <c:pt idx="981">
                  <c:v>35.826300000001069</c:v>
                </c:pt>
                <c:pt idx="982">
                  <c:v>35.826400000001072</c:v>
                </c:pt>
                <c:pt idx="983">
                  <c:v>35.826500000001076</c:v>
                </c:pt>
                <c:pt idx="984">
                  <c:v>35.826600000001079</c:v>
                </c:pt>
                <c:pt idx="985">
                  <c:v>35.826700000001082</c:v>
                </c:pt>
                <c:pt idx="986">
                  <c:v>35.826800000001086</c:v>
                </c:pt>
                <c:pt idx="987">
                  <c:v>35.826900000001089</c:v>
                </c:pt>
                <c:pt idx="988">
                  <c:v>35.827000000001092</c:v>
                </c:pt>
                <c:pt idx="989">
                  <c:v>35.827100000001096</c:v>
                </c:pt>
                <c:pt idx="990">
                  <c:v>35.827200000001099</c:v>
                </c:pt>
                <c:pt idx="991">
                  <c:v>35.827300000001102</c:v>
                </c:pt>
                <c:pt idx="992">
                  <c:v>35.827400000001106</c:v>
                </c:pt>
                <c:pt idx="993">
                  <c:v>35.827500000001109</c:v>
                </c:pt>
                <c:pt idx="994">
                  <c:v>35.827600000001112</c:v>
                </c:pt>
                <c:pt idx="995">
                  <c:v>35.827700000001116</c:v>
                </c:pt>
                <c:pt idx="996">
                  <c:v>35.827800000001119</c:v>
                </c:pt>
                <c:pt idx="997">
                  <c:v>35.827900000001122</c:v>
                </c:pt>
                <c:pt idx="998">
                  <c:v>35.828000000001126</c:v>
                </c:pt>
                <c:pt idx="999">
                  <c:v>35.828100000001129</c:v>
                </c:pt>
                <c:pt idx="1000">
                  <c:v>35.828200000001132</c:v>
                </c:pt>
              </c:numCache>
            </c:numRef>
          </c:xVal>
          <c:yVal>
            <c:numRef>
              <c:f>Calculs!$K$4:$K$1004</c:f>
              <c:numCache>
                <c:formatCode>0.00</c:formatCode>
                <c:ptCount val="1001"/>
                <c:pt idx="0">
                  <c:v>0</c:v>
                </c:pt>
                <c:pt idx="1">
                  <c:v>6.8158011024989312E-6</c:v>
                </c:pt>
                <c:pt idx="2">
                  <c:v>1.0146639636617392E-3</c:v>
                </c:pt>
                <c:pt idx="3">
                  <c:v>4.9988855250675431E-3</c:v>
                </c:pt>
                <c:pt idx="4">
                  <c:v>1.3936191054571544E-2</c:v>
                </c:pt>
                <c:pt idx="5">
                  <c:v>2.9805237587798149E-2</c:v>
                </c:pt>
                <c:pt idx="6">
                  <c:v>5.4086653680871032E-2</c:v>
                </c:pt>
                <c:pt idx="7">
                  <c:v>8.7261849014639709E-2</c:v>
                </c:pt>
                <c:pt idx="8">
                  <c:v>0.12931211141550331</c:v>
                </c:pt>
                <c:pt idx="9">
                  <c:v>0.18021863305817598</c:v>
                </c:pt>
                <c:pt idx="10">
                  <c:v>0.23996251081243741</c:v>
                </c:pt>
                <c:pt idx="11">
                  <c:v>0.30852474659351542</c:v>
                </c:pt>
                <c:pt idx="12">
                  <c:v>0.38588624771607272</c:v>
                </c:pt>
                <c:pt idx="13">
                  <c:v>0.47202782725176878</c:v>
                </c:pt>
                <c:pt idx="14">
                  <c:v>0.56693020439036834</c:v>
                </c:pt>
                <c:pt idx="15">
                  <c:v>0.67057400480436691</c:v>
                </c:pt>
                <c:pt idx="16">
                  <c:v>0.78293976101710383</c:v>
                </c:pt>
                <c:pt idx="17">
                  <c:v>0.9040079127743329</c:v>
                </c:pt>
                <c:pt idx="18">
                  <c:v>1.033758807419221</c:v>
                </c:pt>
                <c:pt idx="19">
                  <c:v>1.1721727002707432</c:v>
                </c:pt>
                <c:pt idx="20">
                  <c:v>1.3192297550054444</c:v>
                </c:pt>
                <c:pt idx="21">
                  <c:v>1.4749100440425362</c:v>
                </c:pt>
                <c:pt idx="22">
                  <c:v>1.6391935489322984</c:v>
                </c:pt>
                <c:pt idx="23">
                  <c:v>1.8120601607477511</c:v>
                </c:pt>
                <c:pt idx="24">
                  <c:v>1.9934896804795699</c:v>
                </c:pt>
                <c:pt idx="25">
                  <c:v>2.1834618194342066</c:v>
                </c:pt>
                <c:pt idx="26">
                  <c:v>2.3819561996351881</c:v>
                </c:pt>
                <c:pt idx="27">
                  <c:v>2.5889523542275579</c:v>
                </c:pt>
                <c:pt idx="28">
                  <c:v>2.8044297278854273</c:v>
                </c:pt>
                <c:pt idx="29">
                  <c:v>3.0283676772226049</c:v>
                </c:pt>
                <c:pt idx="30">
                  <c:v>3.26074547120627</c:v>
                </c:pt>
                <c:pt idx="31">
                  <c:v>3.5015422915736552</c:v>
                </c:pt>
                <c:pt idx="32">
                  <c:v>3.7507372332517055</c:v>
                </c:pt>
                <c:pt idx="33">
                  <c:v>4.0083093047796812</c:v>
                </c:pt>
                <c:pt idx="34">
                  <c:v>4.2742337010814717</c:v>
                </c:pt>
                <c:pt idx="35">
                  <c:v>4.5484854049669261</c:v>
                </c:pt>
                <c:pt idx="36">
                  <c:v>4.8310429168443738</c:v>
                </c:pt>
                <c:pt idx="37">
                  <c:v>5.1218846574311359</c:v>
                </c:pt>
                <c:pt idx="38">
                  <c:v>5.4209889697491516</c:v>
                </c:pt>
                <c:pt idx="39">
                  <c:v>5.7283341192522652</c:v>
                </c:pt>
                <c:pt idx="40">
                  <c:v>6.0438982939804093</c:v>
                </c:pt>
                <c:pt idx="41">
                  <c:v>6.3676596047381508</c:v>
                </c:pt>
                <c:pt idx="42">
                  <c:v>6.6995960852954006</c:v>
                </c:pt>
                <c:pt idx="43">
                  <c:v>7.0396856926083373</c:v>
                </c:pt>
                <c:pt idx="44">
                  <c:v>7.3879063070588487</c:v>
                </c:pt>
                <c:pt idx="45">
                  <c:v>7.744235732710953</c:v>
                </c:pt>
                <c:pt idx="46">
                  <c:v>8.1086516975828804</c:v>
                </c:pt>
                <c:pt idx="47">
                  <c:v>8.48113185393359</c:v>
                </c:pt>
                <c:pt idx="48">
                  <c:v>8.861653778562669</c:v>
                </c:pt>
                <c:pt idx="49">
                  <c:v>9.2501949731226407</c:v>
                </c:pt>
                <c:pt idx="50">
                  <c:v>9.6467328644428214</c:v>
                </c:pt>
                <c:pt idx="51">
                  <c:v>10.05124743837848</c:v>
                </c:pt>
                <c:pt idx="52">
                  <c:v>10.463723877355719</c:v>
                </c:pt>
                <c:pt idx="53">
                  <c:v>10.884149932220319</c:v>
                </c:pt>
                <c:pt idx="54">
                  <c:v>11.312513290285395</c:v>
                </c:pt>
                <c:pt idx="55">
                  <c:v>11.748801575453523</c:v>
                </c:pt>
                <c:pt idx="56">
                  <c:v>12.193002348346042</c:v>
                </c:pt>
                <c:pt idx="57">
                  <c:v>12.645103106439137</c:v>
                </c:pt>
                <c:pt idx="58">
                  <c:v>13.105091284206402</c:v>
                </c:pt>
                <c:pt idx="59">
                  <c:v>13.572954253267554</c:v>
                </c:pt>
                <c:pt idx="60">
                  <c:v>14.048679322543032</c:v>
                </c:pt>
                <c:pt idx="61">
                  <c:v>14.532253738414216</c:v>
                </c:pt>
                <c:pt idx="62">
                  <c:v>15.02366468488902</c:v>
                </c:pt>
                <c:pt idx="63">
                  <c:v>15.522899283772656</c:v>
                </c:pt>
                <c:pt idx="64">
                  <c:v>16.029944594843336</c:v>
                </c:pt>
                <c:pt idx="65">
                  <c:v>16.544787616032753</c:v>
                </c:pt>
                <c:pt idx="66">
                  <c:v>17.067415283611115</c:v>
                </c:pt>
                <c:pt idx="67">
                  <c:v>17.597814472376633</c:v>
                </c:pt>
                <c:pt idx="68">
                  <c:v>18.135971995849228</c:v>
                </c:pt>
                <c:pt idx="69">
                  <c:v>18.681874606468387</c:v>
                </c:pt>
                <c:pt idx="70">
                  <c:v>19.235508995794969</c:v>
                </c:pt>
                <c:pt idx="71">
                  <c:v>19.796861794716875</c:v>
                </c:pt>
                <c:pt idx="72">
                  <c:v>20.365919573658445</c:v>
                </c:pt>
                <c:pt idx="73">
                  <c:v>20.942668842793459</c:v>
                </c:pt>
                <c:pt idx="74">
                  <c:v>21.527096052261648</c:v>
                </c:pt>
                <c:pt idx="75">
                  <c:v>22.119187592388609</c:v>
                </c:pt>
                <c:pt idx="76">
                  <c:v>22.718929793909041</c:v>
                </c:pt>
                <c:pt idx="77">
                  <c:v>23.326308928193164</c:v>
                </c:pt>
                <c:pt idx="78">
                  <c:v>23.9413112074763</c:v>
                </c:pt>
                <c:pt idx="79">
                  <c:v>24.563922785091489</c:v>
                </c:pt>
                <c:pt idx="80">
                  <c:v>25.194129755705056</c:v>
                </c:pt>
                <c:pt idx="81">
                  <c:v>25.831918155555105</c:v>
                </c:pt>
                <c:pt idx="82">
                  <c:v>26.477273962692802</c:v>
                </c:pt>
                <c:pt idx="83">
                  <c:v>27.130183097226418</c:v>
                </c:pt>
                <c:pt idx="84">
                  <c:v>27.790631421568072</c:v>
                </c:pt>
                <c:pt idx="85">
                  <c:v>28.458604740683079</c:v>
                </c:pt>
                <c:pt idx="86">
                  <c:v>29.134088802341861</c:v>
                </c:pt>
                <c:pt idx="87">
                  <c:v>29.817069297374378</c:v>
                </c:pt>
                <c:pt idx="88">
                  <c:v>30.507531859926988</c:v>
                </c:pt>
                <c:pt idx="89">
                  <c:v>31.205462067721704</c:v>
                </c:pt>
                <c:pt idx="90">
                  <c:v>31.910845442317793</c:v>
                </c:pt>
                <c:pt idx="91">
                  <c:v>32.62366744937566</c:v>
                </c:pt>
                <c:pt idx="92">
                  <c:v>33.343913498922987</c:v>
                </c:pt>
                <c:pt idx="93">
                  <c:v>34.071568945623035</c:v>
                </c:pt>
                <c:pt idx="94">
                  <c:v>34.806619089045121</c:v>
                </c:pt>
                <c:pt idx="95">
                  <c:v>35.549049173937171</c:v>
                </c:pt>
                <c:pt idx="96">
                  <c:v>36.298844390500363</c:v>
                </c:pt>
                <c:pt idx="97">
                  <c:v>37.055989874665741</c:v>
                </c:pt>
                <c:pt idx="98">
                  <c:v>37.820470708372845</c:v>
                </c:pt>
                <c:pt idx="99">
                  <c:v>38.592271919850226</c:v>
                </c:pt>
                <c:pt idx="100">
                  <c:v>39.371378483897907</c:v>
                </c:pt>
                <c:pt idx="101">
                  <c:v>40.157774108690624</c:v>
                </c:pt>
                <c:pt idx="102">
                  <c:v>40.951440021396799</c:v>
                </c:pt>
                <c:pt idx="103">
                  <c:v>41.752356180623842</c:v>
                </c:pt>
                <c:pt idx="104">
                  <c:v>42.560502490107623</c:v>
                </c:pt>
                <c:pt idx="105">
                  <c:v>43.375858799116223</c:v>
                </c:pt>
                <c:pt idx="106">
                  <c:v>44.198404902855216</c:v>
                </c:pt>
                <c:pt idx="107">
                  <c:v>45.028120542874383</c:v>
                </c:pt>
                <c:pt idx="108">
                  <c:v>45.864985407475821</c:v>
                </c:pt>
                <c:pt idx="109">
                  <c:v>46.708979132123432</c:v>
                </c:pt>
                <c:pt idx="110">
                  <c:v>47.560081299853721</c:v>
                </c:pt>
                <c:pt idx="111">
                  <c:v>48.418271441687864</c:v>
                </c:pt>
                <c:pt idx="112">
                  <c:v>49.283529037044985</c:v>
                </c:pt>
                <c:pt idx="113">
                  <c:v>50.15583351415669</c:v>
                </c:pt>
                <c:pt idx="114">
                  <c:v>51.035164250482659</c:v>
                </c:pt>
                <c:pt idx="115">
                  <c:v>51.921500573127425</c:v>
                </c:pt>
                <c:pt idx="116">
                  <c:v>52.81482175925818</c:v>
                </c:pt>
                <c:pt idx="117">
                  <c:v>53.715107036523605</c:v>
                </c:pt>
                <c:pt idx="118">
                  <c:v>54.622335583473728</c:v>
                </c:pt>
                <c:pt idx="119">
                  <c:v>55.536486529980699</c:v>
                </c:pt>
                <c:pt idx="120">
                  <c:v>56.457538957660475</c:v>
                </c:pt>
                <c:pt idx="121">
                  <c:v>57.385471900295421</c:v>
                </c:pt>
                <c:pt idx="122">
                  <c:v>58.320264344257701</c:v>
                </c:pt>
                <c:pt idx="123">
                  <c:v>59.261895228933511</c:v>
                </c:pt>
                <c:pt idx="124">
                  <c:v>60.210343447148048</c:v>
                </c:pt>
                <c:pt idx="125">
                  <c:v>61.165587845591219</c:v>
                </c:pt>
                <c:pt idx="126">
                  <c:v>62.127607225244056</c:v>
                </c:pt>
                <c:pt idx="127">
                  <c:v>63.096380341805776</c:v>
                </c:pt>
                <c:pt idx="128">
                  <c:v>64.071885906121452</c:v>
                </c:pt>
                <c:pt idx="129">
                  <c:v>65.054102584610291</c:v>
                </c:pt>
                <c:pt idx="130">
                  <c:v>66.043008999694493</c:v>
                </c:pt>
                <c:pt idx="131">
                  <c:v>67.038583730228552</c:v>
                </c:pt>
                <c:pt idx="132">
                  <c:v>68.04080531192912</c:v>
                </c:pt>
                <c:pt idx="133">
                  <c:v>69.04965223780529</c:v>
                </c:pt>
                <c:pt idx="134">
                  <c:v>70.065102958589293</c:v>
                </c:pt>
                <c:pt idx="135">
                  <c:v>71.087135883167605</c:v>
                </c:pt>
                <c:pt idx="136">
                  <c:v>72.115729379012379</c:v>
                </c:pt>
                <c:pt idx="137">
                  <c:v>73.15086177261324</c:v>
                </c:pt>
                <c:pt idx="138">
                  <c:v>74.192511349909296</c:v>
                </c:pt>
                <c:pt idx="139">
                  <c:v>75.24065635672153</c:v>
                </c:pt>
                <c:pt idx="140">
                  <c:v>76.295274999185267</c:v>
                </c:pt>
                <c:pt idx="141">
                  <c:v>77.356345444182949</c:v>
                </c:pt>
                <c:pt idx="142">
                  <c:v>78.423845819777057</c:v>
                </c:pt>
                <c:pt idx="143">
                  <c:v>79.497754215643084</c:v>
                </c:pt>
                <c:pt idx="144">
                  <c:v>80.578048683502743</c:v>
                </c:pt>
                <c:pt idx="145">
                  <c:v>81.664707237557124</c:v>
                </c:pt>
                <c:pt idx="146">
                  <c:v>82.757707854919971</c:v>
                </c:pt>
                <c:pt idx="147">
                  <c:v>83.857028476050957</c:v>
                </c:pt>
                <c:pt idx="148">
                  <c:v>84.962647005188884</c:v>
                </c:pt>
                <c:pt idx="149">
                  <c:v>86.074541310784923</c:v>
                </c:pt>
                <c:pt idx="150">
                  <c:v>87.192689225935709</c:v>
                </c:pt>
                <c:pt idx="151">
                  <c:v>88.317068961453813</c:v>
                </c:pt>
                <c:pt idx="152">
                  <c:v>89.447659519146569</c:v>
                </c:pt>
                <c:pt idx="153">
                  <c:v>90.584440279702392</c:v>
                </c:pt>
                <c:pt idx="154">
                  <c:v>91.72739059035041</c:v>
                </c:pt>
                <c:pt idx="155">
                  <c:v>92.876489765256835</c:v>
                </c:pt>
                <c:pt idx="156">
                  <c:v>94.031717085921301</c:v>
                </c:pt>
                <c:pt idx="157">
                  <c:v>95.193051801573034</c:v>
                </c:pt>
                <c:pt idx="158">
                  <c:v>96.360473129566984</c:v>
                </c:pt>
                <c:pt idx="159">
                  <c:v>97.533960255779689</c:v>
                </c:pt>
                <c:pt idx="160">
                  <c:v>98.713492335005057</c:v>
                </c:pt>
                <c:pt idx="161">
                  <c:v>99.899048491349888</c:v>
                </c:pt>
                <c:pt idx="162">
                  <c:v>101.09060781862915</c:v>
                </c:pt>
                <c:pt idx="163">
                  <c:v>102.28814938076106</c:v>
                </c:pt>
                <c:pt idx="164">
                  <c:v>103.49165221216182</c:v>
                </c:pt>
                <c:pt idx="165">
                  <c:v>104.70109531814016</c:v>
                </c:pt>
                <c:pt idx="166">
                  <c:v>105.91645767529138</c:v>
                </c:pt>
                <c:pt idx="167">
                  <c:v>107.13771823189123</c:v>
                </c:pt>
                <c:pt idx="168">
                  <c:v>108.36485590828927</c:v>
                </c:pt>
                <c:pt idx="169">
                  <c:v>109.59784959730196</c:v>
                </c:pt>
                <c:pt idx="170">
                  <c:v>110.83667816460523</c:v>
                </c:pt>
                <c:pt idx="171">
                  <c:v>112.08132044912669</c:v>
                </c:pt>
                <c:pt idx="172">
                  <c:v>113.33175526343732</c:v>
                </c:pt>
                <c:pt idx="173">
                  <c:v>114.58796139414265</c:v>
                </c:pt>
                <c:pt idx="174">
                  <c:v>115.84991760227362</c:v>
                </c:pt>
                <c:pt idx="175">
                  <c:v>117.11760262367662</c:v>
                </c:pt>
                <c:pt idx="176">
                  <c:v>118.3909951694032</c:v>
                </c:pt>
                <c:pt idx="177">
                  <c:v>119.67007392609918</c:v>
                </c:pt>
                <c:pt idx="178">
                  <c:v>120.95481755639308</c:v>
                </c:pt>
                <c:pt idx="179">
                  <c:v>122.24520469928399</c:v>
                </c:pt>
                <c:pt idx="180">
                  <c:v>123.5412139705288</c:v>
                </c:pt>
                <c:pt idx="181">
                  <c:v>124.84282396302883</c:v>
                </c:pt>
                <c:pt idx="182">
                  <c:v>126.15001324721565</c:v>
                </c:pt>
                <c:pt idx="183">
                  <c:v>127.46276037143636</c:v>
                </c:pt>
                <c:pt idx="184">
                  <c:v>128.78104386233801</c:v>
                </c:pt>
                <c:pt idx="185">
                  <c:v>130.10484222525142</c:v>
                </c:pt>
                <c:pt idx="186">
                  <c:v>131.43413394457409</c:v>
                </c:pt>
                <c:pt idx="187">
                  <c:v>132.76889748415255</c:v>
                </c:pt>
                <c:pt idx="188">
                  <c:v>134.10911128766364</c:v>
                </c:pt>
                <c:pt idx="189">
                  <c:v>135.45475377899521</c:v>
                </c:pt>
                <c:pt idx="190">
                  <c:v>136.80580336262588</c:v>
                </c:pt>
                <c:pt idx="191">
                  <c:v>138.16223842400396</c:v>
                </c:pt>
                <c:pt idx="192">
                  <c:v>139.52403732992548</c:v>
                </c:pt>
                <c:pt idx="193">
                  <c:v>140.89117842891139</c:v>
                </c:pt>
                <c:pt idx="194">
                  <c:v>142.26364005158376</c:v>
                </c:pt>
                <c:pt idx="195">
                  <c:v>143.64140051104121</c:v>
                </c:pt>
                <c:pt idx="196">
                  <c:v>145.02443810323317</c:v>
                </c:pt>
                <c:pt idx="197">
                  <c:v>146.41273110733334</c:v>
                </c:pt>
                <c:pt idx="198">
                  <c:v>147.80625778611221</c:v>
                </c:pt>
                <c:pt idx="199">
                  <c:v>149.20499638630838</c:v>
                </c:pt>
                <c:pt idx="200">
                  <c:v>150.6089251389991</c:v>
                </c:pt>
                <c:pt idx="201">
                  <c:v>152.01802225996957</c:v>
                </c:pt>
                <c:pt idx="202">
                  <c:v>153.43226595008136</c:v>
                </c:pt>
                <c:pt idx="203">
                  <c:v>154.85163439563968</c:v>
                </c:pt>
                <c:pt idx="204">
                  <c:v>156.27610576875958</c:v>
                </c:pt>
                <c:pt idx="205">
                  <c:v>157.70565822773102</c:v>
                </c:pt>
                <c:pt idx="206">
                  <c:v>159.14026991738291</c:v>
                </c:pt>
                <c:pt idx="207">
                  <c:v>160.57991896944594</c:v>
                </c:pt>
                <c:pt idx="208">
                  <c:v>162.02458350291434</c:v>
                </c:pt>
                <c:pt idx="209">
                  <c:v>163.47424162440635</c:v>
                </c:pt>
                <c:pt idx="210">
                  <c:v>164.92887142852368</c:v>
                </c:pt>
                <c:pt idx="211">
                  <c:v>166.38845099820966</c:v>
                </c:pt>
                <c:pt idx="212">
                  <c:v>167.85295840510622</c:v>
                </c:pt>
                <c:pt idx="213">
                  <c:v>169.3223717099097</c:v>
                </c:pt>
                <c:pt idx="214">
                  <c:v>170.79666896272528</c:v>
                </c:pt>
                <c:pt idx="215">
                  <c:v>172.2758282034203</c:v>
                </c:pt>
                <c:pt idx="216">
                  <c:v>173.7598274619763</c:v>
                </c:pt>
                <c:pt idx="217">
                  <c:v>175.24864475883973</c:v>
                </c:pt>
                <c:pt idx="218">
                  <c:v>176.74225810527133</c:v>
                </c:pt>
                <c:pt idx="219">
                  <c:v>178.24064550369437</c:v>
                </c:pt>
                <c:pt idx="220">
                  <c:v>179.74378494804134</c:v>
                </c:pt>
                <c:pt idx="221">
                  <c:v>181.25165442409954</c:v>
                </c:pt>
                <c:pt idx="222">
                  <c:v>182.76423190985514</c:v>
                </c:pt>
                <c:pt idx="223">
                  <c:v>184.28149537583602</c:v>
                </c:pt>
                <c:pt idx="224">
                  <c:v>185.80342278545308</c:v>
                </c:pt>
                <c:pt idx="225">
                  <c:v>187.32999209534034</c:v>
                </c:pt>
                <c:pt idx="226">
                  <c:v>188.86118125569359</c:v>
                </c:pt>
                <c:pt idx="227">
                  <c:v>190.39696821060747</c:v>
                </c:pt>
                <c:pt idx="228">
                  <c:v>191.9373308984114</c:v>
                </c:pt>
                <c:pt idx="229">
                  <c:v>193.4822472520039</c:v>
                </c:pt>
                <c:pt idx="230">
                  <c:v>195.03169519918549</c:v>
                </c:pt>
                <c:pt idx="231">
                  <c:v>196.58565266299019</c:v>
                </c:pt>
                <c:pt idx="232">
                  <c:v>198.1440975620155</c:v>
                </c:pt>
                <c:pt idx="233">
                  <c:v>199.70700781075089</c:v>
                </c:pt>
                <c:pt idx="234">
                  <c:v>201.27436131990493</c:v>
                </c:pt>
                <c:pt idx="235">
                  <c:v>202.84613599673071</c:v>
                </c:pt>
                <c:pt idx="236">
                  <c:v>204.42230974534996</c:v>
                </c:pt>
                <c:pt idx="237">
                  <c:v>206.00286046707552</c:v>
                </c:pt>
                <c:pt idx="238">
                  <c:v>207.58776606073229</c:v>
                </c:pt>
                <c:pt idx="239">
                  <c:v>209.17700442297672</c:v>
                </c:pt>
                <c:pt idx="240">
                  <c:v>210.77055344861469</c:v>
                </c:pt>
                <c:pt idx="241">
                  <c:v>212.36839103091785</c:v>
                </c:pt>
                <c:pt idx="242">
                  <c:v>213.97049506193829</c:v>
                </c:pt>
                <c:pt idx="243">
                  <c:v>215.5768434328219</c:v>
                </c:pt>
                <c:pt idx="244">
                  <c:v>217.18741403411985</c:v>
                </c:pt>
                <c:pt idx="245">
                  <c:v>218.80218475609863</c:v>
                </c:pt>
                <c:pt idx="246">
                  <c:v>220.4211334890484</c:v>
                </c:pt>
                <c:pt idx="247">
                  <c:v>222.04423812358991</c:v>
                </c:pt>
                <c:pt idx="248">
                  <c:v>223.67147655097952</c:v>
                </c:pt>
                <c:pt idx="249">
                  <c:v>225.3028266634129</c:v>
                </c:pt>
                <c:pt idx="250">
                  <c:v>226.93826635432683</c:v>
                </c:pt>
                <c:pt idx="251">
                  <c:v>228.5777717415167</c:v>
                </c:pt>
                <c:pt idx="252">
                  <c:v>230.22131539081062</c:v>
                </c:pt>
                <c:pt idx="253">
                  <c:v>231.86886809579477</c:v>
                </c:pt>
                <c:pt idx="254">
                  <c:v>233.52040065703846</c:v>
                </c:pt>
                <c:pt idx="255">
                  <c:v>235.17588388250601</c:v>
                </c:pt>
                <c:pt idx="256">
                  <c:v>236.83528858796566</c:v>
                </c:pt>
                <c:pt idx="257">
                  <c:v>238.49858559739559</c:v>
                </c:pt>
                <c:pt idx="258">
                  <c:v>240.16574574338713</c:v>
                </c:pt>
                <c:pt idx="259">
                  <c:v>241.83673986754496</c:v>
                </c:pt>
                <c:pt idx="260">
                  <c:v>243.51153882088445</c:v>
                </c:pt>
                <c:pt idx="261">
                  <c:v>245.1901134642261</c:v>
                </c:pt>
                <c:pt idx="262">
                  <c:v>246.872434668587</c:v>
                </c:pt>
                <c:pt idx="263">
                  <c:v>248.55847331556933</c:v>
                </c:pt>
                <c:pt idx="264">
                  <c:v>250.248200297746</c:v>
                </c:pt>
                <c:pt idx="265">
                  <c:v>251.94158651904334</c:v>
                </c:pt>
                <c:pt idx="266">
                  <c:v>253.63860289512073</c:v>
                </c:pt>
                <c:pt idx="267">
                  <c:v>255.33922035374735</c:v>
                </c:pt>
                <c:pt idx="268">
                  <c:v>257.04340983517602</c:v>
                </c:pt>
                <c:pt idx="269">
                  <c:v>258.75114229251386</c:v>
                </c:pt>
                <c:pt idx="270">
                  <c:v>260.4623886920902</c:v>
                </c:pt>
                <c:pt idx="271">
                  <c:v>262.17712001382142</c:v>
                </c:pt>
                <c:pt idx="272">
                  <c:v>263.89530725157283</c:v>
                </c:pt>
                <c:pt idx="273">
                  <c:v>265.6169214135175</c:v>
                </c:pt>
                <c:pt idx="274">
                  <c:v>267.34193352249207</c:v>
                </c:pt>
                <c:pt idx="275">
                  <c:v>269.07031461634972</c:v>
                </c:pt>
                <c:pt idx="276">
                  <c:v>270.80203574831006</c:v>
                </c:pt>
                <c:pt idx="277">
                  <c:v>272.53706798730587</c:v>
                </c:pt>
                <c:pt idx="278">
                  <c:v>274.27538241832718</c:v>
                </c:pt>
                <c:pt idx="279">
                  <c:v>276.01695014276197</c:v>
                </c:pt>
                <c:pt idx="280">
                  <c:v>277.76174227873406</c:v>
                </c:pt>
                <c:pt idx="281">
                  <c:v>279.50972996143804</c:v>
                </c:pt>
                <c:pt idx="282">
                  <c:v>281.26088434347099</c:v>
                </c:pt>
                <c:pt idx="283">
                  <c:v>283.01517659516134</c:v>
                </c:pt>
                <c:pt idx="284">
                  <c:v>284.77257790489472</c:v>
                </c:pt>
                <c:pt idx="285">
                  <c:v>286.53305947943676</c:v>
                </c:pt>
                <c:pt idx="286">
                  <c:v>288.29659254425275</c:v>
                </c:pt>
                <c:pt idx="287">
                  <c:v>290.06314834382448</c:v>
                </c:pt>
                <c:pt idx="288">
                  <c:v>291.8326981419641</c:v>
                </c:pt>
                <c:pt idx="289">
                  <c:v>293.60521322212463</c:v>
                </c:pt>
                <c:pt idx="290">
                  <c:v>295.38066488770789</c:v>
                </c:pt>
                <c:pt idx="291">
                  <c:v>297.15902446236902</c:v>
                </c:pt>
                <c:pt idx="292">
                  <c:v>298.94026329031823</c:v>
                </c:pt>
                <c:pt idx="293">
                  <c:v>300.72435273661966</c:v>
                </c:pt>
                <c:pt idx="294">
                  <c:v>302.5112641874868</c:v>
                </c:pt>
                <c:pt idx="295">
                  <c:v>304.30096905057525</c:v>
                </c:pt>
                <c:pt idx="296">
                  <c:v>306.09343875527242</c:v>
                </c:pt>
                <c:pt idx="297">
                  <c:v>307.88864475298419</c:v>
                </c:pt>
                <c:pt idx="298">
                  <c:v>309.68653902881954</c:v>
                </c:pt>
                <c:pt idx="299">
                  <c:v>311.48703462730384</c:v>
                </c:pt>
                <c:pt idx="300">
                  <c:v>313.29002517959941</c:v>
                </c:pt>
                <c:pt idx="301">
                  <c:v>315.0954044176608</c:v>
                </c:pt>
                <c:pt idx="302">
                  <c:v>316.90306617642699</c:v>
                </c:pt>
                <c:pt idx="303">
                  <c:v>318.71290439597681</c:v>
                </c:pt>
                <c:pt idx="304">
                  <c:v>320.52481312364716</c:v>
                </c:pt>
                <c:pt idx="305">
                  <c:v>322.33868651611465</c:v>
                </c:pt>
                <c:pt idx="306">
                  <c:v>324.15441884143996</c:v>
                </c:pt>
                <c:pt idx="307">
                  <c:v>325.97190448107568</c:v>
                </c:pt>
                <c:pt idx="308">
                  <c:v>327.7910379318372</c:v>
                </c:pt>
                <c:pt idx="309">
                  <c:v>329.61171380783691</c:v>
                </c:pt>
                <c:pt idx="310">
                  <c:v>331.43382684238179</c:v>
                </c:pt>
                <c:pt idx="311">
                  <c:v>333.25727188983433</c:v>
                </c:pt>
                <c:pt idx="312">
                  <c:v>335.08194392743701</c:v>
                </c:pt>
                <c:pt idx="313">
                  <c:v>336.90773805710018</c:v>
                </c:pt>
                <c:pt idx="314">
                  <c:v>338.73454950715393</c:v>
                </c:pt>
                <c:pt idx="315">
                  <c:v>340.56227363406327</c:v>
                </c:pt>
                <c:pt idx="316">
                  <c:v>342.39080592410761</c:v>
                </c:pt>
                <c:pt idx="317">
                  <c:v>344.22004199502368</c:v>
                </c:pt>
                <c:pt idx="318">
                  <c:v>346.04987759761303</c:v>
                </c:pt>
                <c:pt idx="319">
                  <c:v>347.88020861731331</c:v>
                </c:pt>
                <c:pt idx="320">
                  <c:v>349.71093107573398</c:v>
                </c:pt>
                <c:pt idx="321">
                  <c:v>351.54194887936637</c:v>
                </c:pt>
                <c:pt idx="322">
                  <c:v>353.3731815586504</c:v>
                </c:pt>
                <c:pt idx="323">
                  <c:v>355.20455650078401</c:v>
                </c:pt>
                <c:pt idx="324">
                  <c:v>357.03600119173421</c:v>
                </c:pt>
                <c:pt idx="325">
                  <c:v>358.86744321686359</c:v>
                </c:pt>
                <c:pt idx="326">
                  <c:v>360.69881026154013</c:v>
                </c:pt>
                <c:pt idx="327">
                  <c:v>362.53003011172962</c:v>
                </c:pt>
                <c:pt idx="328">
                  <c:v>364.36103065457144</c:v>
                </c:pt>
                <c:pt idx="329">
                  <c:v>366.19173987893748</c:v>
                </c:pt>
                <c:pt idx="330">
                  <c:v>368.02208587597414</c:v>
                </c:pt>
                <c:pt idx="331">
                  <c:v>369.85199683962787</c:v>
                </c:pt>
                <c:pt idx="332">
                  <c:v>371.68140106715418</c:v>
                </c:pt>
                <c:pt idx="333">
                  <c:v>373.51022695960978</c:v>
                </c:pt>
                <c:pt idx="334">
                  <c:v>375.33840302232892</c:v>
                </c:pt>
                <c:pt idx="335">
                  <c:v>377.16585786538303</c:v>
                </c:pt>
                <c:pt idx="336">
                  <c:v>378.99252020402429</c:v>
                </c:pt>
                <c:pt idx="337">
                  <c:v>380.81831885911299</c:v>
                </c:pt>
                <c:pt idx="338">
                  <c:v>382.64318275752919</c:v>
                </c:pt>
                <c:pt idx="339">
                  <c:v>384.46704093256801</c:v>
                </c:pt>
                <c:pt idx="340">
                  <c:v>386.28982252431962</c:v>
                </c:pt>
                <c:pt idx="341">
                  <c:v>388.11145678003294</c:v>
                </c:pt>
                <c:pt idx="342">
                  <c:v>389.93187305446429</c:v>
                </c:pt>
                <c:pt idx="343">
                  <c:v>391.75100081021003</c:v>
                </c:pt>
                <c:pt idx="344">
                  <c:v>393.56876961802419</c:v>
                </c:pt>
                <c:pt idx="345">
                  <c:v>395.38510915712038</c:v>
                </c:pt>
                <c:pt idx="346">
                  <c:v>397.1999492154589</c:v>
                </c:pt>
                <c:pt idx="347">
                  <c:v>399.01321969001833</c:v>
                </c:pt>
                <c:pt idx="348">
                  <c:v>400.82485142223686</c:v>
                </c:pt>
                <c:pt idx="349">
                  <c:v>402.63477703209844</c:v>
                </c:pt>
                <c:pt idx="350">
                  <c:v>404.44293008043405</c:v>
                </c:pt>
                <c:pt idx="351">
                  <c:v>406.24924423252725</c:v>
                </c:pt>
                <c:pt idx="352">
                  <c:v>408.05365325827097</c:v>
                </c:pt>
                <c:pt idx="353">
                  <c:v>409.85609103231076</c:v>
                </c:pt>
                <c:pt idx="354">
                  <c:v>411.65649153417553</c:v>
                </c:pt>
                <c:pt idx="355">
                  <c:v>413.45478884839497</c:v>
                </c:pt>
                <c:pt idx="356">
                  <c:v>415.25091716460474</c:v>
                </c:pt>
                <c:pt idx="357">
                  <c:v>417.04481077763842</c:v>
                </c:pt>
                <c:pt idx="358">
                  <c:v>418.83640408760721</c:v>
                </c:pt>
                <c:pt idx="359">
                  <c:v>420.62563159996722</c:v>
                </c:pt>
                <c:pt idx="360">
                  <c:v>422.41244529304026</c:v>
                </c:pt>
                <c:pt idx="361">
                  <c:v>424.19683195549652</c:v>
                </c:pt>
                <c:pt idx="362">
                  <c:v>425.97879575924941</c:v>
                </c:pt>
                <c:pt idx="363">
                  <c:v>427.75834086238825</c:v>
                </c:pt>
                <c:pt idx="364">
                  <c:v>429.53547140923843</c:v>
                </c:pt>
                <c:pt idx="365">
                  <c:v>431.31019153042092</c:v>
                </c:pt>
                <c:pt idx="366">
                  <c:v>433.08250534291182</c:v>
                </c:pt>
                <c:pt idx="367">
                  <c:v>434.8524169501012</c:v>
                </c:pt>
                <c:pt idx="368">
                  <c:v>436.61993044185203</c:v>
                </c:pt>
                <c:pt idx="369">
                  <c:v>438.38504989455845</c:v>
                </c:pt>
                <c:pt idx="370">
                  <c:v>440.1477793712038</c:v>
                </c:pt>
                <c:pt idx="371">
                  <c:v>441.90812292141857</c:v>
                </c:pt>
                <c:pt idx="372">
                  <c:v>443.66608458153763</c:v>
                </c:pt>
                <c:pt idx="373">
                  <c:v>445.42166837465754</c:v>
                </c:pt>
                <c:pt idx="374">
                  <c:v>447.17487831069315</c:v>
                </c:pt>
                <c:pt idx="375">
                  <c:v>448.92571838643437</c:v>
                </c:pt>
                <c:pt idx="376">
                  <c:v>450.67419258560221</c:v>
                </c:pt>
                <c:pt idx="377">
                  <c:v>452.42030487890469</c:v>
                </c:pt>
                <c:pt idx="378">
                  <c:v>454.1640592240924</c:v>
                </c:pt>
                <c:pt idx="379">
                  <c:v>455.90545956601397</c:v>
                </c:pt>
                <c:pt idx="380">
                  <c:v>457.64450983667092</c:v>
                </c:pt>
                <c:pt idx="381">
                  <c:v>459.3812139552723</c:v>
                </c:pt>
                <c:pt idx="382">
                  <c:v>461.1155758282892</c:v>
                </c:pt>
                <c:pt idx="383">
                  <c:v>462.84759934950887</c:v>
                </c:pt>
                <c:pt idx="384">
                  <c:v>464.57728840008843</c:v>
                </c:pt>
                <c:pt idx="385">
                  <c:v>466.30464684860851</c:v>
                </c:pt>
                <c:pt idx="386">
                  <c:v>468.02967855112644</c:v>
                </c:pt>
                <c:pt idx="387">
                  <c:v>469.75238735122917</c:v>
                </c:pt>
                <c:pt idx="388">
                  <c:v>471.47277708008602</c:v>
                </c:pt>
                <c:pt idx="389">
                  <c:v>473.19085155650095</c:v>
                </c:pt>
                <c:pt idx="390">
                  <c:v>474.90661458696474</c:v>
                </c:pt>
                <c:pt idx="391">
                  <c:v>476.62006996570688</c:v>
                </c:pt>
                <c:pt idx="392">
                  <c:v>478.331221474747</c:v>
                </c:pt>
                <c:pt idx="393">
                  <c:v>480.04007288394615</c:v>
                </c:pt>
                <c:pt idx="394">
                  <c:v>481.74662795105797</c:v>
                </c:pt>
                <c:pt idx="395">
                  <c:v>483.45089042177915</c:v>
                </c:pt>
                <c:pt idx="396">
                  <c:v>485.15286402980018</c:v>
                </c:pt>
                <c:pt idx="397">
                  <c:v>486.85255249685531</c:v>
                </c:pt>
                <c:pt idx="398">
                  <c:v>488.54995953277256</c:v>
                </c:pt>
                <c:pt idx="399">
                  <c:v>490.24508883552346</c:v>
                </c:pt>
                <c:pt idx="400">
                  <c:v>491.93794409127236</c:v>
                </c:pt>
                <c:pt idx="401">
                  <c:v>508.74170869813679</c:v>
                </c:pt>
                <c:pt idx="402">
                  <c:v>525.32043421578862</c:v>
                </c:pt>
                <c:pt idx="403">
                  <c:v>541.67769313597285</c:v>
                </c:pt>
                <c:pt idx="404">
                  <c:v>557.81694627271884</c:v>
                </c:pt>
                <c:pt idx="405">
                  <c:v>573.74154726872325</c:v>
                </c:pt>
                <c:pt idx="406">
                  <c:v>589.45474687242347</c:v>
                </c:pt>
                <c:pt idx="407">
                  <c:v>604.95969699966679</c:v>
                </c:pt>
                <c:pt idx="408">
                  <c:v>620.25945459289983</c:v>
                </c:pt>
                <c:pt idx="409">
                  <c:v>635.35698528990451</c:v>
                </c:pt>
                <c:pt idx="410">
                  <c:v>650.25516691327471</c:v>
                </c:pt>
                <c:pt idx="411">
                  <c:v>664.95679279106696</c:v>
                </c:pt>
                <c:pt idx="412">
                  <c:v>679.46457491835042</c:v>
                </c:pt>
                <c:pt idx="413">
                  <c:v>693.78114696873206</c:v>
                </c:pt>
                <c:pt idx="414">
                  <c:v>707.90906716433108</c:v>
                </c:pt>
                <c:pt idx="415">
                  <c:v>721.85082101211958</c:v>
                </c:pt>
                <c:pt idx="416">
                  <c:v>735.60882391403356</c:v>
                </c:pt>
                <c:pt idx="417">
                  <c:v>749.18542365777955</c:v>
                </c:pt>
                <c:pt idx="418">
                  <c:v>762.58290279482071</c:v>
                </c:pt>
                <c:pt idx="419">
                  <c:v>775.80348091161773</c:v>
                </c:pt>
                <c:pt idx="420">
                  <c:v>788.84931679981707</c:v>
                </c:pt>
                <c:pt idx="421">
                  <c:v>801.72251053072819</c:v>
                </c:pt>
                <c:pt idx="422">
                  <c:v>814.42510543910043</c:v>
                </c:pt>
                <c:pt idx="423">
                  <c:v>826.95909002090661</c:v>
                </c:pt>
                <c:pt idx="424">
                  <c:v>839.32639974955487</c:v>
                </c:pt>
                <c:pt idx="425">
                  <c:v>851.52891881468611</c:v>
                </c:pt>
                <c:pt idx="426">
                  <c:v>863.56848178746645</c:v>
                </c:pt>
                <c:pt idx="427">
                  <c:v>875.44687521605545</c:v>
                </c:pt>
                <c:pt idx="428">
                  <c:v>887.16583915471449</c:v>
                </c:pt>
                <c:pt idx="429">
                  <c:v>898.72706862982056</c:v>
                </c:pt>
                <c:pt idx="430">
                  <c:v>910.1322150458617</c:v>
                </c:pt>
                <c:pt idx="431">
                  <c:v>921.38288753431664</c:v>
                </c:pt>
                <c:pt idx="432">
                  <c:v>932.48065424815627</c:v>
                </c:pt>
                <c:pt idx="433">
                  <c:v>943.42704360455195</c:v>
                </c:pt>
                <c:pt idx="434">
                  <c:v>954.22354547823136</c:v>
                </c:pt>
                <c:pt idx="435">
                  <c:v>964.87161234778898</c:v>
                </c:pt>
                <c:pt idx="436">
                  <c:v>975.37266039713097</c:v>
                </c:pt>
                <c:pt idx="437">
                  <c:v>985.72807057411683</c:v>
                </c:pt>
                <c:pt idx="438">
                  <c:v>995.9391896083489</c:v>
                </c:pt>
                <c:pt idx="439">
                  <c:v>1006.0073309899566</c:v>
                </c:pt>
                <c:pt idx="440">
                  <c:v>1015.9337759111237</c:v>
                </c:pt>
                <c:pt idx="441">
                  <c:v>1025.719774172017</c:v>
                </c:pt>
                <c:pt idx="442">
                  <c:v>1035.3665450526839</c:v>
                </c:pt>
                <c:pt idx="443">
                  <c:v>1044.875278152412</c:v>
                </c:pt>
                <c:pt idx="444">
                  <c:v>1054.2471341979578</c:v>
                </c:pt>
                <c:pt idx="445">
                  <c:v>1063.4832458219901</c:v>
                </c:pt>
                <c:pt idx="446">
                  <c:v>1072.5847183130143</c:v>
                </c:pt>
                <c:pt idx="447">
                  <c:v>1081.552630337992</c:v>
                </c:pt>
                <c:pt idx="448">
                  <c:v>1090.3880346387982</c:v>
                </c:pt>
                <c:pt idx="449">
                  <c:v>1099.0919587036096</c:v>
                </c:pt>
                <c:pt idx="450">
                  <c:v>1107.6654054142596</c:v>
                </c:pt>
                <c:pt idx="451">
                  <c:v>1116.1093536705466</c:v>
                </c:pt>
                <c:pt idx="452">
                  <c:v>1124.4247589924344</c:v>
                </c:pt>
                <c:pt idx="453">
                  <c:v>1132.6125541010347</c:v>
                </c:pt>
                <c:pt idx="454">
                  <c:v>1140.6736494792249</c:v>
                </c:pt>
                <c:pt idx="455">
                  <c:v>1148.6089339127091</c:v>
                </c:pt>
                <c:pt idx="456">
                  <c:v>1156.4192750122916</c:v>
                </c:pt>
                <c:pt idx="457">
                  <c:v>1164.1055197181008</c:v>
                </c:pt>
                <c:pt idx="458">
                  <c:v>1171.6684947864621</c:v>
                </c:pt>
                <c:pt idx="459">
                  <c:v>1179.1090072600871</c:v>
                </c:pt>
                <c:pt idx="460">
                  <c:v>1186.4278449222165</c:v>
                </c:pt>
                <c:pt idx="461">
                  <c:v>1193.6257767353268</c:v>
                </c:pt>
                <c:pt idx="462">
                  <c:v>1200.7035532649761</c:v>
                </c:pt>
                <c:pt idx="463">
                  <c:v>1207.6619070893473</c:v>
                </c:pt>
                <c:pt idx="464">
                  <c:v>1214.5015531950157</c:v>
                </c:pt>
                <c:pt idx="465">
                  <c:v>1221.223189359446</c:v>
                </c:pt>
                <c:pt idx="466">
                  <c:v>1227.8274965207022</c:v>
                </c:pt>
                <c:pt idx="467">
                  <c:v>1234.3151391348322</c:v>
                </c:pt>
                <c:pt idx="468">
                  <c:v>1240.6867655213678</c:v>
                </c:pt>
                <c:pt idx="469">
                  <c:v>1246.9430081973626</c:v>
                </c:pt>
                <c:pt idx="470">
                  <c:v>1253.0844842003723</c:v>
                </c:pt>
                <c:pt idx="471">
                  <c:v>1259.1117954007639</c:v>
                </c:pt>
                <c:pt idx="472">
                  <c:v>1265.0255288037229</c:v>
                </c:pt>
                <c:pt idx="473">
                  <c:v>1270.8262568413163</c:v>
                </c:pt>
                <c:pt idx="474">
                  <c:v>1276.5145376549481</c:v>
                </c:pt>
                <c:pt idx="475">
                  <c:v>1282.0909153685357</c:v>
                </c:pt>
                <c:pt idx="476">
                  <c:v>1287.5559203527191</c:v>
                </c:pt>
                <c:pt idx="477">
                  <c:v>1292.9100694804038</c:v>
                </c:pt>
                <c:pt idx="478">
                  <c:v>1298.1538663739252</c:v>
                </c:pt>
                <c:pt idx="479">
                  <c:v>1303.2878016441125</c:v>
                </c:pt>
                <c:pt idx="480">
                  <c:v>1308.3123531215192</c:v>
                </c:pt>
                <c:pt idx="481">
                  <c:v>1313.2279860800759</c:v>
                </c:pt>
                <c:pt idx="482">
                  <c:v>1318.0351534534157</c:v>
                </c:pt>
                <c:pt idx="483">
                  <c:v>1322.7342960441085</c:v>
                </c:pt>
                <c:pt idx="484">
                  <c:v>1327.3258427260391</c:v>
                </c:pt>
                <c:pt idx="485">
                  <c:v>1331.8102106401502</c:v>
                </c:pt>
                <c:pt idx="486">
                  <c:v>1336.1878053837709</c:v>
                </c:pt>
                <c:pt idx="487">
                  <c:v>1340.4590211937407</c:v>
                </c:pt>
                <c:pt idx="488">
                  <c:v>1344.6242411235373</c:v>
                </c:pt>
                <c:pt idx="489">
                  <c:v>1348.6838372146121</c:v>
                </c:pt>
                <c:pt idx="490">
                  <c:v>1352.6381706621301</c:v>
                </c:pt>
                <c:pt idx="491">
                  <c:v>1356.4875919753163</c:v>
                </c:pt>
                <c:pt idx="492">
                  <c:v>1360.2324411326028</c:v>
                </c:pt>
                <c:pt idx="493">
                  <c:v>1363.8730477317736</c:v>
                </c:pt>
                <c:pt idx="494">
                  <c:v>1367.4097311353069</c:v>
                </c:pt>
                <c:pt idx="495">
                  <c:v>1370.8428006111189</c:v>
                </c:pt>
                <c:pt idx="496">
                  <c:v>1374.1725554689144</c:v>
                </c:pt>
                <c:pt idx="497">
                  <c:v>1377.3992851923631</c:v>
                </c:pt>
                <c:pt idx="498">
                  <c:v>1380.5232695673267</c:v>
                </c:pt>
                <c:pt idx="499">
                  <c:v>1383.5447788063821</c:v>
                </c:pt>
                <c:pt idx="500">
                  <c:v>1386.4640736698959</c:v>
                </c:pt>
                <c:pt idx="501">
                  <c:v>1389.281405583939</c:v>
                </c:pt>
                <c:pt idx="502">
                  <c:v>1391.9970167553495</c:v>
                </c:pt>
                <c:pt idx="503">
                  <c:v>1394.6111402842989</c:v>
                </c:pt>
                <c:pt idx="504">
                  <c:v>1397.1240002747543</c:v>
                </c:pt>
                <c:pt idx="505">
                  <c:v>1399.5358119432899</c:v>
                </c:pt>
                <c:pt idx="506">
                  <c:v>1401.8467817267717</c:v>
                </c:pt>
                <c:pt idx="507">
                  <c:v>1404.0571073895258</c:v>
                </c:pt>
                <c:pt idx="508">
                  <c:v>1406.1669781307037</c:v>
                </c:pt>
                <c:pt idx="509">
                  <c:v>1408.1765746926978</c:v>
                </c:pt>
                <c:pt idx="510">
                  <c:v>1410.0860694716116</c:v>
                </c:pt>
                <c:pt idx="511">
                  <c:v>1411.8956266309951</c:v>
                </c:pt>
                <c:pt idx="512">
                  <c:v>1413.6054022202916</c:v>
                </c:pt>
                <c:pt idx="513">
                  <c:v>1415.2155442997348</c:v>
                </c:pt>
                <c:pt idx="514">
                  <c:v>1416.7261930737914</c:v>
                </c:pt>
                <c:pt idx="515">
                  <c:v>1418.137481035656</c:v>
                </c:pt>
                <c:pt idx="516">
                  <c:v>1419.4495331258038</c:v>
                </c:pt>
                <c:pt idx="517">
                  <c:v>1420.6624669081712</c:v>
                </c:pt>
                <c:pt idx="518">
                  <c:v>1421.7763927681699</c:v>
                </c:pt>
                <c:pt idx="519">
                  <c:v>1422.791414137426</c:v>
                </c:pt>
                <c:pt idx="520">
                  <c:v>1423.7076277508202</c:v>
                </c:pt>
                <c:pt idx="521">
                  <c:v>1424.525123942039</c:v>
                </c:pt>
                <c:pt idx="522">
                  <c:v>1425.2439869842974</c:v>
                </c:pt>
                <c:pt idx="523">
                  <c:v>1425.8642954830227</c:v>
                </c:pt>
                <c:pt idx="524">
                  <c:v>1426.3861228269077</c:v>
                </c:pt>
                <c:pt idx="525">
                  <c:v>1426.8095377026211</c:v>
                </c:pt>
                <c:pt idx="526">
                  <c:v>1427.1346046764331</c:v>
                </c:pt>
                <c:pt idx="527">
                  <c:v>1427.36138484295</c:v>
                </c:pt>
                <c:pt idx="528">
                  <c:v>1427.4899365371464</c:v>
                </c:pt>
                <c:pt idx="529">
                  <c:v>1427.5203161012212</c:v>
                </c:pt>
                <c:pt idx="530">
                  <c:v>1427.4525786930656</c:v>
                </c:pt>
                <c:pt idx="531">
                  <c:v>1427.2867791190511</c:v>
                </c:pt>
                <c:pt idx="532">
                  <c:v>1427.0229726711766</c:v>
                </c:pt>
                <c:pt idx="533">
                  <c:v>1426.6612159478925</c:v>
                </c:pt>
                <c:pt idx="534">
                  <c:v>1426.2015676393048</c:v>
                </c:pt>
                <c:pt idx="535">
                  <c:v>1425.6440892606629</c:v>
                </c:pt>
                <c:pt idx="536">
                  <c:v>1424.9888458224182</c:v>
                </c:pt>
                <c:pt idx="537">
                  <c:v>1424.2359064299444</c:v>
                </c:pt>
                <c:pt idx="538">
                  <c:v>1423.3853448105212</c:v>
                </c:pt>
                <c:pt idx="539">
                  <c:v>1422.4372397689165</c:v>
                </c:pt>
                <c:pt idx="540">
                  <c:v>1421.3916755756338</c:v>
                </c:pt>
                <c:pt idx="541">
                  <c:v>1420.2487422936156</c:v>
                </c:pt>
                <c:pt idx="542">
                  <c:v>1419.0085360500375</c:v>
                </c:pt>
                <c:pt idx="543">
                  <c:v>1417.6711592600197</c:v>
                </c:pt>
                <c:pt idx="544">
                  <c:v>1416.2367208088176</c:v>
                </c:pt>
                <c:pt idx="545">
                  <c:v>1414.7053361985118</c:v>
                </c:pt>
                <c:pt idx="546">
                  <c:v>1413.077127664556</c:v>
                </c:pt>
                <c:pt idx="547">
                  <c:v>1411.3522242668337</c:v>
                </c:pt>
                <c:pt idx="548">
                  <c:v>1409.5307619591961</c:v>
                </c:pt>
                <c:pt idx="549">
                  <c:v>1407.6128836408323</c:v>
                </c:pt>
                <c:pt idx="550">
                  <c:v>1405.5987391922722</c:v>
                </c:pt>
                <c:pt idx="551">
                  <c:v>1403.4884854983536</c:v>
                </c:pt>
                <c:pt idx="552">
                  <c:v>1401.2822864600785</c:v>
                </c:pt>
                <c:pt idx="553">
                  <c:v>1398.9803129969557</c:v>
                </c:pt>
                <c:pt idx="554">
                  <c:v>1396.5827430411439</c:v>
                </c:pt>
                <c:pt idx="555">
                  <c:v>1394.089761524483</c:v>
                </c:pt>
                <c:pt idx="556">
                  <c:v>1391.5015603593147</c:v>
                </c:pt>
                <c:pt idx="557">
                  <c:v>1388.8183384138381</c:v>
                </c:pt>
                <c:pt idx="558">
                  <c:v>1386.0403014826225</c:v>
                </c:pt>
                <c:pt idx="559">
                  <c:v>1383.1676622527946</c:v>
                </c:pt>
                <c:pt idx="560">
                  <c:v>1380.2006402663362</c:v>
                </c:pt>
                <c:pt idx="561">
                  <c:v>1377.139461878859</c:v>
                </c:pt>
                <c:pt idx="562">
                  <c:v>1373.9843602151655</c:v>
                </c:pt>
                <c:pt idx="563">
                  <c:v>1370.7355751218606</c:v>
                </c:pt>
                <c:pt idx="564">
                  <c:v>1367.3933531172431</c:v>
                </c:pt>
                <c:pt idx="565">
                  <c:v>1363.957947338668</c:v>
                </c:pt>
                <c:pt idx="566">
                  <c:v>1360.4296174875526</c:v>
                </c:pt>
                <c:pt idx="567">
                  <c:v>1356.8086297721736</c:v>
                </c:pt>
                <c:pt idx="568">
                  <c:v>1353.0952568483872</c:v>
                </c:pt>
                <c:pt idx="569">
                  <c:v>1349.2897777583858</c:v>
                </c:pt>
                <c:pt idx="570">
                  <c:v>1345.3924778675998</c:v>
                </c:pt>
                <c:pt idx="571">
                  <c:v>1341.4036487998349</c:v>
                </c:pt>
                <c:pt idx="572">
                  <c:v>1337.3235883707307</c:v>
                </c:pt>
                <c:pt idx="573">
                  <c:v>1333.1526005196226</c:v>
                </c:pt>
                <c:pt idx="574">
                  <c:v>1328.8909952398756</c:v>
                </c:pt>
                <c:pt idx="575">
                  <c:v>1324.5390885077584</c:v>
                </c:pt>
                <c:pt idx="576">
                  <c:v>1320.0972022099247</c:v>
                </c:pt>
                <c:pt idx="577">
                  <c:v>1315.5656640695559</c:v>
                </c:pt>
                <c:pt idx="578">
                  <c:v>1310.944807571226</c:v>
                </c:pt>
                <c:pt idx="579">
                  <c:v>1306.2349718845428</c:v>
                </c:pt>
                <c:pt idx="580">
                  <c:v>1301.4365017866155</c:v>
                </c:pt>
                <c:pt idx="581">
                  <c:v>1296.5497475834002</c:v>
                </c:pt>
                <c:pt idx="582">
                  <c:v>1291.5750650299724</c:v>
                </c:pt>
                <c:pt idx="583">
                  <c:v>1286.5128152497732</c:v>
                </c:pt>
                <c:pt idx="584">
                  <c:v>1281.3633646528751</c:v>
                </c:pt>
                <c:pt idx="585">
                  <c:v>1276.1270848533143</c:v>
                </c:pt>
                <c:pt idx="586">
                  <c:v>1270.8043525855298</c:v>
                </c:pt>
                <c:pt idx="587">
                  <c:v>1265.395549619959</c:v>
                </c:pt>
                <c:pt idx="588">
                  <c:v>1259.9010626778252</c:v>
                </c:pt>
                <c:pt idx="589">
                  <c:v>1254.3212833451669</c:v>
                </c:pt>
                <c:pt idx="590">
                  <c:v>1248.6566079861432</c:v>
                </c:pt>
                <c:pt idx="591">
                  <c:v>1242.9074376556625</c:v>
                </c:pt>
                <c:pt idx="592">
                  <c:v>1237.074178011371</c:v>
                </c:pt>
                <c:pt idx="593">
                  <c:v>1231.1572392250437</c:v>
                </c:pt>
                <c:pt idx="594">
                  <c:v>1225.1570358934159</c:v>
                </c:pt>
                <c:pt idx="595">
                  <c:v>1219.0739869484978</c:v>
                </c:pt>
                <c:pt idx="596">
                  <c:v>1212.9085155674061</c:v>
                </c:pt>
                <c:pt idx="597">
                  <c:v>1206.6610490817568</c:v>
                </c:pt>
                <c:pt idx="598">
                  <c:v>1200.3320188866542</c:v>
                </c:pt>
                <c:pt idx="599">
                  <c:v>1193.9218603493148</c:v>
                </c:pt>
                <c:pt idx="600">
                  <c:v>1187.4310127173644</c:v>
                </c:pt>
                <c:pt idx="601">
                  <c:v>1180.8599190268453</c:v>
                </c:pt>
                <c:pt idx="602">
                  <c:v>1174.2090260099703</c:v>
                </c:pt>
                <c:pt idx="603">
                  <c:v>1167.4787840026606</c:v>
                </c:pt>
                <c:pt idx="604">
                  <c:v>1160.6696468519035</c:v>
                </c:pt>
                <c:pt idx="605">
                  <c:v>1153.7820718229659</c:v>
                </c:pt>
                <c:pt idx="606">
                  <c:v>1146.8165195064987</c:v>
                </c:pt>
                <c:pt idx="607">
                  <c:v>1139.7734537255674</c:v>
                </c:pt>
                <c:pt idx="608">
                  <c:v>1132.6533414426444</c:v>
                </c:pt>
                <c:pt idx="609">
                  <c:v>1125.4566526665956</c:v>
                </c:pt>
                <c:pt idx="610">
                  <c:v>1118.1838603596957</c:v>
                </c:pt>
                <c:pt idx="611">
                  <c:v>1110.835440344707</c:v>
                </c:pt>
                <c:pt idx="612">
                  <c:v>1103.4118712120528</c:v>
                </c:pt>
                <c:pt idx="613">
                  <c:v>1095.9136342271183</c:v>
                </c:pt>
                <c:pt idx="614">
                  <c:v>1088.3412132377121</c:v>
                </c:pt>
                <c:pt idx="615">
                  <c:v>1080.6950945817175</c:v>
                </c:pt>
                <c:pt idx="616">
                  <c:v>1072.9757669949688</c:v>
                </c:pt>
                <c:pt idx="617">
                  <c:v>1065.1837215193773</c:v>
                </c:pt>
                <c:pt idx="618">
                  <c:v>1057.3194514113432</c:v>
                </c:pt>
                <c:pt idx="619">
                  <c:v>1049.3834520504779</c:v>
                </c:pt>
                <c:pt idx="620">
                  <c:v>1041.3762208486692</c:v>
                </c:pt>
                <c:pt idx="621">
                  <c:v>1033.2982571595153</c:v>
                </c:pt>
                <c:pt idx="622">
                  <c:v>1025.1500621881576</c:v>
                </c:pt>
                <c:pt idx="623">
                  <c:v>1016.9321389015386</c:v>
                </c:pt>
                <c:pt idx="624">
                  <c:v>1008.6449919391113</c:v>
                </c:pt>
                <c:pt idx="625">
                  <c:v>1000.2891275240272</c:v>
                </c:pt>
                <c:pt idx="626">
                  <c:v>991.86505337482868</c:v>
                </c:pt>
                <c:pt idx="627">
                  <c:v>983.37327861766948</c:v>
                </c:pt>
                <c:pt idx="628">
                  <c:v>974.81431369908978</c:v>
                </c:pt>
                <c:pt idx="629">
                  <c:v>966.18867029936769</c:v>
                </c:pt>
                <c:pt idx="630">
                  <c:v>957.49686124647224</c:v>
                </c:pt>
                <c:pt idx="631">
                  <c:v>948.73940043063908</c:v>
                </c:pt>
                <c:pt idx="632">
                  <c:v>939.91680271959228</c:v>
                </c:pt>
                <c:pt idx="633">
                  <c:v>931.02958387443289</c:v>
                </c:pt>
                <c:pt idx="634">
                  <c:v>922.07826046621506</c:v>
                </c:pt>
                <c:pt idx="635">
                  <c:v>913.06334979323071</c:v>
                </c:pt>
                <c:pt idx="636">
                  <c:v>903.98536979902167</c:v>
                </c:pt>
                <c:pt idx="637">
                  <c:v>894.84483899113832</c:v>
                </c:pt>
                <c:pt idx="638">
                  <c:v>885.64227636066369</c:v>
                </c:pt>
                <c:pt idx="639">
                  <c:v>876.37820130252044</c:v>
                </c:pt>
                <c:pt idx="640">
                  <c:v>867.05313353657743</c:v>
                </c:pt>
                <c:pt idx="641">
                  <c:v>857.66759302957314</c:v>
                </c:pt>
                <c:pt idx="642">
                  <c:v>848.22209991787133</c:v>
                </c:pt>
                <c:pt idx="643">
                  <c:v>838.71717443106445</c:v>
                </c:pt>
                <c:pt idx="644">
                  <c:v>829.15333681643938</c:v>
                </c:pt>
                <c:pt idx="645">
                  <c:v>819.5311072643193</c:v>
                </c:pt>
                <c:pt idx="646">
                  <c:v>809.85100583429573</c:v>
                </c:pt>
                <c:pt idx="647">
                  <c:v>800.11355238236251</c:v>
                </c:pt>
                <c:pt idx="648">
                  <c:v>790.31926648896501</c:v>
                </c:pt>
                <c:pt idx="649">
                  <c:v>780.46866738797542</c:v>
                </c:pt>
                <c:pt idx="650">
                  <c:v>770.56227389660546</c:v>
                </c:pt>
                <c:pt idx="651">
                  <c:v>760.60060434626655</c:v>
                </c:pt>
                <c:pt idx="652">
                  <c:v>750.58417651438754</c:v>
                </c:pt>
                <c:pt idx="653">
                  <c:v>740.51350755719909</c:v>
                </c:pt>
                <c:pt idx="654">
                  <c:v>730.38911394349316</c:v>
                </c:pt>
                <c:pt idx="655">
                  <c:v>720.21151138936591</c:v>
                </c:pt>
                <c:pt idx="656">
                  <c:v>709.98121479395093</c:v>
                </c:pt>
                <c:pt idx="657">
                  <c:v>699.69873817615075</c:v>
                </c:pt>
                <c:pt idx="658">
                  <c:v>689.36459461237132</c:v>
                </c:pt>
                <c:pt idx="659">
                  <c:v>678.97929617526688</c:v>
                </c:pt>
                <c:pt idx="660">
                  <c:v>668.54335387349954</c:v>
                </c:pt>
                <c:pt idx="661">
                  <c:v>658.05727759251806</c:v>
                </c:pt>
                <c:pt idx="662">
                  <c:v>647.52157603636101</c:v>
                </c:pt>
                <c:pt idx="663">
                  <c:v>636.93675667048637</c:v>
                </c:pt>
                <c:pt idx="664">
                  <c:v>626.30332566563243</c:v>
                </c:pt>
                <c:pt idx="665">
                  <c:v>615.62178784271111</c:v>
                </c:pt>
                <c:pt idx="666">
                  <c:v>604.89264661873653</c:v>
                </c:pt>
                <c:pt idx="667">
                  <c:v>594.11640395379038</c:v>
                </c:pt>
                <c:pt idx="668">
                  <c:v>583.29356029902522</c:v>
                </c:pt>
                <c:pt idx="669">
                  <c:v>572.42461454570571</c:v>
                </c:pt>
                <c:pt idx="670">
                  <c:v>561.51006397528909</c:v>
                </c:pt>
                <c:pt idx="671">
                  <c:v>550.55040421054366</c:v>
                </c:pt>
                <c:pt idx="672">
                  <c:v>539.54612916770498</c:v>
                </c:pt>
                <c:pt idx="673">
                  <c:v>528.49773100966831</c:v>
                </c:pt>
                <c:pt idx="674">
                  <c:v>517.40570010021645</c:v>
                </c:pt>
                <c:pt idx="675">
                  <c:v>506.2705249592795</c:v>
                </c:pt>
                <c:pt idx="676">
                  <c:v>495.09269221922602</c:v>
                </c:pt>
                <c:pt idx="677">
                  <c:v>483.87268658218102</c:v>
                </c:pt>
                <c:pt idx="678">
                  <c:v>472.61099077836866</c:v>
                </c:pt>
                <c:pt idx="679">
                  <c:v>461.30808552547563</c:v>
                </c:pt>
                <c:pt idx="680">
                  <c:v>449.96444948903132</c:v>
                </c:pt>
                <c:pt idx="681">
                  <c:v>438.58055924380039</c:v>
                </c:pt>
                <c:pt idx="682">
                  <c:v>427.15688923618313</c:v>
                </c:pt>
                <c:pt idx="683">
                  <c:v>415.69391174761876</c:v>
                </c:pt>
                <c:pt idx="684">
                  <c:v>404.19209685898591</c:v>
                </c:pt>
                <c:pt idx="685">
                  <c:v>392.65191241599484</c:v>
                </c:pt>
                <c:pt idx="686">
                  <c:v>381.07382399556565</c:v>
                </c:pt>
                <c:pt idx="687">
                  <c:v>369.45829487318565</c:v>
                </c:pt>
                <c:pt idx="688">
                  <c:v>357.80578599123993</c:v>
                </c:pt>
                <c:pt idx="689">
                  <c:v>346.11675592830767</c:v>
                </c:pt>
                <c:pt idx="690">
                  <c:v>334.39166086941759</c:v>
                </c:pt>
                <c:pt idx="691">
                  <c:v>322.63095457725478</c:v>
                </c:pt>
                <c:pt idx="692">
                  <c:v>310.83508836431145</c:v>
                </c:pt>
                <c:pt idx="693">
                  <c:v>299.00451106597376</c:v>
                </c:pt>
                <c:pt idx="694">
                  <c:v>287.13966901453648</c:v>
                </c:pt>
                <c:pt idx="695">
                  <c:v>275.24100601413699</c:v>
                </c:pt>
                <c:pt idx="696">
                  <c:v>263.30896331660068</c:v>
                </c:pt>
                <c:pt idx="697">
                  <c:v>251.34397959818816</c:v>
                </c:pt>
                <c:pt idx="698">
                  <c:v>239.3464909372361</c:v>
                </c:pt>
                <c:pt idx="699">
                  <c:v>227.31693079268194</c:v>
                </c:pt>
                <c:pt idx="700">
                  <c:v>215.2557299834636</c:v>
                </c:pt>
                <c:pt idx="701">
                  <c:v>203.16331666878449</c:v>
                </c:pt>
                <c:pt idx="702">
                  <c:v>191.04011632923417</c:v>
                </c:pt>
                <c:pt idx="703">
                  <c:v>178.88655174875498</c:v>
                </c:pt>
                <c:pt idx="704">
                  <c:v>166.70304299744464</c:v>
                </c:pt>
                <c:pt idx="705">
                  <c:v>154.49000741518475</c:v>
                </c:pt>
                <c:pt idx="706">
                  <c:v>142.24785959608496</c:v>
                </c:pt>
                <c:pt idx="707">
                  <c:v>129.97701137373264</c:v>
                </c:pt>
                <c:pt idx="708">
                  <c:v>117.67787180723749</c:v>
                </c:pt>
                <c:pt idx="709">
                  <c:v>105.3508471680606</c:v>
                </c:pt>
                <c:pt idx="710">
                  <c:v>92.996340927617368</c:v>
                </c:pt>
                <c:pt idx="711">
                  <c:v>80.614753745643668</c:v>
                </c:pt>
                <c:pt idx="712">
                  <c:v>68.206483459314299</c:v>
                </c:pt>
                <c:pt idx="713">
                  <c:v>55.771925073103048</c:v>
                </c:pt>
                <c:pt idx="714">
                  <c:v>43.311470749373328</c:v>
                </c:pt>
                <c:pt idx="715">
                  <c:v>30.825509799688554</c:v>
                </c:pt>
                <c:pt idx="716">
                  <c:v>18.314428676831142</c:v>
                </c:pt>
                <c:pt idx="717">
                  <c:v>5.7786109675191106</c:v>
                </c:pt>
                <c:pt idx="718">
                  <c:v>-6.7815626141907881</c:v>
                </c:pt>
                <c:pt idx="719">
                  <c:v>-6.7941348827845758</c:v>
                </c:pt>
                <c:pt idx="720">
                  <c:v>-6.8067071751680173</c:v>
                </c:pt>
                <c:pt idx="721">
                  <c:v>-6.8192794913407386</c:v>
                </c:pt>
                <c:pt idx="722">
                  <c:v>-6.8318518313023677</c:v>
                </c:pt>
                <c:pt idx="723">
                  <c:v>-6.8444241950525324</c:v>
                </c:pt>
                <c:pt idx="724">
                  <c:v>-6.8569965825908588</c:v>
                </c:pt>
                <c:pt idx="725">
                  <c:v>-6.8695689939169746</c:v>
                </c:pt>
                <c:pt idx="726">
                  <c:v>-6.8821414290305079</c:v>
                </c:pt>
                <c:pt idx="727">
                  <c:v>-6.8947138879310845</c:v>
                </c:pt>
                <c:pt idx="728">
                  <c:v>-6.9072863706183325</c:v>
                </c:pt>
                <c:pt idx="729">
                  <c:v>-6.9198588770918796</c:v>
                </c:pt>
                <c:pt idx="730">
                  <c:v>-6.932431407351352</c:v>
                </c:pt>
                <c:pt idx="731">
                  <c:v>-6.9450039613963783</c:v>
                </c:pt>
                <c:pt idx="732">
                  <c:v>-6.9575765392265847</c:v>
                </c:pt>
                <c:pt idx="733">
                  <c:v>-6.970149140841599</c:v>
                </c:pt>
                <c:pt idx="734">
                  <c:v>-6.9827217662410481</c:v>
                </c:pt>
                <c:pt idx="735">
                  <c:v>-6.99529441542456</c:v>
                </c:pt>
                <c:pt idx="736">
                  <c:v>-7.0078670883917615</c:v>
                </c:pt>
                <c:pt idx="737">
                  <c:v>-7.0204397851422797</c:v>
                </c:pt>
                <c:pt idx="738">
                  <c:v>-7.0330125056757424</c:v>
                </c:pt>
                <c:pt idx="739">
                  <c:v>-7.0455852499917766</c:v>
                </c:pt>
                <c:pt idx="740">
                  <c:v>-7.0581580180900101</c:v>
                </c:pt>
                <c:pt idx="741">
                  <c:v>-7.0707308099700699</c:v>
                </c:pt>
                <c:pt idx="742">
                  <c:v>-7.0833036256315829</c:v>
                </c:pt>
                <c:pt idx="743">
                  <c:v>-7.095876465074177</c:v>
                </c:pt>
                <c:pt idx="744">
                  <c:v>-7.1084493282974792</c:v>
                </c:pt>
                <c:pt idx="745">
                  <c:v>-7.1210222153011165</c:v>
                </c:pt>
                <c:pt idx="746">
                  <c:v>-7.1335951260847166</c:v>
                </c:pt>
                <c:pt idx="747">
                  <c:v>-7.1461680606479074</c:v>
                </c:pt>
                <c:pt idx="748">
                  <c:v>-7.158741018990316</c:v>
                </c:pt>
                <c:pt idx="749">
                  <c:v>-7.1713140011115692</c:v>
                </c:pt>
                <c:pt idx="750">
                  <c:v>-7.183887007011295</c:v>
                </c:pt>
                <c:pt idx="751">
                  <c:v>-7.1964600366891203</c:v>
                </c:pt>
                <c:pt idx="752">
                  <c:v>-7.209033090144672</c:v>
                </c:pt>
                <c:pt idx="753">
                  <c:v>-7.221606167377578</c:v>
                </c:pt>
                <c:pt idx="754">
                  <c:v>-7.2341792683874662</c:v>
                </c:pt>
                <c:pt idx="755">
                  <c:v>-7.2467523931739635</c:v>
                </c:pt>
                <c:pt idx="756">
                  <c:v>-7.2593255417366969</c:v>
                </c:pt>
                <c:pt idx="757">
                  <c:v>-7.2718987140752942</c:v>
                </c:pt>
                <c:pt idx="758">
                  <c:v>-7.2844719101893824</c:v>
                </c:pt>
                <c:pt idx="759">
                  <c:v>-7.2970451300785895</c:v>
                </c:pt>
                <c:pt idx="760">
                  <c:v>-7.3096183737425422</c:v>
                </c:pt>
                <c:pt idx="761">
                  <c:v>-7.3221916411808676</c:v>
                </c:pt>
                <c:pt idx="762">
                  <c:v>-7.3347649323931936</c:v>
                </c:pt>
                <c:pt idx="763">
                  <c:v>-7.347338247379148</c:v>
                </c:pt>
                <c:pt idx="764">
                  <c:v>-7.3599115861383577</c:v>
                </c:pt>
                <c:pt idx="765">
                  <c:v>-7.3724849486704498</c:v>
                </c:pt>
                <c:pt idx="766">
                  <c:v>-7.385058334975052</c:v>
                </c:pt>
                <c:pt idx="767">
                  <c:v>-7.3976317450517923</c:v>
                </c:pt>
                <c:pt idx="768">
                  <c:v>-7.4102051789002976</c:v>
                </c:pt>
                <c:pt idx="769">
                  <c:v>-7.4227786365201949</c:v>
                </c:pt>
                <c:pt idx="770">
                  <c:v>-7.4353521179111119</c:v>
                </c:pt>
                <c:pt idx="771">
                  <c:v>-7.4479256230726758</c:v>
                </c:pt>
                <c:pt idx="772">
                  <c:v>-7.4604991520045143</c:v>
                </c:pt>
                <c:pt idx="773">
                  <c:v>-7.4730727047062553</c:v>
                </c:pt>
                <c:pt idx="774">
                  <c:v>-7.4856462811775257</c:v>
                </c:pt>
                <c:pt idx="775">
                  <c:v>-7.4982198814179526</c:v>
                </c:pt>
                <c:pt idx="776">
                  <c:v>-7.5107935054271637</c:v>
                </c:pt>
                <c:pt idx="777">
                  <c:v>-7.5233671532047861</c:v>
                </c:pt>
                <c:pt idx="778">
                  <c:v>-7.5359408247504476</c:v>
                </c:pt>
                <c:pt idx="779">
                  <c:v>-7.548514520063776</c:v>
                </c:pt>
                <c:pt idx="780">
                  <c:v>-7.5610882391443983</c:v>
                </c:pt>
                <c:pt idx="781">
                  <c:v>-7.5736619819919415</c:v>
                </c:pt>
                <c:pt idx="782">
                  <c:v>-7.5862357486060334</c:v>
                </c:pt>
                <c:pt idx="783">
                  <c:v>-7.598809538986302</c:v>
                </c:pt>
                <c:pt idx="784">
                  <c:v>-7.611383353132374</c:v>
                </c:pt>
                <c:pt idx="785">
                  <c:v>-7.6239571910438775</c:v>
                </c:pt>
                <c:pt idx="786">
                  <c:v>-7.6365310527204393</c:v>
                </c:pt>
                <c:pt idx="787">
                  <c:v>-7.6491049381616874</c:v>
                </c:pt>
                <c:pt idx="788">
                  <c:v>-7.6616788473672486</c:v>
                </c:pt>
                <c:pt idx="789">
                  <c:v>-7.6742527803367508</c:v>
                </c:pt>
                <c:pt idx="790">
                  <c:v>-7.6868267370698211</c:v>
                </c:pt>
                <c:pt idx="791">
                  <c:v>-7.6994007175660872</c:v>
                </c:pt>
                <c:pt idx="792">
                  <c:v>-7.7119747218251771</c:v>
                </c:pt>
                <c:pt idx="793">
                  <c:v>-7.7245487498467176</c:v>
                </c:pt>
                <c:pt idx="794">
                  <c:v>-7.7371228016303366</c:v>
                </c:pt>
                <c:pt idx="795">
                  <c:v>-7.7496968771756611</c:v>
                </c:pt>
                <c:pt idx="796">
                  <c:v>-7.762270976482319</c:v>
                </c:pt>
                <c:pt idx="797">
                  <c:v>-7.7748450995499372</c:v>
                </c:pt>
                <c:pt idx="798">
                  <c:v>-7.7874192463781435</c:v>
                </c:pt>
                <c:pt idx="799">
                  <c:v>-7.799993416966565</c:v>
                </c:pt>
                <c:pt idx="800">
                  <c:v>-7.8125676113148304</c:v>
                </c:pt>
                <c:pt idx="801">
                  <c:v>-7.8251418294225656</c:v>
                </c:pt>
                <c:pt idx="802">
                  <c:v>-7.8377160712893996</c:v>
                </c:pt>
                <c:pt idx="803">
                  <c:v>-7.8502903369149593</c:v>
                </c:pt>
                <c:pt idx="804">
                  <c:v>-7.8628646262988715</c:v>
                </c:pt>
                <c:pt idx="805">
                  <c:v>-7.8754389394407642</c:v>
                </c:pt>
                <c:pt idx="806">
                  <c:v>-7.8880132763402653</c:v>
                </c:pt>
                <c:pt idx="807">
                  <c:v>-7.9005876369970016</c:v>
                </c:pt>
                <c:pt idx="808">
                  <c:v>-7.9131620214106011</c:v>
                </c:pt>
                <c:pt idx="809">
                  <c:v>-7.9257364295806916</c:v>
                </c:pt>
                <c:pt idx="810">
                  <c:v>-7.9383108615069</c:v>
                </c:pt>
                <c:pt idx="811">
                  <c:v>-7.9508853171888543</c:v>
                </c:pt>
                <c:pt idx="812">
                  <c:v>-7.9634597966261813</c:v>
                </c:pt>
                <c:pt idx="813">
                  <c:v>-7.976034299818509</c:v>
                </c:pt>
                <c:pt idx="814">
                  <c:v>-7.9886088267654651</c:v>
                </c:pt>
                <c:pt idx="815">
                  <c:v>-8.0011833774666776</c:v>
                </c:pt>
                <c:pt idx="816">
                  <c:v>-8.0137579519217734</c:v>
                </c:pt>
                <c:pt idx="817">
                  <c:v>-8.0263325501303804</c:v>
                </c:pt>
                <c:pt idx="818">
                  <c:v>-8.0389071720921255</c:v>
                </c:pt>
                <c:pt idx="819">
                  <c:v>-8.0514818178066356</c:v>
                </c:pt>
                <c:pt idx="820">
                  <c:v>-8.0640564872735396</c:v>
                </c:pt>
                <c:pt idx="821">
                  <c:v>-8.0766311804924644</c:v>
                </c:pt>
                <c:pt idx="822">
                  <c:v>-8.089205897463037</c:v>
                </c:pt>
                <c:pt idx="823">
                  <c:v>-8.101780638184886</c:v>
                </c:pt>
                <c:pt idx="824">
                  <c:v>-8.1143554026576385</c:v>
                </c:pt>
                <c:pt idx="825">
                  <c:v>-8.1269301908809233</c:v>
                </c:pt>
                <c:pt idx="826">
                  <c:v>-8.1395050028543672</c:v>
                </c:pt>
                <c:pt idx="827">
                  <c:v>-8.1520798385775972</c:v>
                </c:pt>
                <c:pt idx="828">
                  <c:v>-8.1646546980502404</c:v>
                </c:pt>
                <c:pt idx="829">
                  <c:v>-8.1772295812719253</c:v>
                </c:pt>
                <c:pt idx="830">
                  <c:v>-8.1898044882422791</c:v>
                </c:pt>
                <c:pt idx="831">
                  <c:v>-8.2023794189609305</c:v>
                </c:pt>
                <c:pt idx="832">
                  <c:v>-8.2149543734275046</c:v>
                </c:pt>
                <c:pt idx="833">
                  <c:v>-8.2275293516416319</c:v>
                </c:pt>
                <c:pt idx="834">
                  <c:v>-8.2401043536029377</c:v>
                </c:pt>
                <c:pt idx="835">
                  <c:v>-8.2526793793110507</c:v>
                </c:pt>
                <c:pt idx="836">
                  <c:v>-8.2652544287655978</c:v>
                </c:pt>
                <c:pt idx="837">
                  <c:v>-8.2778295019662078</c:v>
                </c:pt>
                <c:pt idx="838">
                  <c:v>-8.2904045989125077</c:v>
                </c:pt>
                <c:pt idx="839">
                  <c:v>-8.3029797196041244</c:v>
                </c:pt>
                <c:pt idx="840">
                  <c:v>-8.3155548640406867</c:v>
                </c:pt>
                <c:pt idx="841">
                  <c:v>-8.3281300322218215</c:v>
                </c:pt>
                <c:pt idx="842">
                  <c:v>-8.3407052241471558</c:v>
                </c:pt>
                <c:pt idx="843">
                  <c:v>-8.3532804398163183</c:v>
                </c:pt>
                <c:pt idx="844">
                  <c:v>-8.365855679228936</c:v>
                </c:pt>
                <c:pt idx="845">
                  <c:v>-8.3784309423846359</c:v>
                </c:pt>
                <c:pt idx="846">
                  <c:v>-8.3910062292830467</c:v>
                </c:pt>
                <c:pt idx="847">
                  <c:v>-8.4035815399237954</c:v>
                </c:pt>
                <c:pt idx="848">
                  <c:v>-8.4161568743065107</c:v>
                </c:pt>
                <c:pt idx="849">
                  <c:v>-8.4287322324308196</c:v>
                </c:pt>
                <c:pt idx="850">
                  <c:v>-8.441307614296349</c:v>
                </c:pt>
                <c:pt idx="851">
                  <c:v>-8.4538830199027277</c:v>
                </c:pt>
                <c:pt idx="852">
                  <c:v>-8.4664584492495827</c:v>
                </c:pt>
                <c:pt idx="853">
                  <c:v>-8.4790339023365409</c:v>
                </c:pt>
                <c:pt idx="854">
                  <c:v>-8.491609379163231</c:v>
                </c:pt>
                <c:pt idx="855">
                  <c:v>-8.5041848797292818</c:v>
                </c:pt>
                <c:pt idx="856">
                  <c:v>-8.5167604040343186</c:v>
                </c:pt>
                <c:pt idx="857">
                  <c:v>-8.5293359520779699</c:v>
                </c:pt>
                <c:pt idx="858">
                  <c:v>-8.5419115238598629</c:v>
                </c:pt>
                <c:pt idx="859">
                  <c:v>-8.5544871193796261</c:v>
                </c:pt>
                <c:pt idx="860">
                  <c:v>-8.5670627386368867</c:v>
                </c:pt>
                <c:pt idx="861">
                  <c:v>-8.5796383816312733</c:v>
                </c:pt>
                <c:pt idx="862">
                  <c:v>-8.592214048362413</c:v>
                </c:pt>
                <c:pt idx="863">
                  <c:v>-8.6047897388299326</c:v>
                </c:pt>
                <c:pt idx="864">
                  <c:v>-8.6173654530334609</c:v>
                </c:pt>
                <c:pt idx="865">
                  <c:v>-8.6299411909726249</c:v>
                </c:pt>
                <c:pt idx="866">
                  <c:v>-8.6425169526470533</c:v>
                </c:pt>
                <c:pt idx="867">
                  <c:v>-8.6550927380563731</c:v>
                </c:pt>
                <c:pt idx="868">
                  <c:v>-8.6676685472002113</c:v>
                </c:pt>
                <c:pt idx="869">
                  <c:v>-8.6802443800781965</c:v>
                </c:pt>
                <c:pt idx="870">
                  <c:v>-8.6928202366899558</c:v>
                </c:pt>
                <c:pt idx="871">
                  <c:v>-8.7053961170351162</c:v>
                </c:pt>
                <c:pt idx="872">
                  <c:v>-8.7179720211133063</c:v>
                </c:pt>
                <c:pt idx="873">
                  <c:v>-8.7305479489241549</c:v>
                </c:pt>
                <c:pt idx="874">
                  <c:v>-8.7431239004672872</c:v>
                </c:pt>
                <c:pt idx="875">
                  <c:v>-8.7556998757423337</c:v>
                </c:pt>
                <c:pt idx="876">
                  <c:v>-8.7682758747489196</c:v>
                </c:pt>
                <c:pt idx="877">
                  <c:v>-8.7808518974866736</c:v>
                </c:pt>
                <c:pt idx="878">
                  <c:v>-8.7934279439552245</c:v>
                </c:pt>
                <c:pt idx="879">
                  <c:v>-8.8060040141541993</c:v>
                </c:pt>
                <c:pt idx="880">
                  <c:v>-8.8185801080832249</c:v>
                </c:pt>
                <c:pt idx="881">
                  <c:v>-8.83115622574193</c:v>
                </c:pt>
                <c:pt idx="882">
                  <c:v>-8.8437323671299417</c:v>
                </c:pt>
                <c:pt idx="883">
                  <c:v>-8.8563085322468869</c:v>
                </c:pt>
                <c:pt idx="884">
                  <c:v>-8.8688847210923942</c:v>
                </c:pt>
                <c:pt idx="885">
                  <c:v>-8.8814609336660926</c:v>
                </c:pt>
                <c:pt idx="886">
                  <c:v>-8.8940371699676088</c:v>
                </c:pt>
                <c:pt idx="887">
                  <c:v>-8.90661342999657</c:v>
                </c:pt>
                <c:pt idx="888">
                  <c:v>-8.9191897137526048</c:v>
                </c:pt>
                <c:pt idx="889">
                  <c:v>-8.9317660212353402</c:v>
                </c:pt>
                <c:pt idx="890">
                  <c:v>-8.944342352444405</c:v>
                </c:pt>
                <c:pt idx="891">
                  <c:v>-8.9569187073794261</c:v>
                </c:pt>
                <c:pt idx="892">
                  <c:v>-8.9694950860400304</c:v>
                </c:pt>
                <c:pt idx="893">
                  <c:v>-8.9820714884258468</c:v>
                </c:pt>
                <c:pt idx="894">
                  <c:v>-8.9946479145365021</c:v>
                </c:pt>
                <c:pt idx="895">
                  <c:v>-9.0072243643716252</c:v>
                </c:pt>
                <c:pt idx="896">
                  <c:v>-9.0198008379308448</c:v>
                </c:pt>
                <c:pt idx="897">
                  <c:v>-9.0323773352137859</c:v>
                </c:pt>
                <c:pt idx="898">
                  <c:v>-9.0449538562200793</c:v>
                </c:pt>
                <c:pt idx="899">
                  <c:v>-9.05753040094935</c:v>
                </c:pt>
                <c:pt idx="900">
                  <c:v>-9.0701069694012268</c:v>
                </c:pt>
                <c:pt idx="901">
                  <c:v>-9.0826835615753385</c:v>
                </c:pt>
                <c:pt idx="902">
                  <c:v>-9.095260177471312</c:v>
                </c:pt>
                <c:pt idx="903">
                  <c:v>-9.1078368170887742</c:v>
                </c:pt>
                <c:pt idx="904">
                  <c:v>-9.120413480427354</c:v>
                </c:pt>
                <c:pt idx="905">
                  <c:v>-9.13299016748668</c:v>
                </c:pt>
                <c:pt idx="906">
                  <c:v>-9.1455668782663775</c:v>
                </c:pt>
                <c:pt idx="907">
                  <c:v>-9.1581436127660769</c:v>
                </c:pt>
                <c:pt idx="908">
                  <c:v>-9.1707203709854053</c:v>
                </c:pt>
                <c:pt idx="909">
                  <c:v>-9.1832971529239895</c:v>
                </c:pt>
                <c:pt idx="910">
                  <c:v>-9.1958739585814584</c:v>
                </c:pt>
                <c:pt idx="911">
                  <c:v>-9.2084507879574389</c:v>
                </c:pt>
                <c:pt idx="912">
                  <c:v>-9.2210276410515579</c:v>
                </c:pt>
                <c:pt idx="913">
                  <c:v>-9.233604517863446</c:v>
                </c:pt>
                <c:pt idx="914">
                  <c:v>-9.2461814183927284</c:v>
                </c:pt>
                <c:pt idx="915">
                  <c:v>-9.2587583426390339</c:v>
                </c:pt>
                <c:pt idx="916">
                  <c:v>-9.271335290601991</c:v>
                </c:pt>
                <c:pt idx="917">
                  <c:v>-9.2839122622812269</c:v>
                </c:pt>
                <c:pt idx="918">
                  <c:v>-9.2964892576763702</c:v>
                </c:pt>
                <c:pt idx="919">
                  <c:v>-9.309066276787048</c:v>
                </c:pt>
                <c:pt idx="920">
                  <c:v>-9.3216433196128872</c:v>
                </c:pt>
                <c:pt idx="921">
                  <c:v>-9.3342203861535165</c:v>
                </c:pt>
                <c:pt idx="922">
                  <c:v>-9.3467974764085646</c:v>
                </c:pt>
                <c:pt idx="923">
                  <c:v>-9.3593745903776586</c:v>
                </c:pt>
                <c:pt idx="924">
                  <c:v>-9.3719517280604254</c:v>
                </c:pt>
                <c:pt idx="925">
                  <c:v>-9.3845288894564938</c:v>
                </c:pt>
                <c:pt idx="926">
                  <c:v>-9.3971060745654924</c:v>
                </c:pt>
                <c:pt idx="927">
                  <c:v>-9.4096832833870483</c:v>
                </c:pt>
                <c:pt idx="928">
                  <c:v>-9.4222605159207884</c:v>
                </c:pt>
                <c:pt idx="929">
                  <c:v>-9.4348377721663415</c:v>
                </c:pt>
                <c:pt idx="930">
                  <c:v>-9.4474150521233362</c:v>
                </c:pt>
                <c:pt idx="931">
                  <c:v>-9.4599923557913996</c:v>
                </c:pt>
                <c:pt idx="932">
                  <c:v>-9.4725696831701587</c:v>
                </c:pt>
                <c:pt idx="933">
                  <c:v>-9.4851470342592421</c:v>
                </c:pt>
                <c:pt idx="934">
                  <c:v>-9.4977244090582786</c:v>
                </c:pt>
                <c:pt idx="935">
                  <c:v>-9.5103018075668952</c:v>
                </c:pt>
                <c:pt idx="936">
                  <c:v>-9.5228792297847189</c:v>
                </c:pt>
                <c:pt idx="937">
                  <c:v>-9.5354566757113783</c:v>
                </c:pt>
                <c:pt idx="938">
                  <c:v>-9.5480341453465023</c:v>
                </c:pt>
                <c:pt idx="939">
                  <c:v>-9.5606116386897178</c:v>
                </c:pt>
                <c:pt idx="940">
                  <c:v>-9.5731891557406534</c:v>
                </c:pt>
                <c:pt idx="941">
                  <c:v>-9.5857666964989363</c:v>
                </c:pt>
                <c:pt idx="942">
                  <c:v>-9.5983442609641934</c:v>
                </c:pt>
                <c:pt idx="943">
                  <c:v>-9.6109218491360551</c:v>
                </c:pt>
                <c:pt idx="944">
                  <c:v>-9.6234994610141467</c:v>
                </c:pt>
                <c:pt idx="945">
                  <c:v>-9.6360770965980986</c:v>
                </c:pt>
                <c:pt idx="946">
                  <c:v>-9.6486547558875362</c:v>
                </c:pt>
                <c:pt idx="947">
                  <c:v>-9.6612324388820898</c:v>
                </c:pt>
                <c:pt idx="948">
                  <c:v>-9.6738101455813847</c:v>
                </c:pt>
                <c:pt idx="949">
                  <c:v>-9.6863878759850515</c:v>
                </c:pt>
                <c:pt idx="950">
                  <c:v>-9.6989656300927169</c:v>
                </c:pt>
                <c:pt idx="951">
                  <c:v>-9.7115434079040082</c:v>
                </c:pt>
                <c:pt idx="952">
                  <c:v>-9.7241212094185538</c:v>
                </c:pt>
                <c:pt idx="953">
                  <c:v>-9.7366990346359827</c:v>
                </c:pt>
                <c:pt idx="954">
                  <c:v>-9.7492768835559218</c:v>
                </c:pt>
                <c:pt idx="955">
                  <c:v>-9.761854756177998</c:v>
                </c:pt>
                <c:pt idx="956">
                  <c:v>-9.7744326525018401</c:v>
                </c:pt>
                <c:pt idx="957">
                  <c:v>-9.7870105725270768</c:v>
                </c:pt>
                <c:pt idx="958">
                  <c:v>-9.7995885162533352</c:v>
                </c:pt>
                <c:pt idx="959">
                  <c:v>-9.8121664836802438</c:v>
                </c:pt>
                <c:pt idx="960">
                  <c:v>-9.8247444748074297</c:v>
                </c:pt>
                <c:pt idx="961">
                  <c:v>-9.8373224896345217</c:v>
                </c:pt>
                <c:pt idx="962">
                  <c:v>-9.8499005281611485</c:v>
                </c:pt>
                <c:pt idx="963">
                  <c:v>-9.862478590386937</c:v>
                </c:pt>
                <c:pt idx="964">
                  <c:v>-9.8750566763115142</c:v>
                </c:pt>
                <c:pt idx="965">
                  <c:v>-9.8876347859345088</c:v>
                </c:pt>
                <c:pt idx="966">
                  <c:v>-9.9002129192555497</c:v>
                </c:pt>
                <c:pt idx="967">
                  <c:v>-9.9127910762742637</c:v>
                </c:pt>
                <c:pt idx="968">
                  <c:v>-9.9253692569902796</c:v>
                </c:pt>
                <c:pt idx="969">
                  <c:v>-9.9379474614032262</c:v>
                </c:pt>
                <c:pt idx="970">
                  <c:v>-9.9505256895127285</c:v>
                </c:pt>
                <c:pt idx="971">
                  <c:v>-9.9631039413184173</c:v>
                </c:pt>
                <c:pt idx="972">
                  <c:v>-9.9756822168199193</c:v>
                </c:pt>
                <c:pt idx="973">
                  <c:v>-9.9882605160168634</c:v>
                </c:pt>
                <c:pt idx="974">
                  <c:v>-10.000838838908876</c:v>
                </c:pt>
                <c:pt idx="975">
                  <c:v>-10.013417185495587</c:v>
                </c:pt>
                <c:pt idx="976">
                  <c:v>-10.025995555776623</c:v>
                </c:pt>
                <c:pt idx="977">
                  <c:v>-10.038573949751612</c:v>
                </c:pt>
                <c:pt idx="978">
                  <c:v>-10.051152367420183</c:v>
                </c:pt>
                <c:pt idx="979">
                  <c:v>-10.063730808781964</c:v>
                </c:pt>
                <c:pt idx="980">
                  <c:v>-10.07630927383658</c:v>
                </c:pt>
                <c:pt idx="981">
                  <c:v>-10.088887762583663</c:v>
                </c:pt>
                <c:pt idx="982">
                  <c:v>-10.10146627502284</c:v>
                </c:pt>
                <c:pt idx="983">
                  <c:v>-10.114044811153738</c:v>
                </c:pt>
                <c:pt idx="984">
                  <c:v>-10.126623370975985</c:v>
                </c:pt>
                <c:pt idx="985">
                  <c:v>-10.139201954489209</c:v>
                </c:pt>
                <c:pt idx="986">
                  <c:v>-10.151780561693039</c:v>
                </c:pt>
                <c:pt idx="987">
                  <c:v>-10.164359192587103</c:v>
                </c:pt>
                <c:pt idx="988">
                  <c:v>-10.176937847171027</c:v>
                </c:pt>
                <c:pt idx="989">
                  <c:v>-10.189516525444441</c:v>
                </c:pt>
                <c:pt idx="990">
                  <c:v>-10.202095227406973</c:v>
                </c:pt>
                <c:pt idx="991">
                  <c:v>-10.21467395305825</c:v>
                </c:pt>
                <c:pt idx="992">
                  <c:v>-10.227252702397902</c:v>
                </c:pt>
                <c:pt idx="993">
                  <c:v>-10.239831475425554</c:v>
                </c:pt>
                <c:pt idx="994">
                  <c:v>-10.252410272140837</c:v>
                </c:pt>
                <c:pt idx="995">
                  <c:v>-10.264989092543377</c:v>
                </c:pt>
                <c:pt idx="996">
                  <c:v>-10.277567936632803</c:v>
                </c:pt>
                <c:pt idx="997">
                  <c:v>-10.290146804408742</c:v>
                </c:pt>
                <c:pt idx="998">
                  <c:v>-10.302725695870825</c:v>
                </c:pt>
                <c:pt idx="999">
                  <c:v>-10.315304611018677</c:v>
                </c:pt>
                <c:pt idx="1000">
                  <c:v>-10.327883549851927</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Barasinga (Pro54-5G C)</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0.05</c:v>
                </c:pt>
                <c:pt idx="2">
                  <c:v>0.5</c:v>
                </c:pt>
                <c:pt idx="3">
                  <c:v>1</c:v>
                </c:pt>
                <c:pt idx="4">
                  <c:v>1.5</c:v>
                </c:pt>
                <c:pt idx="5">
                  <c:v>2</c:v>
                </c:pt>
                <c:pt idx="6">
                  <c:v>2.5</c:v>
                </c:pt>
                <c:pt idx="7">
                  <c:v>2.97</c:v>
                </c:pt>
                <c:pt idx="8">
                  <c:v>3.2</c:v>
                </c:pt>
                <c:pt idx="9">
                  <c:v>3.47</c:v>
                </c:pt>
                <c:pt idx="10">
                  <c:v>3.59</c:v>
                </c:pt>
                <c:pt idx="11">
                  <c:v>3.59</c:v>
                </c:pt>
                <c:pt idx="12">
                  <c:v>3.59</c:v>
                </c:pt>
                <c:pt idx="13">
                  <c:v>3.59</c:v>
                </c:pt>
                <c:pt idx="14">
                  <c:v>3.59</c:v>
                </c:pt>
                <c:pt idx="15">
                  <c:v>3.59</c:v>
                </c:pt>
                <c:pt idx="16">
                  <c:v>3.59</c:v>
                </c:pt>
                <c:pt idx="17">
                  <c:v>3.59</c:v>
                </c:pt>
                <c:pt idx="18">
                  <c:v>3.59</c:v>
                </c:pt>
                <c:pt idx="19">
                  <c:v>3.59</c:v>
                </c:pt>
                <c:pt idx="20">
                  <c:v>3.59</c:v>
                </c:pt>
                <c:pt idx="21">
                  <c:v>3.59</c:v>
                </c:pt>
                <c:pt idx="22">
                  <c:v>3.59</c:v>
                </c:pt>
              </c:numCache>
            </c:numRef>
          </c:xVal>
          <c:yVal>
            <c:numRef>
              <c:f>Propu!$B$4:$X$4</c:f>
              <c:numCache>
                <c:formatCode>General</c:formatCode>
                <c:ptCount val="23"/>
                <c:pt idx="0">
                  <c:v>0</c:v>
                </c:pt>
                <c:pt idx="1">
                  <c:v>893</c:v>
                </c:pt>
                <c:pt idx="2">
                  <c:v>798</c:v>
                </c:pt>
                <c:pt idx="3">
                  <c:v>739</c:v>
                </c:pt>
                <c:pt idx="4">
                  <c:v>659</c:v>
                </c:pt>
                <c:pt idx="5">
                  <c:v>586</c:v>
                </c:pt>
                <c:pt idx="6">
                  <c:v>513</c:v>
                </c:pt>
                <c:pt idx="7">
                  <c:v>417</c:v>
                </c:pt>
                <c:pt idx="8">
                  <c:v>225</c:v>
                </c:pt>
                <c:pt idx="9">
                  <c:v>67</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3.51675</c:v>
                </c:pt>
                <c:pt idx="2">
                  <c:v>5.3484999999999996</c:v>
                </c:pt>
                <c:pt idx="3">
                  <c:v>7.1802500000000009</c:v>
                </c:pt>
                <c:pt idx="4">
                  <c:v>9.0120000000000005</c:v>
                </c:pt>
                <c:pt idx="5">
                  <c:v>10.84375</c:v>
                </c:pt>
                <c:pt idx="6">
                  <c:v>12.675500000000001</c:v>
                </c:pt>
                <c:pt idx="7">
                  <c:v>14.507250000000001</c:v>
                </c:pt>
                <c:pt idx="8">
                  <c:v>16.338999999999999</c:v>
                </c:pt>
              </c:numCache>
            </c:numRef>
          </c:xVal>
          <c:yVal>
            <c:numRef>
              <c:f>Abaco!$K$43:$K$51</c:f>
              <c:numCache>
                <c:formatCode>General" m/s"</c:formatCode>
                <c:ptCount val="9"/>
                <c:pt idx="0">
                  <c:v>740.86493375900318</c:v>
                </c:pt>
                <c:pt idx="1">
                  <c:v>523.70004618452253</c:v>
                </c:pt>
                <c:pt idx="2">
                  <c:v>357.43198125519797</c:v>
                </c:pt>
                <c:pt idx="3">
                  <c:v>261.18836095288219</c:v>
                </c:pt>
                <c:pt idx="4">
                  <c:v>201.33782039234276</c:v>
                </c:pt>
                <c:pt idx="5">
                  <c:v>161.09980038014106</c:v>
                </c:pt>
                <c:pt idx="6">
                  <c:v>132.35938209982376</c:v>
                </c:pt>
                <c:pt idx="7">
                  <c:v>110.86569933173604</c:v>
                </c:pt>
                <c:pt idx="8">
                  <c:v>94.210579553764816</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94 mm</c:v>
                </c:pt>
              </c:strCache>
            </c:strRef>
          </c:tx>
          <c:xVal>
            <c:numRef>
              <c:f>Abaco!$D$52:$D$60</c:f>
              <c:numCache>
                <c:formatCode>General\ "kg"</c:formatCode>
                <c:ptCount val="9"/>
                <c:pt idx="0">
                  <c:v>1.6850000000000001</c:v>
                </c:pt>
                <c:pt idx="1">
                  <c:v>3.51675</c:v>
                </c:pt>
                <c:pt idx="2">
                  <c:v>5.3484999999999996</c:v>
                </c:pt>
                <c:pt idx="3">
                  <c:v>7.1802500000000009</c:v>
                </c:pt>
                <c:pt idx="4">
                  <c:v>9.0120000000000005</c:v>
                </c:pt>
                <c:pt idx="5">
                  <c:v>10.84375</c:v>
                </c:pt>
                <c:pt idx="6">
                  <c:v>12.675500000000001</c:v>
                </c:pt>
                <c:pt idx="7">
                  <c:v>14.507250000000001</c:v>
                </c:pt>
                <c:pt idx="8">
                  <c:v>16.338999999999999</c:v>
                </c:pt>
              </c:numCache>
            </c:numRef>
          </c:xVal>
          <c:yVal>
            <c:numRef>
              <c:f>Abaco!$K$52:$K$60</c:f>
              <c:numCache>
                <c:formatCode>General" m/s"</c:formatCode>
                <c:ptCount val="9"/>
                <c:pt idx="0">
                  <c:v>432.73960905359797</c:v>
                </c:pt>
                <c:pt idx="1">
                  <c:v>387.71830952644586</c:v>
                </c:pt>
                <c:pt idx="2">
                  <c:v>306.61861989278975</c:v>
                </c:pt>
                <c:pt idx="3">
                  <c:v>239.41274725387919</c:v>
                </c:pt>
                <c:pt idx="4">
                  <c:v>190.68953171302917</c:v>
                </c:pt>
                <c:pt idx="5">
                  <c:v>155.34480572999485</c:v>
                </c:pt>
                <c:pt idx="6">
                  <c:v>129.00901651114137</c:v>
                </c:pt>
                <c:pt idx="7">
                  <c:v>108.80293663639753</c:v>
                </c:pt>
                <c:pt idx="8">
                  <c:v>92.884886867057702</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3.51675</c:v>
                </c:pt>
                <c:pt idx="2">
                  <c:v>5.3484999999999996</c:v>
                </c:pt>
                <c:pt idx="3">
                  <c:v>7.1802500000000009</c:v>
                </c:pt>
                <c:pt idx="4">
                  <c:v>9.0120000000000005</c:v>
                </c:pt>
                <c:pt idx="5">
                  <c:v>10.84375</c:v>
                </c:pt>
                <c:pt idx="6">
                  <c:v>12.675500000000001</c:v>
                </c:pt>
                <c:pt idx="7">
                  <c:v>14.507250000000001</c:v>
                </c:pt>
                <c:pt idx="8">
                  <c:v>16.338999999999999</c:v>
                </c:pt>
              </c:numCache>
            </c:numRef>
          </c:xVal>
          <c:yVal>
            <c:numRef>
              <c:f>Abaco!$K$61:$K$69</c:f>
              <c:numCache>
                <c:formatCode>General" m/s"</c:formatCode>
                <c:ptCount val="9"/>
                <c:pt idx="0">
                  <c:v>288.68827903690323</c:v>
                </c:pt>
                <c:pt idx="1">
                  <c:v>278.28794113056961</c:v>
                </c:pt>
                <c:pt idx="2">
                  <c:v>247.22860683617813</c:v>
                </c:pt>
                <c:pt idx="3">
                  <c:v>208.70745256915799</c:v>
                </c:pt>
                <c:pt idx="4">
                  <c:v>174.10831959117101</c:v>
                </c:pt>
                <c:pt idx="5">
                  <c:v>145.86024705530681</c:v>
                </c:pt>
                <c:pt idx="6">
                  <c:v>123.29210082953526</c:v>
                </c:pt>
                <c:pt idx="7">
                  <c:v>105.20284619088876</c:v>
                </c:pt>
                <c:pt idx="8">
                  <c:v>90.535463216861999</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3.51675</c:v>
                </c:pt>
                <c:pt idx="2">
                  <c:v>5.3484999999999996</c:v>
                </c:pt>
                <c:pt idx="3">
                  <c:v>7.1802500000000009</c:v>
                </c:pt>
                <c:pt idx="4">
                  <c:v>9.0120000000000005</c:v>
                </c:pt>
                <c:pt idx="5">
                  <c:v>10.84375</c:v>
                </c:pt>
                <c:pt idx="6">
                  <c:v>12.675500000000001</c:v>
                </c:pt>
                <c:pt idx="7">
                  <c:v>14.507250000000001</c:v>
                </c:pt>
                <c:pt idx="8">
                  <c:v>16.338999999999999</c:v>
                </c:pt>
              </c:numCache>
            </c:numRef>
          </c:xVal>
          <c:yVal>
            <c:numRef>
              <c:f>Abaco!$L$43:$L$51</c:f>
              <c:numCache>
                <c:formatCode>General" m"</c:formatCode>
                <c:ptCount val="9"/>
                <c:pt idx="0">
                  <c:v>3379.1781597853906</c:v>
                </c:pt>
                <c:pt idx="1">
                  <c:v>4192.3508748327258</c:v>
                </c:pt>
                <c:pt idx="2">
                  <c:v>3696.4701486523782</c:v>
                </c:pt>
                <c:pt idx="3">
                  <c:v>2818.295223496269</c:v>
                </c:pt>
                <c:pt idx="4">
                  <c:v>2036.8900169476315</c:v>
                </c:pt>
                <c:pt idx="5">
                  <c:v>1465.3459084720657</c:v>
                </c:pt>
                <c:pt idx="6">
                  <c:v>1070.8547211685013</c:v>
                </c:pt>
                <c:pt idx="7">
                  <c:v>799.42651812184067</c:v>
                </c:pt>
                <c:pt idx="8">
                  <c:v>609.43626918559971</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94 mm</c:v>
                </c:pt>
              </c:strCache>
            </c:strRef>
          </c:tx>
          <c:xVal>
            <c:numRef>
              <c:f>Abaco!$D$52:$D$60</c:f>
              <c:numCache>
                <c:formatCode>General\ "kg"</c:formatCode>
                <c:ptCount val="9"/>
                <c:pt idx="0">
                  <c:v>1.6850000000000001</c:v>
                </c:pt>
                <c:pt idx="1">
                  <c:v>3.51675</c:v>
                </c:pt>
                <c:pt idx="2">
                  <c:v>5.3484999999999996</c:v>
                </c:pt>
                <c:pt idx="3">
                  <c:v>7.1802500000000009</c:v>
                </c:pt>
                <c:pt idx="4">
                  <c:v>9.0120000000000005</c:v>
                </c:pt>
                <c:pt idx="5">
                  <c:v>10.84375</c:v>
                </c:pt>
                <c:pt idx="6">
                  <c:v>12.675500000000001</c:v>
                </c:pt>
                <c:pt idx="7">
                  <c:v>14.507250000000001</c:v>
                </c:pt>
                <c:pt idx="8">
                  <c:v>16.338999999999999</c:v>
                </c:pt>
              </c:numCache>
            </c:numRef>
          </c:xVal>
          <c:yVal>
            <c:numRef>
              <c:f>Abaco!$L$52:$L$60</c:f>
              <c:numCache>
                <c:formatCode>General" m"</c:formatCode>
                <c:ptCount val="9"/>
                <c:pt idx="0">
                  <c:v>1772.4514825487752</c:v>
                </c:pt>
                <c:pt idx="1">
                  <c:v>2112.4200804063807</c:v>
                </c:pt>
                <c:pt idx="2">
                  <c:v>2084.0560402771916</c:v>
                </c:pt>
                <c:pt idx="3">
                  <c:v>1841.1145422729369</c:v>
                </c:pt>
                <c:pt idx="4">
                  <c:v>1517.6719101081194</c:v>
                </c:pt>
                <c:pt idx="5">
                  <c:v>1203.8931937351654</c:v>
                </c:pt>
                <c:pt idx="6">
                  <c:v>939.91429654995534</c:v>
                </c:pt>
                <c:pt idx="7">
                  <c:v>732.5441906749603</c:v>
                </c:pt>
                <c:pt idx="8">
                  <c:v>574.22934351521235</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3.51675</c:v>
                </c:pt>
                <c:pt idx="2">
                  <c:v>5.3484999999999996</c:v>
                </c:pt>
                <c:pt idx="3">
                  <c:v>7.1802500000000009</c:v>
                </c:pt>
                <c:pt idx="4">
                  <c:v>9.0120000000000005</c:v>
                </c:pt>
                <c:pt idx="5">
                  <c:v>10.84375</c:v>
                </c:pt>
                <c:pt idx="6">
                  <c:v>12.675500000000001</c:v>
                </c:pt>
                <c:pt idx="7">
                  <c:v>14.507250000000001</c:v>
                </c:pt>
                <c:pt idx="8">
                  <c:v>16.338999999999999</c:v>
                </c:pt>
              </c:numCache>
            </c:numRef>
          </c:xVal>
          <c:yVal>
            <c:numRef>
              <c:f>Abaco!$L$61:$L$69</c:f>
              <c:numCache>
                <c:formatCode>General" m"</c:formatCode>
                <c:ptCount val="9"/>
                <c:pt idx="0">
                  <c:v>1133.2303457424821</c:v>
                </c:pt>
                <c:pt idx="1">
                  <c:v>1288.6945235561457</c:v>
                </c:pt>
                <c:pt idx="2">
                  <c:v>1307.9174576415517</c:v>
                </c:pt>
                <c:pt idx="3">
                  <c:v>1233.345061484775</c:v>
                </c:pt>
                <c:pt idx="4">
                  <c:v>1099.8171502407697</c:v>
                </c:pt>
                <c:pt idx="5">
                  <c:v>941.27622914469816</c:v>
                </c:pt>
                <c:pt idx="6">
                  <c:v>783.63044279976475</c:v>
                </c:pt>
                <c:pt idx="7">
                  <c:v>641.95335819979721</c:v>
                </c:pt>
                <c:pt idx="8">
                  <c:v>522.05544367976313</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3.51675</c:v>
                </c:pt>
                <c:pt idx="2">
                  <c:v>5.3484999999999996</c:v>
                </c:pt>
                <c:pt idx="3">
                  <c:v>7.1802500000000009</c:v>
                </c:pt>
                <c:pt idx="4">
                  <c:v>9.0120000000000005</c:v>
                </c:pt>
                <c:pt idx="5">
                  <c:v>10.84375</c:v>
                </c:pt>
                <c:pt idx="6">
                  <c:v>12.675500000000001</c:v>
                </c:pt>
                <c:pt idx="7">
                  <c:v>14.507250000000001</c:v>
                </c:pt>
                <c:pt idx="8">
                  <c:v>16.338999999999999</c:v>
                </c:pt>
              </c:numCache>
            </c:numRef>
          </c:xVal>
          <c:yVal>
            <c:numRef>
              <c:f>Abaco!$M$43:$M$51</c:f>
              <c:numCache>
                <c:formatCode>General" s"</c:formatCode>
                <c:ptCount val="9"/>
                <c:pt idx="0">
                  <c:v>15.620425339981127</c:v>
                </c:pt>
                <c:pt idx="1">
                  <c:v>24.121376947372188</c:v>
                </c:pt>
                <c:pt idx="2">
                  <c:v>25.698488840049524</c:v>
                </c:pt>
                <c:pt idx="3">
                  <c:v>24.093987665557332</c:v>
                </c:pt>
                <c:pt idx="4">
                  <c:v>21.418724768495601</c:v>
                </c:pt>
                <c:pt idx="5">
                  <c:v>18.756648969341182</c:v>
                </c:pt>
                <c:pt idx="6">
                  <c:v>16.460217106651754</c:v>
                </c:pt>
                <c:pt idx="7">
                  <c:v>14.565029298943164</c:v>
                </c:pt>
                <c:pt idx="8">
                  <c:v>13.013933125325117</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94 mm</c:v>
                </c:pt>
              </c:strCache>
            </c:strRef>
          </c:tx>
          <c:xVal>
            <c:numRef>
              <c:f>Abaco!$D$52:$D$60</c:f>
              <c:numCache>
                <c:formatCode>General\ "kg"</c:formatCode>
                <c:ptCount val="9"/>
                <c:pt idx="0">
                  <c:v>1.6850000000000001</c:v>
                </c:pt>
                <c:pt idx="1">
                  <c:v>3.51675</c:v>
                </c:pt>
                <c:pt idx="2">
                  <c:v>5.3484999999999996</c:v>
                </c:pt>
                <c:pt idx="3">
                  <c:v>7.1802500000000009</c:v>
                </c:pt>
                <c:pt idx="4">
                  <c:v>9.0120000000000005</c:v>
                </c:pt>
                <c:pt idx="5">
                  <c:v>10.84375</c:v>
                </c:pt>
                <c:pt idx="6">
                  <c:v>12.675500000000001</c:v>
                </c:pt>
                <c:pt idx="7">
                  <c:v>14.507250000000001</c:v>
                </c:pt>
                <c:pt idx="8">
                  <c:v>16.338999999999999</c:v>
                </c:pt>
              </c:numCache>
            </c:numRef>
          </c:xVal>
          <c:yVal>
            <c:numRef>
              <c:f>Abaco!$M$52:$M$60</c:f>
              <c:numCache>
                <c:formatCode>General" s"</c:formatCode>
                <c:ptCount val="9"/>
                <c:pt idx="0">
                  <c:v>10.486932697479894</c:v>
                </c:pt>
                <c:pt idx="1">
                  <c:v>15.928420536318889</c:v>
                </c:pt>
                <c:pt idx="2">
                  <c:v>18.141635613755771</c:v>
                </c:pt>
                <c:pt idx="3">
                  <c:v>18.569915748638465</c:v>
                </c:pt>
                <c:pt idx="4">
                  <c:v>17.885906831116664</c:v>
                </c:pt>
                <c:pt idx="5">
                  <c:v>16.636977248579466</c:v>
                </c:pt>
                <c:pt idx="6">
                  <c:v>15.210980872848912</c:v>
                </c:pt>
                <c:pt idx="7">
                  <c:v>13.823274432540124</c:v>
                </c:pt>
                <c:pt idx="8">
                  <c:v>12.565029505800627</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3.51675</c:v>
                </c:pt>
                <c:pt idx="2">
                  <c:v>5.3484999999999996</c:v>
                </c:pt>
                <c:pt idx="3">
                  <c:v>7.1802500000000009</c:v>
                </c:pt>
                <c:pt idx="4">
                  <c:v>9.0120000000000005</c:v>
                </c:pt>
                <c:pt idx="5">
                  <c:v>10.84375</c:v>
                </c:pt>
                <c:pt idx="6">
                  <c:v>12.675500000000001</c:v>
                </c:pt>
                <c:pt idx="7">
                  <c:v>14.507250000000001</c:v>
                </c:pt>
                <c:pt idx="8">
                  <c:v>16.338999999999999</c:v>
                </c:pt>
              </c:numCache>
            </c:numRef>
          </c:xVal>
          <c:yVal>
            <c:numRef>
              <c:f>Abaco!$M$61:$M$69</c:f>
              <c:numCache>
                <c:formatCode>General" s"</c:formatCode>
                <c:ptCount val="9"/>
                <c:pt idx="0">
                  <c:v>8.1881792456168494</c:v>
                </c:pt>
                <c:pt idx="1">
                  <c:v>11.912205014018452</c:v>
                </c:pt>
                <c:pt idx="2">
                  <c:v>13.77288834208127</c:v>
                </c:pt>
                <c:pt idx="3">
                  <c:v>14.631813017483195</c:v>
                </c:pt>
                <c:pt idx="4">
                  <c:v>14.756184406341754</c:v>
                </c:pt>
                <c:pt idx="5">
                  <c:v>14.362556364222037</c:v>
                </c:pt>
                <c:pt idx="6">
                  <c:v>13.651179429020734</c:v>
                </c:pt>
                <c:pt idx="7">
                  <c:v>12.7870732831362</c:v>
                </c:pt>
                <c:pt idx="8">
                  <c:v>11.885472447715737</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7327"/>
</file>

<file path=xl/ctrlProps/ctrlProp3.xml><?xml version="1.0" encoding="utf-8"?>
<formControlPr xmlns="http://schemas.microsoft.com/office/spreadsheetml/2009/9/main" objectType="Spin" dx="15" fmlaLink="$C$13" inc="50" max="30000" noThreeD="1" page="10" val="1040"/>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9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80"/>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2052"/>
</file>

<file path=xl/ctrlProps/ctrlProp12.xml><?xml version="1.0" encoding="utf-8"?>
<formControlPr xmlns="http://schemas.microsoft.com/office/spreadsheetml/2009/9/main" objectType="Spin" dx="15" fmlaLink="$C$12" inc="100" max="30000" noThreeD="1" page="10" val="7327"/>
</file>

<file path=xl/ctrlProps/ctrlProp13.xml><?xml version="1.0" encoding="utf-8"?>
<formControlPr xmlns="http://schemas.microsoft.com/office/spreadsheetml/2009/9/main" objectType="Spin" dx="15" fmlaLink="$C$12" inc="100" max="30000" noThreeD="1" page="10" val="7327"/>
</file>

<file path=xl/ctrlProps/ctrlProp14.xml><?xml version="1.0" encoding="utf-8"?>
<formControlPr xmlns="http://schemas.microsoft.com/office/spreadsheetml/2009/9/main" objectType="Spin" dx="15" fmlaLink="Stabilito!C12" inc="100" max="30000" noThreeD="1" page="10" val="7327"/>
</file>

<file path=xl/ctrlProps/ctrlProp15.xml><?xml version="1.0" encoding="utf-8"?>
<formControlPr xmlns="http://schemas.microsoft.com/office/spreadsheetml/2009/9/main" objectType="Spin" dx="15" fmlaLink="$B$44" inc="50" max="30000" noThreeD="1" page="10" val="320"/>
</file>

<file path=xl/ctrlProps/ctrlProp16.xml><?xml version="1.0" encoding="utf-8"?>
<formControlPr xmlns="http://schemas.microsoft.com/office/spreadsheetml/2009/9/main" objectType="Spin" dx="15" fmlaLink="$B$46" inc="50" max="30000" noThreeD="1" page="10" val="32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7327"/>
</file>

<file path=xl/ctrlProps/ctrlProp20.xml><?xml version="1.0" encoding="utf-8"?>
<formControlPr xmlns="http://schemas.microsoft.com/office/spreadsheetml/2009/9/main" objectType="Spin" dx="15" fmlaLink="Stabilito!C12" inc="100" max="30000" noThreeD="1" page="10" val="7327"/>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i\Documents\scolaire\IPSA\AeroIpsa\SP-02\STABTRAJ\pro24_4_4_new\Alpha_Beta\alpha_beta_actif.xlsx" TargetMode="External"/><Relationship Id="rId1" Type="http://schemas.openxmlformats.org/officeDocument/2006/relationships/externalLinkPath" Target="alpha_beta_ac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bilito"/>
      <sheetName val="Trajecto"/>
      <sheetName val="Courbes"/>
      <sheetName val="Propu"/>
      <sheetName val="Calculs"/>
      <sheetName val="Abaco"/>
      <sheetName val="Info"/>
      <sheetName val="Controle"/>
    </sheetNames>
    <definedNames>
      <definedName name="D_ref" refersTo="='Stabilito'!$C$15"/>
    </definedNames>
    <sheetDataSet>
      <sheetData sheetId="0">
        <row r="15">
          <cell r="C15">
            <v>94.331384015594537</v>
          </cell>
        </row>
      </sheetData>
      <sheetData sheetId="1">
        <row r="15">
          <cell r="C15">
            <v>9.3087948792451754E-3</v>
          </cell>
        </row>
      </sheetData>
      <sheetData sheetId="2"/>
      <sheetData sheetId="3"/>
      <sheetData sheetId="4"/>
      <sheetData sheetId="5">
        <row r="15">
          <cell r="C15" t="str">
            <v>Traînée Aérdynamique</v>
          </cell>
        </row>
      </sheetData>
      <sheetData sheetId="6">
        <row r="15">
          <cell r="C15" t="str">
            <v>Pour les experts :</v>
          </cell>
        </row>
      </sheetData>
      <sheetData sheetId="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115" zoomScaleNormal="115" zoomScaleSheetLayoutView="100" workbookViewId="0">
      <selection activeCell="C16" sqref="C16"/>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58" t="s">
        <v>53</v>
      </c>
      <c r="D2" s="558"/>
      <c r="L2" s="147" t="str">
        <f>"Language/Langue"</f>
        <v>Language/Langue</v>
      </c>
      <c r="M2" s="583" t="s">
        <v>1</v>
      </c>
      <c r="N2" s="583"/>
      <c r="O2" s="583"/>
      <c r="P2" s="584"/>
      <c r="Q2" s="27"/>
    </row>
    <row r="3" spans="1:20" ht="12.75" customHeight="1" x14ac:dyDescent="0.2">
      <c r="A3" s="25"/>
      <c r="C3" s="558"/>
      <c r="D3" s="558"/>
      <c r="L3" s="591"/>
      <c r="M3" s="591"/>
      <c r="N3" s="45"/>
      <c r="Q3" s="27"/>
    </row>
    <row r="4" spans="1:20" ht="12.75" customHeight="1" x14ac:dyDescent="0.2">
      <c r="A4" s="25"/>
      <c r="C4" s="559" t="str">
        <f>IF(Lang="Français","Stabilité de fusée à ailerons",IF(Lang="English","Stability for rocket with fins",""))</f>
        <v>Stabilité de fusée à ailerons</v>
      </c>
      <c r="D4" s="559"/>
      <c r="L4" s="33"/>
      <c r="M4" s="583" t="s">
        <v>571</v>
      </c>
      <c r="N4" s="583"/>
      <c r="O4" s="583"/>
      <c r="P4" s="584"/>
      <c r="Q4" s="27"/>
    </row>
    <row r="5" spans="1:20" ht="12.75" customHeight="1" x14ac:dyDescent="0.25">
      <c r="A5" s="25"/>
      <c r="B5" s="28"/>
      <c r="C5" s="540"/>
      <c r="D5" s="540"/>
      <c r="L5" s="33"/>
      <c r="M5" s="565" t="s">
        <v>156</v>
      </c>
      <c r="N5" s="566"/>
      <c r="O5" s="594" t="s">
        <v>157</v>
      </c>
      <c r="P5" s="594"/>
      <c r="Q5" s="29"/>
    </row>
    <row r="6" spans="1:20" ht="12.75" customHeight="1" thickBot="1" x14ac:dyDescent="0.25">
      <c r="A6" s="25"/>
      <c r="B6" s="87"/>
      <c r="C6" s="553" t="str">
        <f>IF(Lang="Français","Remplir les cases jaunes",IF(Lang="English","Fill-in yellow cells only",""))</f>
        <v>Remplir les cases jaunes</v>
      </c>
      <c r="D6" s="553"/>
      <c r="L6" s="139" t="str">
        <f>IF(Lang="Français","Longueur      'L'",IF(Lang="English","Length      'L'",""))</f>
        <v>Longueur      'L'</v>
      </c>
      <c r="M6" s="554">
        <v>60</v>
      </c>
      <c r="N6" s="555"/>
      <c r="O6" s="575">
        <v>40</v>
      </c>
      <c r="P6" s="575"/>
      <c r="Q6" s="29"/>
    </row>
    <row r="7" spans="1:20" ht="12.75" customHeight="1" thickTop="1" thickBot="1" x14ac:dyDescent="0.25">
      <c r="A7" s="25"/>
      <c r="B7" s="31"/>
      <c r="C7" s="561" t="str">
        <f>IF(Lang="Français","Fusée",IF(Lang="English","Rocket",""))</f>
        <v>Fusée</v>
      </c>
      <c r="D7" s="562"/>
      <c r="L7" s="139" t="str">
        <f>IF(Lang="Français","Diamètre     'D1'",IF(Lang="English","Diameter 'D1'",""))</f>
        <v>Diamètre     'D1'</v>
      </c>
      <c r="M7" s="554">
        <v>84</v>
      </c>
      <c r="N7" s="555"/>
      <c r="O7" s="575">
        <v>104</v>
      </c>
      <c r="P7" s="575"/>
      <c r="Q7" s="29"/>
    </row>
    <row r="8" spans="1:20" ht="12.75" customHeight="1" thickTop="1" x14ac:dyDescent="0.2">
      <c r="A8" s="25"/>
      <c r="B8" s="138" t="str">
        <f>IF(Lang="Français","Nom",IF(Lang="English","Name",""))</f>
        <v>Nom</v>
      </c>
      <c r="C8" s="556" t="s">
        <v>572</v>
      </c>
      <c r="D8" s="556"/>
      <c r="E8" s="90"/>
      <c r="K8" s="33"/>
      <c r="L8" s="139" t="str">
        <f>IF(Lang="Français","Diamètre     'D2'",IF(Lang="English","Diameter 'D2'",""))</f>
        <v>Diamètre     'D2'</v>
      </c>
      <c r="M8" s="554">
        <v>104</v>
      </c>
      <c r="N8" s="555"/>
      <c r="O8" s="575">
        <v>84</v>
      </c>
      <c r="P8" s="575"/>
      <c r="Q8" s="29"/>
    </row>
    <row r="9" spans="1:20" ht="12.75" customHeight="1" x14ac:dyDescent="0.2">
      <c r="A9" s="25"/>
      <c r="B9" s="138" t="s">
        <v>4</v>
      </c>
      <c r="C9" s="557" t="s">
        <v>569</v>
      </c>
      <c r="D9" s="557"/>
      <c r="E9" s="90"/>
      <c r="K9" s="33"/>
      <c r="L9" s="139" t="str">
        <f>IF(Lang="Français","Implantation 'x'",IF(Lang="English","Basement 'x'",""))</f>
        <v>Implantation 'x'</v>
      </c>
      <c r="M9" s="554">
        <v>942</v>
      </c>
      <c r="N9" s="555"/>
      <c r="O9" s="575">
        <v>2002</v>
      </c>
      <c r="P9" s="575"/>
      <c r="Q9" s="29"/>
    </row>
    <row r="10" spans="1:20" ht="12.75" customHeight="1" x14ac:dyDescent="0.2">
      <c r="A10" s="25"/>
      <c r="B10" s="138" t="s">
        <v>563</v>
      </c>
      <c r="C10" s="537" t="str">
        <f>IF((LEFT(Type_fusee,4)="Mini"),"MF",(IF((RIGHT(Type_fusee,1)="."),"FX","")))</f>
        <v>FX</v>
      </c>
      <c r="D10" s="538">
        <v>0</v>
      </c>
      <c r="E10" s="539" t="str">
        <f>IF(C10="","",C10&amp;D10)</f>
        <v>FX0</v>
      </c>
      <c r="K10" s="33"/>
      <c r="Q10" s="29"/>
    </row>
    <row r="11" spans="1:20" ht="12.75" customHeight="1" x14ac:dyDescent="0.2">
      <c r="A11" s="25"/>
      <c r="B11" s="139" t="s">
        <v>54</v>
      </c>
      <c r="C11" s="563" t="s">
        <v>568</v>
      </c>
      <c r="D11" s="564"/>
      <c r="E11" s="90"/>
      <c r="K11" s="33"/>
      <c r="L11" s="107"/>
      <c r="M11" s="224" t="str">
        <f>IF(Lang="Français","Propu plein",IF(Lang="English","Loaded Motor",""))</f>
        <v>Propu plein</v>
      </c>
      <c r="N11" s="592" t="str">
        <f>IF(Lang="Français","Propu vide",IF(Lang="English","Empty Motor",""))</f>
        <v>Propu vide</v>
      </c>
      <c r="O11" s="593"/>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7327</v>
      </c>
      <c r="D12" s="34" t="s">
        <v>423</v>
      </c>
      <c r="L12" s="108" t="str">
        <f>IF(Lang="Français","Masse propu",IF(Lang="English","Motor Mass",""))</f>
        <v>Masse propu</v>
      </c>
      <c r="M12" s="109">
        <f ca="1">MpropuPlein</f>
        <v>1.6850000000000001</v>
      </c>
      <c r="N12" s="587">
        <f ca="1">MpropuVide</f>
        <v>0.65200000000000002</v>
      </c>
      <c r="O12" s="588"/>
      <c r="P12" s="110" t="s">
        <v>14</v>
      </c>
      <c r="Q12" s="29"/>
      <c r="S12" s="386" t="str">
        <f>IF(Lang="Français","Haut",IF(Lang="English","Top",""))</f>
        <v>Haut</v>
      </c>
      <c r="T12" s="387">
        <f ca="1">XpropuRef-Long_propu</f>
        <v>1564</v>
      </c>
    </row>
    <row r="13" spans="1:20" ht="12.75" customHeight="1" x14ac:dyDescent="0.2">
      <c r="A13" s="25"/>
      <c r="B13" s="139" t="str">
        <f>IF(Lang="Français","Centre de Masse",IF(Lang="English","Center of Mass",""))</f>
        <v>Centre de Masse</v>
      </c>
      <c r="C13" s="35">
        <v>1040</v>
      </c>
      <c r="D13" s="34" t="s">
        <v>423</v>
      </c>
      <c r="L13" s="108" t="str">
        <f>IF(Lang="Français","CdM propu",IF(Lang="English","Motor CoM",""))</f>
        <v>CdM propu</v>
      </c>
      <c r="M13" s="111">
        <f ca="1">XpropuPlein</f>
        <v>250</v>
      </c>
      <c r="N13" s="585">
        <f ca="1">XpropuVide</f>
        <v>240</v>
      </c>
      <c r="O13" s="586"/>
      <c r="P13" s="110" t="s">
        <v>14</v>
      </c>
      <c r="Q13" s="29"/>
      <c r="S13" s="386" t="str">
        <f>IF(Lang="Français","Longueur",IF(Lang="English","Length",""))</f>
        <v>Longueur</v>
      </c>
      <c r="T13" s="387">
        <f ca="1">Long_propu</f>
        <v>488</v>
      </c>
    </row>
    <row r="14" spans="1:20" ht="12.6" customHeight="1" x14ac:dyDescent="0.2">
      <c r="A14" s="25"/>
      <c r="B14" s="139" t="str">
        <f>IF(Lang="Français","Longueur totale",IF(Lang="English","Total length",""))</f>
        <v>Longueur totale</v>
      </c>
      <c r="C14" s="554">
        <v>2052</v>
      </c>
      <c r="D14" s="555"/>
      <c r="L14" s="108" t="str">
        <f>IF(Lang="Français","Masse fusée",IF(Lang="English","Rocket Mass",""))</f>
        <v>Masse fusée</v>
      </c>
      <c r="M14" s="112">
        <f ca="1">MasseSans+MpropuPlein</f>
        <v>9.0120000000000005</v>
      </c>
      <c r="N14" s="567">
        <f ca="1">MasseSans+MpropuVide</f>
        <v>7.9790000000000001</v>
      </c>
      <c r="O14" s="568"/>
      <c r="P14" s="109">
        <f>IF(OR(D12="sans propu",D12="without motor"),C12/1000,IF(OR(D12="avec propu vide",D12="with empty motor"),C12/1000-MpropuVide,IF(OR(D12="avec propu plein",D12="with loaded motor"),C12/1000-MpropuPlein,"Erreur")))</f>
        <v>7.327</v>
      </c>
      <c r="Q14" s="29"/>
      <c r="S14" s="386" t="str">
        <f>IF(Lang="Français","Bas",IF(Lang="English","Base",""))</f>
        <v>Bas</v>
      </c>
      <c r="T14" s="387">
        <f>XpropuRef</f>
        <v>2052</v>
      </c>
    </row>
    <row r="15" spans="1:20" ht="12.75" customHeight="1" x14ac:dyDescent="0.2">
      <c r="A15" s="25"/>
      <c r="B15" s="139" t="str">
        <f>IF(Lang="Français","Diamètre Réf.",IF(Lang="English","Ref. Diameter",""))</f>
        <v>Diamètre Réf.</v>
      </c>
      <c r="C15" s="554" cm="1">
        <f t="array" ref="C15">[1]!D_ref</f>
        <v>94.331384015594537</v>
      </c>
      <c r="D15" s="555"/>
      <c r="L15" s="175" t="str">
        <f>IF(Lang="Français","CdM fusée",IF(Lang="English","Rocket CoM",""))</f>
        <v>CdM fusée</v>
      </c>
      <c r="M15" s="176">
        <f ca="1">(XcgSans*MasseSans+(XpropuRef-Long_propu+XpropuPlein)*MpropuPlein)/MassePlein</f>
        <v>1184.7170439414115</v>
      </c>
      <c r="N15" s="569">
        <f ca="1">(XcgSans*MasseSans+(XpropuRef-Long_propu+XpropuVide)*MpropuVide)/MasseVide</f>
        <v>1102.4298784308812</v>
      </c>
      <c r="O15" s="570"/>
      <c r="P15" s="113">
        <f>IF(OR(D13="sans propu",D13="without motor"),C13,IF(OR(D13="avec propu vide",D13="with empty motor"),(C13*MasseVide-(XpropuRef-Long_propu+XpropuVide)*MpropuVide)/MasseSans,IF(OR(D13="avec propu plein",D13="with loaded motor"),(C13*MassePlein-(XpropuRef-Long_propu+XpropuPlein)*MpropuPlein)/MasseSans,"Erreur")))</f>
        <v>1040</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42" t="str">
        <f>IF(Lang="Français","Propulseur",IF(Lang="English","Motor",""))</f>
        <v>Propulseur</v>
      </c>
      <c r="D17" s="543"/>
      <c r="L17" s="114"/>
      <c r="M17" s="571" t="s">
        <v>55</v>
      </c>
      <c r="N17" s="572"/>
      <c r="O17" s="595" t="s">
        <v>65</v>
      </c>
      <c r="P17" s="595"/>
      <c r="Q17" s="29"/>
      <c r="S17" s="386" t="str">
        <f>IF(Lang="Français","Haut","Top")</f>
        <v>Haut</v>
      </c>
      <c r="T17" s="387">
        <f>X_ail-m_ail</f>
        <v>1782</v>
      </c>
    </row>
    <row r="18" spans="1:22" ht="12.75" customHeight="1" thickTop="1" x14ac:dyDescent="0.2">
      <c r="A18" s="25"/>
      <c r="B18" s="139" t="s">
        <v>54</v>
      </c>
      <c r="C18" s="544" t="s">
        <v>549</v>
      </c>
      <c r="D18" s="545"/>
      <c r="K18" s="37"/>
      <c r="L18" s="108" t="str">
        <f>IF(Lang="Français","Coiffe",IF(Lang="English","Nose Cone",""))</f>
        <v>Coiffe</v>
      </c>
      <c r="M18" s="547">
        <f>IF(LEFT(Forme_ogive,5)="Parab",1/2*Long_ogive,IF(LEFT(Forme_ogive,4)="Ogiv",7/15*Long_ogive,IF(LEFT(Forme_ogive,3)="Con",2/3*Long_ogive)))</f>
        <v>168</v>
      </c>
      <c r="N18" s="548"/>
      <c r="O18" s="546">
        <f>2*POWER(D_og/D_ref, 2)</f>
        <v>1.585901299633202</v>
      </c>
      <c r="P18" s="546"/>
      <c r="Q18" s="29"/>
      <c r="S18" s="386" t="str">
        <f>IF(Lang="Français","Emplanture","Root edge")</f>
        <v>Emplanture</v>
      </c>
      <c r="T18" s="387">
        <f>m_ail</f>
        <v>190</v>
      </c>
    </row>
    <row r="19" spans="1:22" ht="12.75" customHeight="1" x14ac:dyDescent="0.2">
      <c r="A19" s="25"/>
      <c r="B19" s="139" t="str">
        <f>IF(Lang="Français","Position du bas",IF(Lang="English","Basement",""))</f>
        <v>Position du bas</v>
      </c>
      <c r="C19" s="575">
        <v>2052</v>
      </c>
      <c r="D19" s="575"/>
      <c r="L19" s="108" t="str">
        <f>IF(Lang="Français","Ailerons",IF(Lang="English","Fins",""))</f>
        <v>Ailerons</v>
      </c>
      <c r="M19" s="547">
        <f>(XCpa*Cnail-0.5*XCpi*Cni)/Cnai</f>
        <v>1902.9040247264797</v>
      </c>
      <c r="N19" s="548"/>
      <c r="O19" s="549">
        <f>Cnail-Cni/2</f>
        <v>12.515543684164445</v>
      </c>
      <c r="P19" s="550"/>
      <c r="Q19" s="29"/>
      <c r="S19" s="386" t="str">
        <f>IF(Lang="Français","Bas","Base")</f>
        <v>Bas</v>
      </c>
      <c r="T19" s="387">
        <f>X_ail</f>
        <v>1972</v>
      </c>
    </row>
    <row r="20" spans="1:22" ht="12.75" customHeight="1" thickBot="1" x14ac:dyDescent="0.25">
      <c r="A20" s="25"/>
      <c r="B20" s="428" t="str">
        <f>IF(Propu="Cariacou","Cariacou :"," ")</f>
        <v xml:space="preserve"> </v>
      </c>
      <c r="C20" s="576" t="str">
        <f>IF(Propu="Pandora (Pro24-6G)",IF(Lang="Français","C'Space Seulement",IF(Lang="English","C'Space only","")),"")</f>
        <v/>
      </c>
      <c r="D20" s="576"/>
      <c r="L20" s="108" t="str">
        <f>IF(Lang="Français","Ail bas entier",IF(Lang="English","Total Lower Fins",""))</f>
        <v>Ail bas entier</v>
      </c>
      <c r="M20" s="547">
        <f>X_ail-m_ail+p_ail*(m_ail+2*n_ail)/(3*(m_ail+n_ail))+(m_ail+n_ail-m_ail*n_ail/(m_ail+n_ail))/6</f>
        <v>1895.3950617283951</v>
      </c>
      <c r="N20" s="548"/>
      <c r="O20" s="546">
        <f>4*Q_ail*POWER((E_ail/D_ref),2)*(1+D_ail/(2*E_ail+D_ail))/(1+SQRT(1+POWER(2*f_ail/(m_ail+n_ail),2)))</f>
        <v>17.469685870973095</v>
      </c>
      <c r="P20" s="546"/>
      <c r="Q20" s="29"/>
    </row>
    <row r="21" spans="1:22" ht="12.75" customHeight="1" thickTop="1" thickBot="1" x14ac:dyDescent="0.25">
      <c r="A21" s="25"/>
      <c r="B21" s="30"/>
      <c r="C21" s="551" t="str">
        <f>IF(Lang="Français","Coiffe",IF(Lang="English","Nose Cone",""))</f>
        <v>Coiffe</v>
      </c>
      <c r="D21" s="552"/>
      <c r="L21" s="108" t="str">
        <f>IF(Lang="Français","Ailerons haut",IF(Lang="English","Upper Fins",""))</f>
        <v>Ailerons haut</v>
      </c>
      <c r="M21" s="547">
        <f>IF(LEFT(Type_masquage,1)="M",0, X_can-m_can+p_can*(m_can+2*n_can)/(3*(m_can+n_can))+(m_can+n_can-m_can*n_can/(m_can+n_can))/6)</f>
        <v>857.4</v>
      </c>
      <c r="N21" s="548"/>
      <c r="O21" s="546">
        <f>IF(LEFT(Type_masquage,1)="M",0, 4*Q_can*POWER((E_can/D_ref),2)*(1+D_can/(2*E_can+D_can))/(1+SQRT(1+POWER(2*f_can/(m_can+n_can),2))))</f>
        <v>10.785842445764647</v>
      </c>
      <c r="P21" s="546"/>
      <c r="Q21" s="29"/>
    </row>
    <row r="22" spans="1:22" ht="12.75" customHeight="1" thickTop="1" x14ac:dyDescent="0.2">
      <c r="A22" s="25"/>
      <c r="B22" s="139" t="str">
        <f>IF(Lang="Français","Forme",IF(Lang="English","Shape",""))</f>
        <v>Forme</v>
      </c>
      <c r="C22" s="577" t="s">
        <v>570</v>
      </c>
      <c r="D22" s="578"/>
      <c r="L22" s="108" t="str">
        <f>IF(Lang="Français","Partie masquée",IF(Lang="English","Interation zone",""))</f>
        <v>Partie masquée</v>
      </c>
      <c r="M22" s="560">
        <f>IF(LEFT(Type_masquage,1)="B", X_int-m_int+p_int*(m_int+2*n_int)/(3*(m_int+n_int))+(m_int+n_int-m_int*n_int/(m_int+n_int))/6, 0 )</f>
        <v>1876.4253287490849</v>
      </c>
      <c r="N22" s="560"/>
      <c r="O22" s="549">
        <f>IF(LEFT(Type_masquage,1)="B", 4*Q_int*POWER((E_int/D_ref),2)*(1+D_int/(2*E_int+D_int))/(1+SQRT(1+POWER(2*f_int/(m_int+n_int),2))), 0 )</f>
        <v>9.9082843736172972</v>
      </c>
      <c r="P22" s="550"/>
      <c r="Q22" s="29"/>
    </row>
    <row r="23" spans="1:22" ht="12.75" customHeight="1" x14ac:dyDescent="0.2">
      <c r="A23" s="25"/>
      <c r="B23" s="139" t="str">
        <f>IF(Lang="Français","Hauteur",IF(Lang="English","Heigth",""))</f>
        <v>Hauteur</v>
      </c>
      <c r="C23" s="554">
        <v>252</v>
      </c>
      <c r="D23" s="555"/>
      <c r="L23" s="108" t="s">
        <v>156</v>
      </c>
      <c r="M23" s="547">
        <f>IF(OR(RIGHT(Nb_diam,1)=",",D2j=0),0, X_j+l_j/3*(1+1/(1+D1j/D2j)) )</f>
        <v>973.063829787234</v>
      </c>
      <c r="N23" s="548"/>
      <c r="O23" s="546">
        <f>IF(OR(RIGHT(Nb_diam,1)=",",D2j=0),0,2*(POWER(D2j/D_ref,2)-POWER(D1j/D_ref,2)))</f>
        <v>0.84509479685669442</v>
      </c>
      <c r="P23" s="546"/>
      <c r="Q23" s="29"/>
    </row>
    <row r="24" spans="1:22" ht="12.75" customHeight="1" thickBot="1" x14ac:dyDescent="0.25">
      <c r="A24" s="25"/>
      <c r="B24" s="139" t="str">
        <f>IF(Lang="Français","Diamètre",IF(Lang="English","Diameter",""))</f>
        <v>Diamètre</v>
      </c>
      <c r="C24" s="554">
        <v>84</v>
      </c>
      <c r="D24" s="555"/>
      <c r="L24" s="108" t="s">
        <v>157</v>
      </c>
      <c r="M24" s="547">
        <f>IF( OR(RIGHT(Nb_diam,1)=",",D2r=0), 0, X_r+l_r/3*(1+1/(1+D1r/D2r)) )</f>
        <v>2021.2907801418439</v>
      </c>
      <c r="N24" s="548"/>
      <c r="O24" s="546">
        <f>IF( OR(RIGHT(Nb_diam,1)=",",D2r=0), 0, 2*(POWER(D2r/D_ref,2)-POWER(D1r/D_ref,2)) )</f>
        <v>-0.84509479685669442</v>
      </c>
      <c r="P24" s="546"/>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 bas</v>
      </c>
      <c r="D26" s="179" t="str">
        <f>IF(Lang="Français","Ailerons haut",IF(Lang="English","Upper Fins",""))</f>
        <v>Ailerons haut</v>
      </c>
      <c r="F26" s="39">
        <f ca="1">TODAY()</f>
        <v>46061</v>
      </c>
      <c r="G26" s="137" t="s">
        <v>62</v>
      </c>
      <c r="H26" s="541" t="str">
        <f>IF(Lang="Français","Résultats",IF(Lang="English","Results",""))</f>
        <v>Résultats</v>
      </c>
      <c r="I26" s="541"/>
      <c r="J26" s="137" t="s">
        <v>63</v>
      </c>
      <c r="K26" s="32"/>
      <c r="L26" s="38"/>
      <c r="M26" s="38"/>
      <c r="N26" s="38"/>
      <c r="Q26" s="29"/>
      <c r="R26" s="38"/>
      <c r="S26" s="388" t="str">
        <f ca="1">IF(AND(Vsortie_de_rampe&lt;18, OR(LEFT(Type_fusee,1)=",",LEFT(Type_fusee,4)="Mini",LEFT(Type_fusee,1)="R")),IF(Lang="Français","Fusée trop lourde ou rampe trop courte !","Rocket too heavy or launch pad too small!"),"")</f>
        <v/>
      </c>
    </row>
    <row r="27" spans="1:22" ht="12.75" customHeight="1" thickTop="1" x14ac:dyDescent="0.2">
      <c r="A27" s="25"/>
      <c r="B27" s="30"/>
      <c r="C27" s="573" t="s">
        <v>425</v>
      </c>
      <c r="D27" s="574"/>
      <c r="E27" s="146">
        <f>m_ail</f>
        <v>190</v>
      </c>
      <c r="F27" s="105" t="s">
        <v>64</v>
      </c>
      <c r="G27" s="104">
        <f>IF(RIGHT(Type_fusee,1)=".",10, IF(OR(LEFT(Type_fusee,1)="R",LEFT(Type_fusee,1)=",",LEFT(Type_fusee,4)="Mini"),10, IF(LEFT(Type_fusee,5)="Micro",10, IF(RIGHT(Type_fusee,1)=" ",1))))</f>
        <v>10</v>
      </c>
      <c r="H27" s="589">
        <f>Long_tot/D_ref</f>
        <v>21.753099685898498</v>
      </c>
      <c r="I27" s="590"/>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190</v>
      </c>
      <c r="D28" s="177">
        <v>170</v>
      </c>
      <c r="E28" s="146">
        <f>n_ail+(m_ail-n_ail)*(1-E_int/E_ail)</f>
        <v>116.41379310344828</v>
      </c>
      <c r="F28" s="105" t="str">
        <f>IF(Lang="Français","Portance","Lift")</f>
        <v>Portance</v>
      </c>
      <c r="G28" s="104">
        <f>IF(RIGHT(Type_fusee,1)=".",15,IF(OR(LEFT(Type_fusee,1)="R",LEFT(Type_fusee,1)=",",LEFT(Type_fusee,4)="Mini"),15, IF(LEFT(Type_fusee,5)="Micro",15, IF(RIGHT(Type_fusee,1)=" ",15))))</f>
        <v>15</v>
      </c>
      <c r="H28" s="508">
        <f>Cnai+Cnc+Cno+Cnj+Cnr</f>
        <v>24.887287429562296</v>
      </c>
      <c r="I28" s="508">
        <f>Cnail+Cnc+Cno+Cnj+Cnr</f>
        <v>29.841429616370945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120.41379310344827</v>
      </c>
      <c r="F29" s="515" t="str">
        <f>IF(Lang="Français","MargeStat.","StatMargin")</f>
        <v>MargeStat.</v>
      </c>
      <c r="G29" s="510">
        <f>IF(RIGHT(Type_fusee,1)=".",2, IF(OR(LEFT(Type_fusee,1)="R",LEFT(Type_fusee,1)=",",LEFT(Type_fusee,4)="Mini"),1.5, IF(LEFT(Type_fusee,5)="Micro",1, IF(RIGHT(Type_fusee,1)=" ",1))))</f>
        <v>2</v>
      </c>
      <c r="H29" s="97">
        <f ca="1">(XCp-XcgPlein)/D_ref</f>
        <v>1.2207377249728655</v>
      </c>
      <c r="I29" s="98">
        <f ca="1">(XCp0-XcgVide)/D_ref</f>
        <v>3.141131997878428</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Abaisser les ailerons ou rehausser le CdM !</v>
      </c>
      <c r="U29" s="24" t="s">
        <v>573</v>
      </c>
    </row>
    <row r="30" spans="1:22" ht="12.75" customHeight="1" x14ac:dyDescent="0.2">
      <c r="A30" s="25"/>
      <c r="B30" s="524" t="str">
        <f>IF(Lang="Français"," Flèche          'p'"," Offset         'p'")</f>
        <v xml:space="preserve"> Flèche          'p'</v>
      </c>
      <c r="C30" s="35">
        <v>180</v>
      </c>
      <c r="D30" s="35">
        <v>120</v>
      </c>
      <c r="E30" s="146">
        <f>IF(D_can/2+E_can&lt;=D_ail/2,0, IF(D_can/2+E_can&gt;=D_ail/2+E_ail,E_ail,  D_can/2+E_can - D_ail/2  ) )</f>
        <v>97</v>
      </c>
      <c r="F30" s="516" t="str">
        <f>IF(Lang="Français","Couple","Torque")</f>
        <v>Couple</v>
      </c>
      <c r="G30" s="511">
        <f>IF(RIGHT(Type_fusee,1)=".",40, IF(OR(LEFT(Type_fusee,1)="R",LEFT(Type_fusee,1)=",",LEFT(Type_fusee,4)="Mini"),30, IF(LEFT(Type_fusee,5)="Micro",15, IF(RIGHT(Type_fusee,1)=" ",15))))</f>
        <v>40</v>
      </c>
      <c r="H30" s="99">
        <f ca="1">MS_min*Cn</f>
        <v>30.380850637509671</v>
      </c>
      <c r="I30" s="96">
        <f ca="1">MS_max*Cn0</f>
        <v>93.735869430419754</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Ailerons trop petits ou trop haut /CdM !</v>
      </c>
      <c r="U30" s="24" t="s">
        <v>574</v>
      </c>
      <c r="V30" s="24" t="s">
        <v>575</v>
      </c>
    </row>
    <row r="31" spans="1:22" ht="12.75" customHeight="1" x14ac:dyDescent="0.2">
      <c r="A31" s="25"/>
      <c r="B31" s="524" t="str">
        <f>IF(Lang="Français"," Envergure     'E'",IF(Lang="English"," Span          'E'",""))</f>
        <v xml:space="preserve"> Envergure     'E'</v>
      </c>
      <c r="C31" s="35">
        <v>145</v>
      </c>
      <c r="D31" s="35">
        <v>107</v>
      </c>
      <c r="E31" s="146">
        <f>ep_ail</f>
        <v>3</v>
      </c>
      <c r="F31" s="106" t="s">
        <v>55</v>
      </c>
      <c r="G31" s="103"/>
      <c r="H31" s="509">
        <f>(Cnai*XCpa+Cnc*XCpc+Cnj*XCpj+Cnr*XCpr+Cno*XCpo)/(Cnai+Cnc+Cnr+Cnj+Cno)</f>
        <v>1299.8709230581501</v>
      </c>
      <c r="I31" s="509">
        <f>(Cnail*XCpa+Cnc*XCpc+Cnj*XCpj+Cnr*XCpr+Cno*XCpo)/(Cnail+Cnc+Cnr+Cnj+Cno)</f>
        <v>1398.7372071664229</v>
      </c>
      <c r="J31" s="102"/>
      <c r="K31" s="32"/>
      <c r="Q31" s="29"/>
      <c r="R31" s="38"/>
      <c r="S31" s="388"/>
      <c r="U31" s="24">
        <v>2.12</v>
      </c>
      <c r="V31" s="24">
        <v>24.960999999999999</v>
      </c>
    </row>
    <row r="32" spans="1:22" ht="12.75" customHeight="1" x14ac:dyDescent="0.2">
      <c r="A32" s="25"/>
      <c r="B32" s="525" t="str">
        <f>IF(Lang="Français"," Epaisseur     'ep'",IF(Lang="English"," Thickness  'ep'",""))</f>
        <v xml:space="preserve"> Epaisseur     'ep'</v>
      </c>
      <c r="C32" s="35">
        <v>3</v>
      </c>
      <c r="D32" s="35">
        <v>3</v>
      </c>
      <c r="E32" s="146">
        <f>IF(Q_ail=Q_can,Q_ail,FALSE)</f>
        <v>4</v>
      </c>
      <c r="F32" s="106" t="s">
        <v>66</v>
      </c>
      <c r="G32" s="103"/>
      <c r="H32" s="100">
        <f ca="1">(XCp-XcgPlein)/Long_tot*100</f>
        <v>5.6117874813225441</v>
      </c>
      <c r="I32" s="101">
        <f ca="1">(XCp-XcgVide)/Long_tot*100</f>
        <v>9.6218832664361038</v>
      </c>
      <c r="J32" s="102"/>
      <c r="K32" s="32"/>
      <c r="Q32" s="29"/>
      <c r="R32" s="38"/>
      <c r="U32" s="24">
        <v>2.9</v>
      </c>
      <c r="V32" s="24">
        <v>24.960999999999999</v>
      </c>
    </row>
    <row r="33" spans="1:23" ht="12.75" customHeight="1" x14ac:dyDescent="0.2">
      <c r="A33" s="25"/>
      <c r="B33" s="524" t="str">
        <f>IF(Lang="Français"," Nombre            ",IF(Lang="English"," Number of fins",""))</f>
        <v xml:space="preserve"> Nombre            </v>
      </c>
      <c r="C33" s="36">
        <v>4</v>
      </c>
      <c r="D33" s="36">
        <v>4</v>
      </c>
      <c r="E33" s="146">
        <f>X_ail</f>
        <v>1972</v>
      </c>
      <c r="G33" s="24"/>
      <c r="H33" s="579" t="str">
        <f ca="1">IF(AND(CritCnmin&lt;Cn,Cn0&lt;CritCnmax,CritMsmin&lt;MS_min,MS_max&lt;CritMsmax,CritMsCnmin&lt;MS_Cn_min,MS_Cn_max&lt;CritMsCnmax),"STABLE",IF(OR(Cn&lt;CritCnmin,MS_min&lt;CritMsmin,MS_Cn_min&lt;CritMsCnmin),"INSTABLE",IF(Lang="Français","SURSTABLE","OVERSTABLE")))</f>
        <v>INSTABLE</v>
      </c>
      <c r="I33" s="580"/>
      <c r="J33" s="31"/>
      <c r="K33" s="32"/>
      <c r="Q33" s="29"/>
      <c r="R33" s="38"/>
    </row>
    <row r="34" spans="1:23" ht="12.75" customHeight="1" x14ac:dyDescent="0.2">
      <c r="A34" s="25"/>
      <c r="B34" s="524" t="str">
        <f>IF(Lang="Français"," Position du bas",IF(Lang="English"," Basement",""))</f>
        <v xml:space="preserve"> Position du bas</v>
      </c>
      <c r="C34" s="35">
        <v>1972</v>
      </c>
      <c r="D34" s="35">
        <v>942</v>
      </c>
      <c r="E34" s="146">
        <f>D_ail</f>
        <v>104</v>
      </c>
      <c r="G34" s="24"/>
      <c r="H34" s="581"/>
      <c r="I34" s="582"/>
      <c r="K34" s="32"/>
      <c r="Q34" s="29"/>
      <c r="R34" s="38"/>
    </row>
    <row r="35" spans="1:23" ht="12.75" customHeight="1" x14ac:dyDescent="0.2">
      <c r="A35" s="25"/>
      <c r="B35" s="524" t="str">
        <f>IF(Lang="Français"," Diamètre         ",IF(Lang="English"," Diameter at Fins",""))</f>
        <v xml:space="preserve"> Diamètre         </v>
      </c>
      <c r="C35" s="35">
        <v>104</v>
      </c>
      <c r="D35" s="35">
        <v>84</v>
      </c>
      <c r="E35" s="146">
        <f>SQRT(POWER(p_int+n_int/2-m_int/2,2)+POWER(E_int,2))</f>
        <v>128.06802777589206</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191.44189719076647</v>
      </c>
      <c r="D36" s="145">
        <f>SQRT(POWER(p_can+n_can/2-m_can/2,2)+POWER(E_can,2))</f>
        <v>130.66751700403586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-942</v>
      </c>
      <c r="D126" s="46">
        <f>IF(AND(RIGHT(Nb_diam,1)=".",X_j), D1j/2, D125 )</f>
        <v>42</v>
      </c>
      <c r="E126" s="93">
        <f t="shared" si="0"/>
        <v>-42</v>
      </c>
      <c r="K126" s="46"/>
    </row>
    <row r="127" spans="2:18" x14ac:dyDescent="0.2">
      <c r="B127" s="45" t="s">
        <v>74</v>
      </c>
      <c r="C127" s="46">
        <f>IF(AND(RIGHT(Nb_diam,1)=".",X_j), -X_j-l_j, C126 )</f>
        <v>-1002</v>
      </c>
      <c r="D127" s="46">
        <f>IF(AND(RIGHT(Nb_diam,1)=".",X_j), D2j/2, D126 )</f>
        <v>52</v>
      </c>
      <c r="E127" s="93">
        <f t="shared" si="0"/>
        <v>-52</v>
      </c>
      <c r="K127" s="46"/>
    </row>
    <row r="128" spans="2:18" x14ac:dyDescent="0.2">
      <c r="B128" s="45" t="s">
        <v>75</v>
      </c>
      <c r="C128" s="46">
        <f>IF(AND(RIGHT(Nb_diam,1)=".",X_r), -X_r, C127 )</f>
        <v>-2002</v>
      </c>
      <c r="D128" s="46">
        <f>IF(AND(RIGHT(Nb_diam,1)=".",X_r), D1r/2, D127 )</f>
        <v>52</v>
      </c>
      <c r="E128" s="93">
        <f t="shared" si="0"/>
        <v>-52</v>
      </c>
      <c r="K128" s="46"/>
    </row>
    <row r="129" spans="2:11" x14ac:dyDescent="0.2">
      <c r="B129" s="45" t="s">
        <v>76</v>
      </c>
      <c r="C129" s="46">
        <f>IF(AND(RIGHT(Nb_diam,1)=".",X_r), -X_r-l_r, C128 )</f>
        <v>-2042</v>
      </c>
      <c r="D129" s="46">
        <f>IF(AND(RIGHT(Nb_diam,1)=".",X_r), D2r/2, D128 )</f>
        <v>42</v>
      </c>
      <c r="E129" s="93">
        <f t="shared" si="0"/>
        <v>-42</v>
      </c>
      <c r="K129" s="46"/>
    </row>
    <row r="130" spans="2:11" x14ac:dyDescent="0.2">
      <c r="B130" s="45" t="s">
        <v>77</v>
      </c>
      <c r="C130" s="46">
        <f>-Long_tot</f>
        <v>-2052</v>
      </c>
      <c r="D130" s="46">
        <f>D129</f>
        <v>42</v>
      </c>
      <c r="E130" s="93">
        <f t="shared" si="0"/>
        <v>-42</v>
      </c>
      <c r="K130" s="46"/>
    </row>
    <row r="131" spans="2:11" x14ac:dyDescent="0.2">
      <c r="B131" s="45" t="s">
        <v>77</v>
      </c>
      <c r="C131" s="46">
        <f>-Long_tot</f>
        <v>-2052</v>
      </c>
      <c r="D131" s="46">
        <v>0</v>
      </c>
      <c r="E131" s="93">
        <f t="shared" si="0"/>
        <v>0</v>
      </c>
      <c r="K131" s="46"/>
    </row>
    <row r="132" spans="2:11" x14ac:dyDescent="0.2">
      <c r="B132" s="183" t="s">
        <v>78</v>
      </c>
      <c r="C132" s="197">
        <f>-X_ail+m_ail</f>
        <v>-1782</v>
      </c>
      <c r="D132" s="197">
        <f>D_ail/2</f>
        <v>52</v>
      </c>
      <c r="E132" s="198">
        <f t="shared" si="0"/>
        <v>-52</v>
      </c>
      <c r="K132" s="46"/>
    </row>
    <row r="133" spans="2:11" x14ac:dyDescent="0.2">
      <c r="B133" s="185" t="s">
        <v>79</v>
      </c>
      <c r="C133" s="46">
        <f>-X_ail+m_ail-p_ail</f>
        <v>-1962</v>
      </c>
      <c r="D133" s="46">
        <f>D_ail/2+E_ail</f>
        <v>197</v>
      </c>
      <c r="E133" s="199">
        <f t="shared" si="0"/>
        <v>-197</v>
      </c>
      <c r="K133" s="46"/>
    </row>
    <row r="134" spans="2:11" x14ac:dyDescent="0.2">
      <c r="B134" s="185" t="s">
        <v>80</v>
      </c>
      <c r="C134" s="46">
        <f>-X_ail+m_ail-p_ail-n_ail</f>
        <v>-2042</v>
      </c>
      <c r="D134" s="46">
        <f>D_ail/2+E_ail</f>
        <v>197</v>
      </c>
      <c r="E134" s="199">
        <f t="shared" si="0"/>
        <v>-197</v>
      </c>
      <c r="K134" s="46"/>
    </row>
    <row r="135" spans="2:11" x14ac:dyDescent="0.2">
      <c r="B135" s="185" t="s">
        <v>81</v>
      </c>
      <c r="C135" s="46">
        <f>-X_ail</f>
        <v>-1972</v>
      </c>
      <c r="D135" s="46">
        <f>D_ail/2</f>
        <v>52</v>
      </c>
      <c r="E135" s="199">
        <f t="shared" si="0"/>
        <v>-52</v>
      </c>
      <c r="K135" s="46"/>
    </row>
    <row r="136" spans="2:11" x14ac:dyDescent="0.2">
      <c r="B136" s="187" t="s">
        <v>78</v>
      </c>
      <c r="C136" s="200">
        <f>-X_ail+m_ail</f>
        <v>-1782</v>
      </c>
      <c r="D136" s="200">
        <f>D_ail/2</f>
        <v>52</v>
      </c>
      <c r="E136" s="201">
        <f t="shared" si="0"/>
        <v>-52</v>
      </c>
      <c r="K136" s="46"/>
    </row>
    <row r="137" spans="2:11" x14ac:dyDescent="0.2">
      <c r="B137" s="192" t="str">
        <f>IF(E_ail&gt;0,IF(Lang="Français","Envergure","Span"),"")</f>
        <v>Envergure</v>
      </c>
      <c r="C137" s="197">
        <f>MIN(-X_ail,-X_ail+m_ail-p_ail-n_ail)-Long_tot/30</f>
        <v>-2110.4</v>
      </c>
      <c r="D137" s="207">
        <f>-D_ail/2-E_ail</f>
        <v>-197</v>
      </c>
      <c r="E137" s="93"/>
      <c r="K137" s="46"/>
    </row>
    <row r="138" spans="2:11" x14ac:dyDescent="0.2">
      <c r="B138" s="195" t="s">
        <v>166</v>
      </c>
      <c r="C138" s="46">
        <f>MIN(-X_ail,-X_ail+m_ail-p_ail-n_ail)-Long_tot/30</f>
        <v>-2110.4</v>
      </c>
      <c r="D138" s="208">
        <f>-D_ail/2-E_ail/2</f>
        <v>-124.5</v>
      </c>
      <c r="E138" s="93"/>
      <c r="K138" s="46"/>
    </row>
    <row r="139" spans="2:11" x14ac:dyDescent="0.2">
      <c r="B139" s="212" t="s">
        <v>162</v>
      </c>
      <c r="C139" s="200">
        <f>MIN(-X_ail,-X_ail+m_ail-p_ail-n_ail)-Long_tot/30</f>
        <v>-2110.4</v>
      </c>
      <c r="D139" s="209">
        <f>-D_ail/2</f>
        <v>-52</v>
      </c>
      <c r="E139" s="93"/>
      <c r="K139" s="46"/>
    </row>
    <row r="140" spans="2:11" x14ac:dyDescent="0.2">
      <c r="B140" s="192" t="str">
        <f>IF(Lang="Français","Emplanture","Root edge")</f>
        <v>Emplanture</v>
      </c>
      <c r="C140" s="197">
        <f>-X_ail+m_ail</f>
        <v>-1782</v>
      </c>
      <c r="D140" s="207">
        <f>D_ail/2+E_ail+Long_tot/20</f>
        <v>299.60000000000002</v>
      </c>
      <c r="E140" s="93"/>
      <c r="K140" s="46"/>
    </row>
    <row r="141" spans="2:11" x14ac:dyDescent="0.2">
      <c r="B141" s="195" t="s">
        <v>168</v>
      </c>
      <c r="C141" s="46">
        <f>-X_ail+m_ail/2</f>
        <v>-1877</v>
      </c>
      <c r="D141" s="208">
        <f>D_ail/2+E_ail+Long_tot/20</f>
        <v>299.60000000000002</v>
      </c>
      <c r="E141" s="93"/>
      <c r="K141" s="46"/>
    </row>
    <row r="142" spans="2:11" x14ac:dyDescent="0.2">
      <c r="B142" s="212" t="s">
        <v>169</v>
      </c>
      <c r="C142" s="200">
        <f>-X_ail</f>
        <v>-1972</v>
      </c>
      <c r="D142" s="209">
        <f>D_ail/2+E_ail+Long_tot/20</f>
        <v>299.60000000000002</v>
      </c>
      <c r="E142" s="93"/>
      <c r="K142" s="46"/>
    </row>
    <row r="143" spans="2:11" x14ac:dyDescent="0.2">
      <c r="B143" s="192" t="str">
        <f>IF(p_ail&lt;&gt;0,IF(Lang="Français","Flèche","Offset"),"")</f>
        <v>Flèche</v>
      </c>
      <c r="C143" s="197">
        <f>-X_ail+m_ail</f>
        <v>-1782</v>
      </c>
      <c r="D143" s="207">
        <f>-D_ail/2-E_ail-Long_tot/30</f>
        <v>-265.39999999999998</v>
      </c>
      <c r="E143" s="93"/>
      <c r="K143" s="46"/>
    </row>
    <row r="144" spans="2:11" x14ac:dyDescent="0.2">
      <c r="B144" s="195" t="s">
        <v>165</v>
      </c>
      <c r="C144" s="46">
        <f>-X_ail+m_ail-p_ail/2</f>
        <v>-1872</v>
      </c>
      <c r="D144" s="208">
        <f>-D_ail/2-E_ail-Long_tot/30</f>
        <v>-265.39999999999998</v>
      </c>
      <c r="E144" s="93"/>
      <c r="K144" s="46"/>
    </row>
    <row r="145" spans="2:11" x14ac:dyDescent="0.2">
      <c r="B145" s="212" t="s">
        <v>163</v>
      </c>
      <c r="C145" s="200">
        <f>-X_ail+m_ail-p_ail</f>
        <v>-1962</v>
      </c>
      <c r="D145" s="209">
        <f>-D_ail/2-E_ail-Long_tot/30</f>
        <v>-265.39999999999998</v>
      </c>
      <c r="E145" s="93"/>
      <c r="K145" s="46"/>
    </row>
    <row r="146" spans="2:11" x14ac:dyDescent="0.2">
      <c r="B146" s="192" t="str">
        <f>IF(n_ail&gt;0,IF(Lang="Français","Saumon","Tip edge"),"")</f>
        <v>Saumon</v>
      </c>
      <c r="C146" s="197">
        <f>-X_ail+m_ail-p_ail</f>
        <v>-1962</v>
      </c>
      <c r="D146" s="207">
        <f>-D_ail/2-E_ail-Long_tot/20</f>
        <v>-299.60000000000002</v>
      </c>
      <c r="E146" s="93"/>
      <c r="K146" s="46"/>
    </row>
    <row r="147" spans="2:11" x14ac:dyDescent="0.2">
      <c r="B147" s="195" t="s">
        <v>167</v>
      </c>
      <c r="C147" s="46">
        <f>-X_ail+m_ail-p_ail-n_ail/2</f>
        <v>-2002</v>
      </c>
      <c r="D147" s="208">
        <f>-D_ail/2-E_ail-Long_tot/20</f>
        <v>-299.60000000000002</v>
      </c>
      <c r="E147" s="93"/>
      <c r="K147" s="46"/>
    </row>
    <row r="148" spans="2:11" x14ac:dyDescent="0.2">
      <c r="B148" s="212" t="s">
        <v>164</v>
      </c>
      <c r="C148" s="200">
        <f>-X_ail+m_ail-p_ail-n_ail</f>
        <v>-2042</v>
      </c>
      <c r="D148" s="209">
        <f>-D_ail/2-E_ail-Long_tot/20</f>
        <v>-299.60000000000002</v>
      </c>
      <c r="E148" s="93"/>
      <c r="K148" s="46"/>
    </row>
    <row r="149" spans="2:11" x14ac:dyDescent="0.2">
      <c r="B149" s="183" t="s">
        <v>82</v>
      </c>
      <c r="C149" s="197">
        <f ca="1">-XcgPlein</f>
        <v>-1184.7170439414115</v>
      </c>
      <c r="D149" s="207">
        <v>0</v>
      </c>
      <c r="E149" s="93"/>
      <c r="K149" s="46"/>
    </row>
    <row r="150" spans="2:11" x14ac:dyDescent="0.2">
      <c r="B150" s="187" t="s">
        <v>83</v>
      </c>
      <c r="C150" s="200">
        <f ca="1">-XcgVide</f>
        <v>-1102.4298784308812</v>
      </c>
      <c r="D150" s="209">
        <v>0</v>
      </c>
      <c r="E150" s="93"/>
      <c r="K150" s="46"/>
    </row>
    <row r="151" spans="2:11" x14ac:dyDescent="0.2">
      <c r="B151" s="183" t="s">
        <v>84</v>
      </c>
      <c r="C151" s="197">
        <f>-XCp</f>
        <v>-1299.8709230581501</v>
      </c>
      <c r="D151" s="207">
        <v>0</v>
      </c>
      <c r="E151" s="93"/>
      <c r="K151" s="46"/>
    </row>
    <row r="152" spans="2:11" x14ac:dyDescent="0.2">
      <c r="B152" s="187" t="s">
        <v>84</v>
      </c>
      <c r="C152" s="200">
        <f>-XCp</f>
        <v>-1299.8709230581501</v>
      </c>
      <c r="D152" s="209">
        <f>Cn*D_ref/CritCnmin</f>
        <v>156.51015117496797</v>
      </c>
      <c r="E152" s="93"/>
      <c r="K152" s="46"/>
    </row>
    <row r="153" spans="2:11" x14ac:dyDescent="0.2">
      <c r="B153" s="185" t="s">
        <v>422</v>
      </c>
      <c r="C153" s="46">
        <f>-XCp0</f>
        <v>-1398.7372071664229</v>
      </c>
      <c r="D153" s="208">
        <f>Cn0*D_ref/CritCnmin</f>
        <v>187.6655571144149</v>
      </c>
      <c r="E153" s="93"/>
      <c r="K153" s="46"/>
    </row>
    <row r="154" spans="2:11" x14ac:dyDescent="0.2">
      <c r="B154" s="185" t="s">
        <v>422</v>
      </c>
      <c r="C154" s="46">
        <f>-XCp0</f>
        <v>-1398.7372071664229</v>
      </c>
      <c r="D154" s="208">
        <v>0</v>
      </c>
      <c r="E154" s="93"/>
      <c r="K154" s="46"/>
    </row>
    <row r="155" spans="2:11" x14ac:dyDescent="0.2">
      <c r="B155" s="192" t="str">
        <f>IF(n_ail&gt;0,IF(Lang="Français","Marge Statique","Static Margin"),"")</f>
        <v>Marge Statique</v>
      </c>
      <c r="C155" s="197">
        <f ca="1">(-XcgPlein-XcgVide)/2</f>
        <v>-1143.5734611861462</v>
      </c>
      <c r="D155" s="207">
        <f>-D_ail/2-E_ail-Long_tot/20</f>
        <v>-299.60000000000002</v>
      </c>
      <c r="E155" s="93"/>
      <c r="K155" s="46"/>
    </row>
    <row r="156" spans="2:11" x14ac:dyDescent="0.2">
      <c r="B156" s="195" t="s">
        <v>170</v>
      </c>
      <c r="C156" s="46">
        <f ca="1">(C155+C157)/2</f>
        <v>-1221.722192122148</v>
      </c>
      <c r="D156" s="208">
        <f>-D_ail/2-E_ail-Long_tot/20</f>
        <v>-299.60000000000002</v>
      </c>
      <c r="E156" s="93"/>
      <c r="K156" s="46"/>
    </row>
    <row r="157" spans="2:11" x14ac:dyDescent="0.2">
      <c r="B157" s="212" t="s">
        <v>171</v>
      </c>
      <c r="C157" s="200">
        <f>-XCp</f>
        <v>-1299.8709230581501</v>
      </c>
      <c r="D157" s="209">
        <f>-D_ail/2-E_ail-Long_tot/20</f>
        <v>-299.60000000000002</v>
      </c>
      <c r="E157" s="93"/>
      <c r="K157" s="46"/>
    </row>
    <row r="158" spans="2:11" x14ac:dyDescent="0.2">
      <c r="B158" s="183" t="s">
        <v>85</v>
      </c>
      <c r="C158" s="197">
        <f>IF(LEFT(Type_masquage,1)="M",0,-X_can+m_can)</f>
        <v>-772</v>
      </c>
      <c r="D158" s="197">
        <f>IF(LEFT(Type_masquage,1)="M",0,D_ail/2)</f>
        <v>52</v>
      </c>
      <c r="E158" s="198">
        <f t="shared" ref="E158:E167" si="1">-D158</f>
        <v>-52</v>
      </c>
      <c r="K158" s="46"/>
    </row>
    <row r="159" spans="2:11" x14ac:dyDescent="0.2">
      <c r="B159" s="185" t="s">
        <v>86</v>
      </c>
      <c r="C159" s="46">
        <f>IF(LEFT(Type_masquage,1)="M",0,-X_can+m_can-p_can)</f>
        <v>-892</v>
      </c>
      <c r="D159" s="46">
        <f>IF(LEFT(Type_masquage,1)="M",0,D_ail/2+E_can)</f>
        <v>159</v>
      </c>
      <c r="E159" s="199">
        <f t="shared" si="1"/>
        <v>-159</v>
      </c>
      <c r="K159" s="46"/>
    </row>
    <row r="160" spans="2:11" x14ac:dyDescent="0.2">
      <c r="B160" s="185" t="s">
        <v>87</v>
      </c>
      <c r="C160" s="46">
        <f>IF(LEFT(Type_masquage,1)="M",0,-X_can+m_can-p_can-n_can)</f>
        <v>-972</v>
      </c>
      <c r="D160" s="46">
        <f>IF(LEFT(Type_masquage,1)="M",0,D_ail/2+E_can)</f>
        <v>159</v>
      </c>
      <c r="E160" s="199">
        <f t="shared" si="1"/>
        <v>-159</v>
      </c>
      <c r="K160" s="46"/>
    </row>
    <row r="161" spans="2:11" x14ac:dyDescent="0.2">
      <c r="B161" s="185" t="s">
        <v>88</v>
      </c>
      <c r="C161" s="46">
        <f>IF(LEFT(Type_masquage,1)="M",0,-X_can)</f>
        <v>-942</v>
      </c>
      <c r="D161" s="46">
        <f>IF(LEFT(Type_masquage,1)="M",0,D_ail/2)</f>
        <v>52</v>
      </c>
      <c r="E161" s="199">
        <f t="shared" si="1"/>
        <v>-52</v>
      </c>
      <c r="K161" s="46"/>
    </row>
    <row r="162" spans="2:11" x14ac:dyDescent="0.2">
      <c r="B162" s="187" t="s">
        <v>85</v>
      </c>
      <c r="C162" s="200">
        <f>IF(LEFT(Type_masquage,1)="M",0,-X_can+m_can)</f>
        <v>-772</v>
      </c>
      <c r="D162" s="200">
        <f>IF(LEFT(Type_masquage,1)="M",0,D_ail/2)</f>
        <v>52</v>
      </c>
      <c r="E162" s="201">
        <f t="shared" si="1"/>
        <v>-52</v>
      </c>
      <c r="K162" s="46"/>
    </row>
    <row r="163" spans="2:11" x14ac:dyDescent="0.2">
      <c r="B163" s="183" t="s">
        <v>89</v>
      </c>
      <c r="C163" s="197">
        <f>IF(LEFT(Type_masquage,1)="B",-X_int+m_int,0)</f>
        <v>-1782</v>
      </c>
      <c r="D163" s="197">
        <f>IF(LEFT(Type_masquage,1)="B",D_int/2,0)</f>
        <v>52</v>
      </c>
      <c r="E163" s="198">
        <f t="shared" si="1"/>
        <v>-52</v>
      </c>
      <c r="K163" s="46"/>
    </row>
    <row r="164" spans="2:11" x14ac:dyDescent="0.2">
      <c r="B164" s="185" t="s">
        <v>90</v>
      </c>
      <c r="C164" s="46">
        <f>IF(LEFT(Type_masquage,1)="B",-X_int+m_int-p_int,0)</f>
        <v>-1902.4137931034484</v>
      </c>
      <c r="D164" s="46">
        <f>IF(LEFT(Type_masquage,1)="B",D_int/2+E_int,0)</f>
        <v>149</v>
      </c>
      <c r="E164" s="199">
        <f t="shared" si="1"/>
        <v>-149</v>
      </c>
      <c r="K164" s="46"/>
    </row>
    <row r="165" spans="2:11" x14ac:dyDescent="0.2">
      <c r="B165" s="185" t="s">
        <v>91</v>
      </c>
      <c r="C165" s="46">
        <f>IF(LEFT(Type_masquage,1)="B",-X_int+m_int-p_int-n_int,0)</f>
        <v>-2018.8275862068967</v>
      </c>
      <c r="D165" s="46">
        <f>IF(LEFT(Type_masquage,1)="B",D_int/2+E_int,0)</f>
        <v>149</v>
      </c>
      <c r="E165" s="199">
        <f t="shared" si="1"/>
        <v>-149</v>
      </c>
      <c r="K165" s="46"/>
    </row>
    <row r="166" spans="2:11" x14ac:dyDescent="0.2">
      <c r="B166" s="185" t="s">
        <v>92</v>
      </c>
      <c r="C166" s="46">
        <f>IF(LEFT(Type_masquage,1)="B",-X_int,0)</f>
        <v>-1972</v>
      </c>
      <c r="D166" s="46">
        <f>IF(LEFT(Type_masquage,1)="B",D_int/2,0)</f>
        <v>52</v>
      </c>
      <c r="E166" s="199">
        <f t="shared" si="1"/>
        <v>-52</v>
      </c>
      <c r="K166" s="46"/>
    </row>
    <row r="167" spans="2:11" x14ac:dyDescent="0.2">
      <c r="B167" s="187" t="s">
        <v>89</v>
      </c>
      <c r="C167" s="200">
        <f>IF(LEFT(Type_masquage,1)="B",-X_int+m_int,0)</f>
        <v>-1782</v>
      </c>
      <c r="D167" s="200">
        <f>IF(LEFT(Type_masquage,1)="B",D_int/2,0)</f>
        <v>52</v>
      </c>
      <c r="E167" s="201">
        <f t="shared" si="1"/>
        <v>-52</v>
      </c>
      <c r="K167" s="46"/>
    </row>
    <row r="168" spans="2:11" x14ac:dyDescent="0.2">
      <c r="B168" s="45" t="s">
        <v>93</v>
      </c>
      <c r="C168" s="46">
        <f>-MAX(Long_tot, X_ail-m_ail+p_ail+n_ail, (E_ail+D_ail/2)*3.2)*1.01</f>
        <v>-2072.52</v>
      </c>
      <c r="D168" s="46">
        <f>MAX(E_ail+D_ail/2, Long_tot/3)</f>
        <v>684</v>
      </c>
      <c r="E168" s="93"/>
      <c r="K168" s="46"/>
    </row>
    <row r="169" spans="2:11" x14ac:dyDescent="0.2">
      <c r="B169" s="45" t="s">
        <v>93</v>
      </c>
      <c r="C169" s="46">
        <f>C168</f>
        <v>-2072.52</v>
      </c>
      <c r="D169" s="46">
        <f>-D168</f>
        <v>-684</v>
      </c>
      <c r="E169" s="93"/>
      <c r="K169" s="46"/>
    </row>
    <row r="170" spans="2:11" x14ac:dyDescent="0.2">
      <c r="B170" s="183" t="s">
        <v>94</v>
      </c>
      <c r="C170" s="197">
        <f ca="1">-XpropuRef+Long_propu</f>
        <v>-1564</v>
      </c>
      <c r="D170" s="207">
        <f ca="1">-Diam_propu/2</f>
        <v>-27</v>
      </c>
      <c r="E170" s="93"/>
      <c r="K170" s="46"/>
    </row>
    <row r="171" spans="2:11" x14ac:dyDescent="0.2">
      <c r="B171" s="185" t="s">
        <v>95</v>
      </c>
      <c r="C171" s="46">
        <f ca="1">-XpropuRef+Long_propu</f>
        <v>-1564</v>
      </c>
      <c r="D171" s="208">
        <f ca="1">Diam_propu/2</f>
        <v>27</v>
      </c>
      <c r="E171" s="93"/>
      <c r="K171" s="46"/>
    </row>
    <row r="172" spans="2:11" x14ac:dyDescent="0.2">
      <c r="B172" s="185" t="s">
        <v>96</v>
      </c>
      <c r="C172" s="46">
        <f>-XpropuRef</f>
        <v>-2052</v>
      </c>
      <c r="D172" s="208">
        <f ca="1">Diam_propu/2</f>
        <v>27</v>
      </c>
      <c r="E172" s="93"/>
      <c r="K172" s="46"/>
    </row>
    <row r="173" spans="2:11" x14ac:dyDescent="0.2">
      <c r="B173" s="185" t="s">
        <v>97</v>
      </c>
      <c r="C173" s="46">
        <f>-XpropuRef</f>
        <v>-2052</v>
      </c>
      <c r="D173" s="208">
        <f ca="1">-Diam_propu/2</f>
        <v>-27</v>
      </c>
      <c r="E173" s="93"/>
      <c r="K173" s="46"/>
    </row>
    <row r="174" spans="2:11" x14ac:dyDescent="0.2">
      <c r="B174" s="187" t="s">
        <v>98</v>
      </c>
      <c r="C174" s="200">
        <f ca="1">-XpropuRef+Long_propu</f>
        <v>-1564</v>
      </c>
      <c r="D174" s="209">
        <f ca="1">-Diam_propu/2</f>
        <v>-27</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1.2207377249728655</v>
      </c>
      <c r="C190" s="203">
        <f>Cn</f>
        <v>24.887287429562296</v>
      </c>
      <c r="D190" s="185">
        <v>3</v>
      </c>
      <c r="E190" s="205">
        <f t="shared" si="4"/>
        <v>33.333333333333336</v>
      </c>
      <c r="K190" s="45"/>
    </row>
    <row r="191" spans="2:11" x14ac:dyDescent="0.2">
      <c r="B191" s="512">
        <f ca="1">(XCp0-XcgPlein)/D_ref</f>
        <v>2.2688118642426609</v>
      </c>
      <c r="C191" s="513">
        <f>Cn0</f>
        <v>29.841429616370945</v>
      </c>
      <c r="D191" s="185">
        <v>4</v>
      </c>
      <c r="E191" s="205">
        <f t="shared" si="4"/>
        <v>25</v>
      </c>
      <c r="K191" s="45"/>
    </row>
    <row r="192" spans="2:11" x14ac:dyDescent="0.2">
      <c r="B192" s="512">
        <f ca="1">(XCp0-XcgVide)/D_ref</f>
        <v>3.141131997878428</v>
      </c>
      <c r="C192" s="513">
        <f>Cn0</f>
        <v>29.841429616370945</v>
      </c>
      <c r="D192" s="185">
        <v>6</v>
      </c>
      <c r="E192" s="205">
        <f t="shared" si="4"/>
        <v>16.666666666666668</v>
      </c>
      <c r="K192" s="45"/>
    </row>
    <row r="193" spans="2:11" x14ac:dyDescent="0.2">
      <c r="B193" s="512">
        <f ca="1">(XCp-XcgVide)/D_ref</f>
        <v>2.0930578586086321</v>
      </c>
      <c r="C193" s="513">
        <f>Cn</f>
        <v>24.887287429562296</v>
      </c>
      <c r="D193" s="187">
        <v>7</v>
      </c>
      <c r="E193" s="206">
        <f t="shared" si="4"/>
        <v>14.285714285714286</v>
      </c>
      <c r="K193" s="45"/>
    </row>
    <row r="194" spans="2:11" x14ac:dyDescent="0.2">
      <c r="B194" s="512">
        <f ca="1">MS_min</f>
        <v>1.2207377249728655</v>
      </c>
      <c r="C194" s="514">
        <f>Cn</f>
        <v>24.887287429562296</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topLeftCell="A10" zoomScaleNormal="100" workbookViewId="0">
      <selection activeCell="T33" sqref="T33"/>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632" t="s">
        <v>0</v>
      </c>
      <c r="D2" s="632"/>
      <c r="F2" s="3"/>
      <c r="J2" s="4"/>
      <c r="N2" s="57"/>
    </row>
    <row r="3" spans="1:14" ht="12.75" customHeight="1" x14ac:dyDescent="0.2">
      <c r="A3" s="56"/>
      <c r="B3" s="2"/>
      <c r="C3" s="632"/>
      <c r="D3" s="632"/>
      <c r="H3" s="5"/>
      <c r="J3" s="4"/>
      <c r="N3" s="57"/>
    </row>
    <row r="4" spans="1:14" ht="12.75" customHeight="1" x14ac:dyDescent="0.2">
      <c r="A4" s="56"/>
      <c r="B4" s="2"/>
      <c r="C4" s="636" t="str">
        <f>IF(Lang="Français","Trajectographie de fusée",IF(Lang="English","Rocket Trajectography",""))</f>
        <v>Trajectographie de fusée</v>
      </c>
      <c r="D4" s="636"/>
      <c r="H4" s="5"/>
      <c r="J4" s="4"/>
      <c r="N4" s="57"/>
    </row>
    <row r="5" spans="1:14" ht="12.75" customHeight="1" x14ac:dyDescent="0.2">
      <c r="A5" s="56"/>
      <c r="B5" s="2"/>
      <c r="C5" s="631"/>
      <c r="D5" s="631"/>
      <c r="J5" s="4"/>
      <c r="N5" s="57"/>
    </row>
    <row r="6" spans="1:14" ht="12.95" customHeight="1" x14ac:dyDescent="0.2">
      <c r="A6" s="56"/>
      <c r="B6" s="87"/>
      <c r="C6" s="635" t="str">
        <f>IF(Lang="Français","Remplir les cases jaunes",IF(Lang="English","Fill-in yellow cells only",""))</f>
        <v>Remplir les cases jaunes</v>
      </c>
      <c r="D6" s="635"/>
      <c r="J6" s="4"/>
      <c r="N6" s="57"/>
    </row>
    <row r="7" spans="1:14" x14ac:dyDescent="0.2">
      <c r="A7" s="56"/>
      <c r="B7" s="6"/>
      <c r="C7" s="612" t="str">
        <f>IF(Lang="Français","Fusée",IF(Lang="English","Rocket",""))</f>
        <v>Fusée</v>
      </c>
      <c r="D7" s="612"/>
      <c r="N7" s="58"/>
    </row>
    <row r="8" spans="1:14" ht="12.75" customHeight="1" x14ac:dyDescent="0.25">
      <c r="A8" s="56"/>
      <c r="B8" s="140" t="str">
        <f>IF(Lang="Français","Nom",IF(Lang="English","Name",""))</f>
        <v>Nom</v>
      </c>
      <c r="C8" s="633" t="str">
        <f>Nom</f>
        <v>SP02</v>
      </c>
      <c r="D8" s="633"/>
      <c r="E8" s="5"/>
      <c r="F8" s="5"/>
      <c r="J8" s="4"/>
      <c r="N8" s="57"/>
    </row>
    <row r="9" spans="1:14" ht="12.75" customHeight="1" x14ac:dyDescent="0.25">
      <c r="A9" s="59"/>
      <c r="B9" s="140" t="s">
        <v>4</v>
      </c>
      <c r="C9" s="634" t="str">
        <f>Club</f>
        <v>L'AéroIPSA</v>
      </c>
      <c r="D9" s="634"/>
      <c r="F9" s="5"/>
      <c r="N9" s="58"/>
    </row>
    <row r="10" spans="1:14" ht="12.75" customHeight="1" x14ac:dyDescent="0.25">
      <c r="A10" s="59"/>
      <c r="B10" s="141" t="s">
        <v>563</v>
      </c>
      <c r="C10" s="630" t="str">
        <f>Matricule</f>
        <v>FX0</v>
      </c>
      <c r="D10" s="630"/>
      <c r="F10" s="5"/>
      <c r="N10" s="58"/>
    </row>
    <row r="11" spans="1:14" ht="12.75" customHeight="1" x14ac:dyDescent="0.2">
      <c r="A11" s="59"/>
      <c r="B11" s="140" t="str">
        <f>IF(Lang="Français","Masse totale",IF(Lang="English","Total Mass",""))</f>
        <v>Masse totale</v>
      </c>
      <c r="C11" s="607">
        <f ca="1">MassePlein</f>
        <v>9.0120000000000005</v>
      </c>
      <c r="D11" s="607"/>
      <c r="F11" s="5"/>
      <c r="N11" s="58"/>
    </row>
    <row r="12" spans="1:14" ht="12.75" customHeight="1" x14ac:dyDescent="0.2">
      <c r="A12" s="59"/>
      <c r="B12" s="227" t="str">
        <f>IF(Lang="Français","Propulseur",IF(Lang="English","Motor",""))</f>
        <v>Propulseur</v>
      </c>
      <c r="C12" s="610" t="str">
        <f>Propu</f>
        <v>Barasinga (Pro54-5G C)</v>
      </c>
      <c r="D12" s="611"/>
      <c r="F12" s="5"/>
      <c r="N12" s="58"/>
    </row>
    <row r="13" spans="1:14" ht="12.75" customHeight="1" x14ac:dyDescent="0.2">
      <c r="A13" s="59"/>
      <c r="N13" s="58"/>
    </row>
    <row r="14" spans="1:14" ht="12.75" customHeight="1" x14ac:dyDescent="0.2">
      <c r="A14" s="59"/>
      <c r="B14"/>
      <c r="C14" s="612" t="str">
        <f>IF(Lang="Français","Traînée Aérdynamique",IF(Lang="English","Drag",""))</f>
        <v>Traînée Aérdynamique</v>
      </c>
      <c r="D14" s="612"/>
      <c r="N14" s="58"/>
    </row>
    <row r="15" spans="1:14" ht="12.75" customHeight="1" x14ac:dyDescent="0.2">
      <c r="A15" s="59"/>
      <c r="B15" s="140" t="s">
        <v>40</v>
      </c>
      <c r="C15" s="613">
        <f>(PI()*D_ref^2/4+E_ail*ep_ail*Q_ail)/10^6</f>
        <v>8.7287948792451747E-3</v>
      </c>
      <c r="D15" s="613"/>
      <c r="N15" s="58"/>
    </row>
    <row r="16" spans="1:14" ht="12.75" customHeight="1" x14ac:dyDescent="0.2">
      <c r="A16" s="59"/>
      <c r="B16" s="141" t="s">
        <v>5</v>
      </c>
      <c r="C16" s="605">
        <v>0.7</v>
      </c>
      <c r="D16" s="606"/>
      <c r="N16" s="58"/>
    </row>
    <row r="17" spans="1:18" ht="12.75" customHeight="1" x14ac:dyDescent="0.2">
      <c r="A17" s="59"/>
      <c r="N17" s="58"/>
    </row>
    <row r="18" spans="1:18" ht="12.75" customHeight="1" x14ac:dyDescent="0.2">
      <c r="A18" s="59"/>
      <c r="B18"/>
      <c r="C18" s="612" t="str">
        <f>IF(Lang="Français","Rampe de Lancement",IF(Lang="English","Launch Pad",""))</f>
        <v>Rampe de Lancement</v>
      </c>
      <c r="D18" s="612"/>
      <c r="N18" s="58"/>
    </row>
    <row r="19" spans="1:18" ht="12.75" customHeight="1" x14ac:dyDescent="0.2">
      <c r="A19" s="59"/>
      <c r="B19" s="140" t="str">
        <f>IF(Lang="Français","Longueur",IF(Lang="English","Length",""))</f>
        <v>Longueur</v>
      </c>
      <c r="C19" s="609">
        <f>IF(RIGHT(Type_fusee,1)=".",4, IF(LEFT(Type_fusee,4)="Mini",2.5, IF(LEFT(Type_fusee,5)="Micro",1, IF(RIGHT(Type_fusee,1)=" ",0.1,IF(LEFT(Type_fusee,1)="R",3, 2.5)))))</f>
        <v>4</v>
      </c>
      <c r="D19" s="609"/>
      <c r="N19" s="58"/>
    </row>
    <row r="20" spans="1:18" ht="12.75" customHeight="1" x14ac:dyDescent="0.2">
      <c r="A20" s="59"/>
      <c r="B20" s="140" t="str">
        <f>IF(Lang="Français","Élévation",IF(Lang="English","Angle /horizon",""))</f>
        <v>Élévation</v>
      </c>
      <c r="C20" s="608">
        <v>85</v>
      </c>
      <c r="D20" s="608"/>
      <c r="N20" s="58"/>
    </row>
    <row r="21" spans="1:18" ht="12.75" customHeight="1" x14ac:dyDescent="0.2">
      <c r="A21" s="59"/>
      <c r="B21" s="140" t="s">
        <v>6</v>
      </c>
      <c r="C21" s="609">
        <v>0</v>
      </c>
      <c r="D21" s="609"/>
      <c r="N21" s="58"/>
    </row>
    <row r="22" spans="1:18" x14ac:dyDescent="0.2">
      <c r="A22" s="59"/>
      <c r="F22" s="384" t="str">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
      </c>
      <c r="N22" s="58"/>
    </row>
    <row r="23" spans="1:18" x14ac:dyDescent="0.2">
      <c r="A23" s="59"/>
      <c r="C23" s="614" t="str">
        <f>IF(Lang="Français","DescenteSousParachute",IF(Lang="English","Over Parachute",""))</f>
        <v>DescenteSousParachute</v>
      </c>
      <c r="D23" s="615"/>
      <c r="F23" s="4"/>
      <c r="G23" s="50">
        <f ca="1">TODAY()</f>
        <v>46061</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121</v>
      </c>
      <c r="E24" s="18" t="str">
        <f>IF(ABS(T_satellite-0.11-T_para)&lt;0.1,"Pb!","")</f>
        <v/>
      </c>
      <c r="F24" s="616" t="str">
        <f>IF(Lang="Français","Sortie de Rampe",IF(Lang="English","Launch-Pad Exit",""))</f>
        <v>Sortie de Rampe</v>
      </c>
      <c r="G24" s="617"/>
      <c r="H24" s="491"/>
      <c r="I24" s="491"/>
      <c r="J24" s="491"/>
      <c r="K24" s="492">
        <f ca="1">INDEX(vit_xz,MATCH("Sortie de rampe",Event,0))</f>
        <v>25.435656184067014</v>
      </c>
      <c r="L24" s="493"/>
      <c r="M24" s="500"/>
      <c r="N24" s="58"/>
    </row>
    <row r="25" spans="1:18" x14ac:dyDescent="0.2">
      <c r="A25" s="59"/>
      <c r="B25" s="466" t="str">
        <f>IF(Lang="Français","Masse",IF(Lang="English","Mass",""))</f>
        <v>Masse</v>
      </c>
      <c r="C25" s="467">
        <f ca="1">IF(Nb_sat="0 satellite",MasseVide,MasseVide-m_satellite)</f>
        <v>6.9790000000000001</v>
      </c>
      <c r="D25" s="480">
        <f>IF(RIGHT(Type_fusee,1)=".",1,0.15)</f>
        <v>1</v>
      </c>
      <c r="F25" s="619" t="str">
        <f>IF(Lang="Français","Vit max &amp; Acc max",IF(Lang="English","Max Velocity &amp; Acc",""))</f>
        <v>Vit max &amp; Acc max</v>
      </c>
      <c r="G25" s="599"/>
      <c r="H25" s="115"/>
      <c r="I25" s="115"/>
      <c r="J25" s="115"/>
      <c r="K25" s="158">
        <f ca="1">MAX(vit_xz)</f>
        <v>184.41620049117012</v>
      </c>
      <c r="L25" s="494">
        <f ca="1">MAX(acc_xz)</f>
        <v>89.371160887134408</v>
      </c>
      <c r="M25" s="500"/>
      <c r="N25" s="58"/>
    </row>
    <row r="26" spans="1:18" x14ac:dyDescent="0.2">
      <c r="A26" s="59"/>
      <c r="B26" s="469" t="str">
        <f>IF(Lang="Français","Dépotage",IF(Lang="English","Delay",""))</f>
        <v>Dépotage</v>
      </c>
      <c r="C26" s="505" t="s">
        <v>407</v>
      </c>
      <c r="D26" s="535"/>
      <c r="F26" s="620" t="str">
        <f>IF(Lang="Français","Largage du satellite",IF(Lang="English","Satellite separation",""))</f>
        <v>Largage du satellite</v>
      </c>
      <c r="G26" s="601"/>
      <c r="H26" s="152">
        <f>IF(T_satellite&lt;&gt;0,T_satellite,"")</f>
        <v>3.2</v>
      </c>
      <c r="I26" s="156">
        <f ca="1">IF(T_satellite&lt;&gt;0,INDEX(pos_z,MATCH("Satellite",Event_sat,0)),"")</f>
        <v>349.71093107573398</v>
      </c>
      <c r="J26" s="154">
        <f ca="1">IF(T_satellite&lt;&gt;0,INDEX(pos_x,MATCH("Satellite",Event_sat,0)),"")</f>
        <v>38.19133366775651</v>
      </c>
      <c r="K26" s="159">
        <f ca="1">IF(T_satellite&lt;&gt;0,INDEX(vit_xz,MATCH("Satellite",Event_sat,0)),"")</f>
        <v>184.35347155515117</v>
      </c>
      <c r="L26" s="495"/>
      <c r="M26" s="485">
        <f ca="1">1/2*Rho_moyen*1*V_ouv_sat^2*S_satellite</f>
        <v>2081.6549015592009</v>
      </c>
      <c r="N26" s="58"/>
    </row>
    <row r="27" spans="1:18" x14ac:dyDescent="0.2">
      <c r="A27" s="59"/>
      <c r="B27" s="468" t="str">
        <f>IF(Lang="Français","Ouverture para",IF(Lang="English","Opening time",""))</f>
        <v>Ouverture para</v>
      </c>
      <c r="C27" s="507">
        <v>15.6</v>
      </c>
      <c r="D27" s="507">
        <v>3.2</v>
      </c>
      <c r="F27" s="619" t="s">
        <v>15</v>
      </c>
      <c r="G27" s="599"/>
      <c r="H27" s="153">
        <f ca="1">INDEX(t,MATCH("Apogée",Event,0))</f>
        <v>16.799999999999926</v>
      </c>
      <c r="I27" s="157">
        <f ca="1">INDEX(pos_z,MATCH("Apogée",Event,0))</f>
        <v>1427.4899365371464</v>
      </c>
      <c r="J27" s="155">
        <f ca="1">INDEX(pos_x,MATCH("Apogée",Event,0))</f>
        <v>257.64136324466284</v>
      </c>
      <c r="K27" s="160">
        <f ca="1">INDEX(vit_xz,MATCH("Apogée",Event,0))</f>
        <v>13.732890082190911</v>
      </c>
      <c r="L27" s="496"/>
      <c r="M27" s="500"/>
      <c r="N27" s="58"/>
    </row>
    <row r="28" spans="1:18" x14ac:dyDescent="0.2">
      <c r="A28" s="59"/>
      <c r="B28" s="534" t="s">
        <v>558</v>
      </c>
      <c r="C28" s="507" t="s">
        <v>560</v>
      </c>
      <c r="D28" s="507"/>
      <c r="F28" s="618" t="str">
        <f>IF(Lang="Français","Ouverture parachute fusée",IF(Lang="English","Rocket parachute opening",""))</f>
        <v>Ouverture parachute fusée</v>
      </c>
      <c r="G28" s="604"/>
      <c r="H28" s="152">
        <f>T_para</f>
        <v>15.6</v>
      </c>
      <c r="I28" s="156">
        <f ca="1">INDEX(pos_z,MATCH("Para",Event_para,0))</f>
        <v>1419.4495331258038</v>
      </c>
      <c r="J28" s="486">
        <f ca="1">INDEX(pos_x,MATCH("Para",Event_para,0))</f>
        <v>241.12941254858305</v>
      </c>
      <c r="K28" s="159">
        <f ca="1">INDEX(vit_xz,MATCH("Para",Event_para,0))</f>
        <v>18.71546639743319</v>
      </c>
      <c r="L28" s="495"/>
      <c r="M28" s="485">
        <f ca="1">1/2*Rho_moyen*1*V_ouverture^2*S_para</f>
        <v>109.8442588236742</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0.51200000000000001</v>
      </c>
      <c r="D29" s="17">
        <f>IF(RIGHT(Type_fusee,1)=".",0.1,0.02)</f>
        <v>0.1</v>
      </c>
      <c r="F29" s="623" t="str">
        <f>IF(Lang="Français","Impact balistique",IF(Lang="English","Balistic Impact",""))</f>
        <v>Impact balistique</v>
      </c>
      <c r="G29" s="624"/>
      <c r="H29" s="497">
        <f ca="1">INDEX(t,MATCH("Impact balistique",Event,0))</f>
        <v>35.800000000000196</v>
      </c>
      <c r="I29" s="517" t="s">
        <v>428</v>
      </c>
      <c r="J29" s="487">
        <f ca="1">INDEX(pos_x,MATCH("Impact balistique",Event,0))</f>
        <v>468.65916031958193</v>
      </c>
      <c r="K29" s="501">
        <f ca="1">K47</f>
        <v>125.93037129310142</v>
      </c>
      <c r="L29" s="498"/>
      <c r="M29" s="502">
        <f ca="1">0.5*m_vide*K29^2</f>
        <v>55338.090635717141</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str">
        <f ca="1">IF(OR(AND(Vsortie_de_rampe&lt;20,LEFT(Type_fusee,1)="F"),AND(Vsortie_de_rampe&lt;18, OR(LEFT(Type_fusee,1)=",",LEFT(Type_fusee,4)="Mini",LEFT(Type_fusee,1)="R"))),IF(Lang="Français","Fusée trop lourde ou rampe trop courte !","Rocket too heavy or launch pad too small!"),"")</f>
        <v/>
      </c>
    </row>
    <row r="32" spans="1:18" x14ac:dyDescent="0.2">
      <c r="A32" s="59"/>
      <c r="B32" s="133" t="str">
        <f>IF(Lang="Français","Vitesse descente",IF(Lang="English","Fall velocity",""))</f>
        <v>Vitesse descente</v>
      </c>
      <c r="C32" s="424">
        <f ca="1">SQRT(2*m_vide*g/Rho_moyen/S_para/Cx_para)</f>
        <v>14.775530266046534</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96.067586581825182</v>
      </c>
      <c r="D33" s="132">
        <f ca="1">IF(V_satellite&lt;&gt;0,Alt_sat/V_satellite,0)</f>
        <v>27.632981756069448</v>
      </c>
      <c r="H33" s="625" t="str">
        <f>IF(Lang="Français","Pour localiser la fusée","To locate the rocket")</f>
        <v>Pour localiser la fusée</v>
      </c>
      <c r="I33" s="625"/>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111.66758658182518</v>
      </c>
      <c r="D34" s="132">
        <f ca="1">T_satellite+Dt_satellite</f>
        <v>30.832981756069447</v>
      </c>
      <c r="F34" s="625" t="str">
        <f>IF(Lang="Français","Couleur fuselage/coiffe","Body/Nose color")</f>
        <v>Couleur fuselage/coiffe</v>
      </c>
      <c r="G34" s="625"/>
      <c r="H34" s="621" t="s">
        <v>266</v>
      </c>
      <c r="I34" s="622"/>
      <c r="J34" s="1"/>
      <c r="K34" s="1"/>
      <c r="L34" s="1"/>
      <c r="M34" s="1"/>
      <c r="N34" s="394"/>
    </row>
    <row r="35" spans="1:16" x14ac:dyDescent="0.2">
      <c r="A35" s="74"/>
      <c r="B35" s="133" t="str">
        <f>IF(Lang="Français","Déport latéral",IF(Lang="English","Lateral shift",""))</f>
        <v>Déport latéral</v>
      </c>
      <c r="C35" s="151">
        <f ca="1">Alt_para*V_vent/V_para</f>
        <v>480.33793290912587</v>
      </c>
      <c r="D35" s="151">
        <f ca="1">IF(V_satellite&lt;&gt;0,Alt_sat*V_vent_sat/V_satellite,0)</f>
        <v>138.16490878034725</v>
      </c>
      <c r="F35" s="625" t="str">
        <f>IF(Lang="Français","Couleur parachute fusée","Rocket parachute color")</f>
        <v>Couleur parachute fusée</v>
      </c>
      <c r="G35" s="625"/>
      <c r="H35" s="621" t="s">
        <v>267</v>
      </c>
      <c r="I35" s="622"/>
      <c r="J35"/>
      <c r="K35"/>
      <c r="L35"/>
      <c r="M35"/>
      <c r="N35" s="394" t="str">
        <f>IF(Lang="Français","fichier initial","Initial file")</f>
        <v>fichier initial</v>
      </c>
      <c r="P35"/>
    </row>
    <row r="36" spans="1:16" x14ac:dyDescent="0.2">
      <c r="A36" s="59"/>
      <c r="F36" s="625" t="str">
        <f>IF(Lang="Français","Couleur parachute satellite","Satellite parachute color")</f>
        <v>Couleur parachute satellite</v>
      </c>
      <c r="G36" s="625"/>
      <c r="H36" s="629" t="s">
        <v>158</v>
      </c>
      <c r="I36" s="629"/>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26" t="str">
        <f>IF(Lang="Français","Calcul de la surface d'un parachute","Parachute surface calculation")</f>
        <v>Calcul de la surface d'un parachute</v>
      </c>
      <c r="B40" s="627"/>
      <c r="C40" s="627"/>
      <c r="D40" s="628"/>
      <c r="F40" s="626" t="str">
        <f>IF(Lang="Français","Résultats détaillés","Detailled results")</f>
        <v>Résultats détaillés</v>
      </c>
      <c r="G40" s="628"/>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98" t="str">
        <f>IF(Lang="Français","Décollage",IF(Lang="English","Lift-Off",""))</f>
        <v>Décollage</v>
      </c>
      <c r="G42" s="598"/>
      <c r="H42" s="150">
        <v>0</v>
      </c>
      <c r="I42" s="150">
        <v>0</v>
      </c>
      <c r="J42" s="150">
        <v>0</v>
      </c>
      <c r="K42" s="150">
        <v>0</v>
      </c>
      <c r="L42" s="148" t="s">
        <v>14</v>
      </c>
      <c r="M42" s="149">
        <f>Beta_rampe</f>
        <v>85</v>
      </c>
    </row>
    <row r="43" spans="1:16" x14ac:dyDescent="0.2">
      <c r="A43" s="161"/>
      <c r="B43" s="166" t="str">
        <f>IF(Lang="Français","Bord   'a'","Side length 'a'")</f>
        <v>Bord   'a'</v>
      </c>
      <c r="D43" s="162"/>
      <c r="F43" s="599" t="str">
        <f>IF(Lang="Français","Sortie de Rampe",IF(Lang="English","Launch-Pad Exit",""))</f>
        <v>Sortie de Rampe</v>
      </c>
      <c r="G43" s="599"/>
      <c r="H43" s="115">
        <f ca="1">INDEX(t,MATCH("Sortie de rampe",Event,0))</f>
        <v>0.32000000000000012</v>
      </c>
      <c r="I43" s="115">
        <f ca="1">INDEX(pos_z,MATCH("Sortie de rampe",Event,0))</f>
        <v>3.7507372332517055</v>
      </c>
      <c r="J43" s="115">
        <f ca="1">INDEX(pos_x,MATCH("Sortie de rampe",Event,0))</f>
        <v>0.3281286076566392</v>
      </c>
      <c r="K43" s="116">
        <f ca="1">INDEX(vit_xz,MATCH("Sortie de rampe",Event,0))</f>
        <v>25.435656184067014</v>
      </c>
      <c r="L43" s="116">
        <f ca="1">INDEX(acc_xz,MATCH("Sortie de rampe",Event,0))</f>
        <v>84.196830365187864</v>
      </c>
      <c r="M43" s="116">
        <f ca="1">INDEX(BetaD,MATCH("Sortie de rampe",Event,0))</f>
        <v>85</v>
      </c>
    </row>
    <row r="44" spans="1:16" x14ac:dyDescent="0.2">
      <c r="A44" s="161"/>
      <c r="B44" s="167">
        <v>320</v>
      </c>
      <c r="D44" s="162"/>
      <c r="F44" s="599" t="str">
        <f>IF(Lang="Français","Vit max &amp; Acc max",IF(Lang="English","Max Velocity &amp; Acc",""))</f>
        <v>Vit max &amp; Acc max</v>
      </c>
      <c r="G44" s="599"/>
      <c r="H44" s="115" t="s">
        <v>14</v>
      </c>
      <c r="I44" s="115" t="s">
        <v>14</v>
      </c>
      <c r="J44" s="115" t="s">
        <v>14</v>
      </c>
      <c r="K44" s="117">
        <f ca="1">MAX(vit_xz)</f>
        <v>184.41620049117012</v>
      </c>
      <c r="L44" s="118">
        <f ca="1">MAX(acc_xz)</f>
        <v>89.371160887134408</v>
      </c>
      <c r="M44" s="116" t="s">
        <v>14</v>
      </c>
    </row>
    <row r="45" spans="1:16" x14ac:dyDescent="0.2">
      <c r="A45" s="161"/>
      <c r="B45" s="166" t="str">
        <f>IF(Lang="Français","Coté   'b'","Side width 'b'")</f>
        <v>Coté   'b'</v>
      </c>
      <c r="D45" s="162"/>
      <c r="F45" s="599" t="str">
        <f>IF(Lang="Français","Fin de Propulsion",IF(Lang="English","Motor Burn-Out",""))</f>
        <v>Fin de Propulsion</v>
      </c>
      <c r="G45" s="599"/>
      <c r="H45" s="116">
        <f ca="1">INDEX(t,MATCH("Fin de propulsion",Event,0))</f>
        <v>3.5999999999999672</v>
      </c>
      <c r="I45" s="119">
        <f ca="1">INDEX(pos_z,MATCH("Fin de propulsion",Event,0))</f>
        <v>422.41244529304026</v>
      </c>
      <c r="J45" s="119">
        <f ca="1">INDEX(pos_x,MATCH("Fin de propulsion",Event,0))</f>
        <v>46.841996386593848</v>
      </c>
      <c r="K45" s="119">
        <f ca="1">INDEX(vit_xz,MATCH("Fin de propulsion",Event,0))</f>
        <v>179.84710561121298</v>
      </c>
      <c r="L45" s="116">
        <f ca="1">INDEX(acc_xz,MATCH("Fin de propulsion",Event,0))</f>
        <v>24.353509036129477</v>
      </c>
      <c r="M45" s="116">
        <f ca="1">INDEX(BetaD,MATCH("Fin de propulsion",Event,0))</f>
        <v>83.140902319004951</v>
      </c>
    </row>
    <row r="46" spans="1:16" x14ac:dyDescent="0.2">
      <c r="A46" s="161"/>
      <c r="B46" s="168">
        <v>320</v>
      </c>
      <c r="D46" s="162"/>
      <c r="F46" s="599" t="s">
        <v>15</v>
      </c>
      <c r="G46" s="599"/>
      <c r="H46" s="118">
        <f ca="1">INDEX(t,MATCH("Apogée",Event,0))</f>
        <v>16.799999999999926</v>
      </c>
      <c r="I46" s="117">
        <f ca="1">INDEX(pos_z,MATCH("Apogée",Event,0))</f>
        <v>1427.4899365371464</v>
      </c>
      <c r="J46" s="120">
        <f ca="1">INDEX(pos_x,MATCH("Apogée",Event,0))</f>
        <v>257.64136324466284</v>
      </c>
      <c r="K46" s="120">
        <f ca="1">INDEX(vit_xz,MATCH("Apogée",Event,0))</f>
        <v>13.732890082190911</v>
      </c>
      <c r="L46" s="116">
        <f ca="1">INDEX(acc_xz,MATCH("Apogée",Event,0))</f>
        <v>9.8202931799500668</v>
      </c>
      <c r="M46" s="121">
        <f ca="1">INDEX(BetaD,MATCH("Apogée",Event,0))</f>
        <v>3.3167038565782248</v>
      </c>
    </row>
    <row r="47" spans="1:16" x14ac:dyDescent="0.2">
      <c r="A47" s="161"/>
      <c r="B47" s="169" t="s">
        <v>9</v>
      </c>
      <c r="D47" s="162"/>
      <c r="F47" s="602" t="str">
        <f>IF(Lang="Français","Impact balistique",IF(Lang="English","Balistic Impact",""))</f>
        <v>Impact balistique</v>
      </c>
      <c r="G47" s="602"/>
      <c r="H47" s="116">
        <f ca="1">INDEX(t,MATCH("Impact balistique",Event,0))</f>
        <v>35.800000000000196</v>
      </c>
      <c r="I47" s="148" t="s">
        <v>16</v>
      </c>
      <c r="J47" s="117">
        <f ca="1">INDEX(pos_x,MATCH("Impact balistique",Event,0))</f>
        <v>468.65916031958193</v>
      </c>
      <c r="K47" s="119">
        <f ca="1">INDEX(vit_xz,MATCH("Impact balistique",Event,0))</f>
        <v>125.93037129310142</v>
      </c>
      <c r="L47" s="116">
        <f ca="1">INDEX(acc_xz,MATCH("Impact balistique",Event,0))</f>
        <v>2.454337653217459</v>
      </c>
      <c r="M47" s="116">
        <f ca="1">INDEX(BetaD,MATCH("Impact balistique",Event,0))</f>
        <v>-86.708003255894141</v>
      </c>
    </row>
    <row r="48" spans="1:16" x14ac:dyDescent="0.2">
      <c r="A48" s="161"/>
      <c r="B48" s="174">
        <f>(4*B44*B46+B44^2)/10^6</f>
        <v>0.51200000000000001</v>
      </c>
      <c r="D48" s="162"/>
      <c r="F48" s="604" t="str">
        <f>IF(Lang="Français","Ouverture parachute fusée",IF(Lang="English","Rocket parachute opening",""))</f>
        <v>Ouverture parachute fusée</v>
      </c>
      <c r="G48" s="604"/>
      <c r="H48" s="122">
        <f>T_para</f>
        <v>15.6</v>
      </c>
      <c r="I48" s="123">
        <f ca="1">INDEX(pos_z,MATCH("Para",Event_para,0))</f>
        <v>1419.4495331258038</v>
      </c>
      <c r="J48" s="123">
        <f ca="1">INDEX(pos_x,MATCH("Para",Event_para,0))</f>
        <v>241.12941254858305</v>
      </c>
      <c r="K48" s="123">
        <f ca="1">INDEX(vit_xz,MATCH("Para",Event_para,0))</f>
        <v>18.71546639743319</v>
      </c>
      <c r="L48" s="122">
        <f ca="1">INDEX(acc_xz,MATCH("Para",Event_para,0))</f>
        <v>9.9181279569355674</v>
      </c>
      <c r="M48" s="124">
        <f ca="1">INDEX(BetaD,MATCH("Para",Event_para,0))</f>
        <v>42.419740282586716</v>
      </c>
    </row>
    <row r="49" spans="1:13" x14ac:dyDescent="0.2">
      <c r="A49" s="161"/>
      <c r="D49" s="162"/>
      <c r="F49" s="603" t="str">
        <f>IF(Lang="Français","Impact fusée sous para.",IF(Lang="English","Impact of rocket with para. ",""))</f>
        <v>Impact fusée sous para.</v>
      </c>
      <c r="G49" s="603"/>
      <c r="H49" s="125">
        <f ca="1">T_para+Dt_para</f>
        <v>111.66758658182518</v>
      </c>
      <c r="I49" s="127" t="s">
        <v>16</v>
      </c>
      <c r="J49" s="126" t="str">
        <f ca="1">CONCATENATE(TEXT(X_para-Dx_para,"0")," | ",TEXT(X_para+Dx_para,"0"))</f>
        <v>-239 | 721</v>
      </c>
      <c r="K49" s="126">
        <f ca="1">V_para</f>
        <v>14.775530266046534</v>
      </c>
      <c r="L49" s="128">
        <f>g</f>
        <v>9.81</v>
      </c>
      <c r="M49" s="128" t="s">
        <v>14</v>
      </c>
    </row>
    <row r="50" spans="1:13" x14ac:dyDescent="0.2">
      <c r="A50" s="161"/>
      <c r="D50" s="162"/>
      <c r="F50" s="600" t="str">
        <f>IF(Lang="Français","Largage du satellite",IF(Lang="English","Satellite separation",""))</f>
        <v>Largage du satellite</v>
      </c>
      <c r="G50" s="601"/>
      <c r="H50" s="122">
        <f>IF(T_satellite&lt;&gt;0,T_satellite,"")</f>
        <v>3.2</v>
      </c>
      <c r="I50" s="123">
        <f ca="1">IF(T_satellite&lt;&gt;0,INDEX(pos_z,MATCH("Satellite",Event_sat,0)),"")</f>
        <v>349.71093107573398</v>
      </c>
      <c r="J50" s="129">
        <f ca="1">IF(T_satellite&lt;&gt;0,INDEX(pos_x,MATCH("Satellite",Event_sat,0)),"")</f>
        <v>38.19133366775651</v>
      </c>
      <c r="K50" s="123">
        <f ca="1">IF(T_satellite&lt;&gt;0,INDEX(vit_xz,MATCH("Satellite",Event_sat,0)),"")</f>
        <v>184.35347155515117</v>
      </c>
      <c r="L50" s="122">
        <f ca="1">IF(T_satellite&lt;&gt;0,INDEX(acc_xz,MATCH("Satellite",Event_sat,0)),"")</f>
        <v>3.7334576749877399</v>
      </c>
      <c r="M50" s="124">
        <f ca="1">IF(T_satellite&lt;&gt;0,INDEX(BetaD,MATCH("Satellite",Event_sat,0)),"")</f>
        <v>83.286063700514333</v>
      </c>
    </row>
    <row r="51" spans="1:13" x14ac:dyDescent="0.2">
      <c r="A51" s="161"/>
      <c r="B51" s="166" t="str">
        <f>IF(Lang="Français","Rayon exterieur","Half-diameter ext")</f>
        <v>Rayon exterieur</v>
      </c>
      <c r="D51" s="162"/>
      <c r="F51" s="596" t="str">
        <f>IF(Lang="Français","Impact du satellite",IF(Lang="English","Satellite impact",""))</f>
        <v>Impact du satellite</v>
      </c>
      <c r="G51" s="597"/>
      <c r="H51" s="125">
        <f ca="1">IF(T_satellite&lt;&gt;0,T_satellite+Dt_satellite,"")</f>
        <v>30.832981756069447</v>
      </c>
      <c r="I51" s="130" t="str">
        <f>IF(T_satellite&lt;&gt;0,"~0","")</f>
        <v>~0</v>
      </c>
      <c r="J51" s="130" t="str">
        <f ca="1">IF(T_satellite&lt;&gt;0,CONCATENATE(TEXT(X_satellite-Dx_sat,"0")," | ",TEXT(X_satellite+Dx_sat,"0")),"")</f>
        <v>-100 | 176</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Satellite sous parachute</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15.6</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1427.4899365371464</v>
      </c>
      <c r="C121" s="216">
        <f ca="1">MAX(Altitude_culmi,Portee_balistique)</f>
        <v>1427.4899365371464</v>
      </c>
    </row>
    <row r="123" spans="2:3" x14ac:dyDescent="0.2">
      <c r="B123" s="210" t="s">
        <v>49</v>
      </c>
      <c r="C123" s="211" t="s">
        <v>45</v>
      </c>
    </row>
    <row r="124" spans="2:3" x14ac:dyDescent="0.2">
      <c r="B124" s="217">
        <f ca="1">X_para</f>
        <v>241.12941254858305</v>
      </c>
      <c r="C124" s="214">
        <f ca="1">Alt_para</f>
        <v>1419.4495331258038</v>
      </c>
    </row>
    <row r="125" spans="2:3" x14ac:dyDescent="0.2">
      <c r="B125" s="217">
        <f ca="1">X_para</f>
        <v>241.12941254858305</v>
      </c>
      <c r="C125" s="214">
        <f ca="1">Alt_para/2</f>
        <v>709.72476656290189</v>
      </c>
    </row>
    <row r="126" spans="2:3" x14ac:dyDescent="0.2">
      <c r="B126" s="217">
        <f ca="1">X_para</f>
        <v>241.12941254858305</v>
      </c>
      <c r="C126" s="214">
        <v>0</v>
      </c>
    </row>
    <row r="127" spans="2:3" x14ac:dyDescent="0.2">
      <c r="B127" s="217">
        <f ca="1">X_para+Alt_para/40</f>
        <v>276.61565087672813</v>
      </c>
      <c r="C127" s="214">
        <f ca="1">Alt_para/20</f>
        <v>70.972476656290183</v>
      </c>
    </row>
    <row r="128" spans="2:3" x14ac:dyDescent="0.2">
      <c r="B128" s="217">
        <f ca="1">X_para</f>
        <v>241.12941254858305</v>
      </c>
      <c r="C128" s="214">
        <v>0</v>
      </c>
    </row>
    <row r="129" spans="2:6" x14ac:dyDescent="0.2">
      <c r="B129" s="217">
        <f ca="1">X_para-Alt_para/40</f>
        <v>205.64317422043797</v>
      </c>
      <c r="C129" s="214">
        <f ca="1">Alt_para/20</f>
        <v>70.972476656290183</v>
      </c>
    </row>
    <row r="130" spans="2:6" x14ac:dyDescent="0.2">
      <c r="B130" s="218">
        <f ca="1">X_para</f>
        <v>241.12941254858305</v>
      </c>
      <c r="C130" s="219">
        <v>0</v>
      </c>
    </row>
    <row r="131" spans="2:6" x14ac:dyDescent="0.2">
      <c r="B131" s="210" t="s">
        <v>48</v>
      </c>
      <c r="C131" s="211" t="s">
        <v>45</v>
      </c>
    </row>
    <row r="132" spans="2:6" x14ac:dyDescent="0.2">
      <c r="B132" s="213">
        <f>T_para</f>
        <v>15.6</v>
      </c>
      <c r="C132" s="214">
        <f ca="1">Alt_para</f>
        <v>1419.4495331258038</v>
      </c>
    </row>
    <row r="133" spans="2:6" x14ac:dyDescent="0.2">
      <c r="B133" s="213">
        <f ca="1">(B132+B134)/2</f>
        <v>63.633793290912585</v>
      </c>
      <c r="C133" s="214">
        <f ca="1">(C132+C134)/2</f>
        <v>709.72476656290189</v>
      </c>
      <c r="E133" s="232">
        <v>1</v>
      </c>
      <c r="F133" s="233" t="s">
        <v>175</v>
      </c>
    </row>
    <row r="134" spans="2:6" x14ac:dyDescent="0.2">
      <c r="B134" s="213">
        <f ca="1">H49</f>
        <v>111.66758658182518</v>
      </c>
      <c r="C134" s="214">
        <f>0</f>
        <v>0</v>
      </c>
      <c r="E134" s="161">
        <v>1</v>
      </c>
      <c r="F134" s="234" t="s">
        <v>176</v>
      </c>
    </row>
    <row r="135" spans="2:6" x14ac:dyDescent="0.2">
      <c r="B135" s="213">
        <f ca="1">H49+E133*sS/2*zZ_fus-E134*sS*tT_fus</f>
        <v>110.37771380503757</v>
      </c>
      <c r="C135" s="214">
        <f ca="1">Alt_para-V_para*(H49-T_para)+E133*sS*Altitude_culmi/H49*zZ_fus+E134*sS/2*Altitude_culmi/H49*tT_fus</f>
        <v>65.450126521603067</v>
      </c>
      <c r="E135" s="161"/>
      <c r="F135" s="241" t="s">
        <v>177</v>
      </c>
    </row>
    <row r="136" spans="2:6" x14ac:dyDescent="0.2">
      <c r="B136" s="213">
        <f ca="1">H49</f>
        <v>111.66758658182518</v>
      </c>
      <c r="C136" s="214">
        <f ca="1">Alt_para-V_para*(H49-T_para)</f>
        <v>0</v>
      </c>
      <c r="E136" s="235" t="s">
        <v>172</v>
      </c>
      <c r="F136" s="236">
        <f ca="1">T_balistique/10</f>
        <v>3.5800000000000196</v>
      </c>
    </row>
    <row r="137" spans="2:6" x14ac:dyDescent="0.2">
      <c r="B137" s="213">
        <f ca="1">H49-E133*sS/2*zZ_fus-E134*sS*tT_fus</f>
        <v>106.79771380503756</v>
      </c>
      <c r="C137" s="214">
        <f ca="1">Alt_para-V_para*(H49-T_para)+E133*sS*Altitude_culmi/H49*zZ_fus-E134*sS/2*Altitude_culmi/H49*tT_fus</f>
        <v>26.078921955831735</v>
      </c>
      <c r="E137" s="235" t="s">
        <v>173</v>
      </c>
      <c r="F137" s="236">
        <f ca="1">(H49-T_para)/H49</f>
        <v>0.86029965832055488</v>
      </c>
    </row>
    <row r="138" spans="2:6" x14ac:dyDescent="0.2">
      <c r="B138" s="215">
        <f ca="1">H49</f>
        <v>111.66758658182518</v>
      </c>
      <c r="C138" s="216">
        <f ca="1">Alt_para-V_para*(H49-T_para)</f>
        <v>0</v>
      </c>
      <c r="E138" s="237" t="s">
        <v>174</v>
      </c>
      <c r="F138" s="238">
        <f ca="1">V_para*(H49-T_para)/Alt_para</f>
        <v>1</v>
      </c>
    </row>
    <row r="140" spans="2:6" x14ac:dyDescent="0.2">
      <c r="B140" s="210" t="s">
        <v>51</v>
      </c>
      <c r="C140" s="211" t="s">
        <v>46</v>
      </c>
    </row>
    <row r="141" spans="2:6" x14ac:dyDescent="0.2">
      <c r="B141" s="217">
        <f ca="1">IF(Nb_sat="1 satellite",X_satellite)</f>
        <v>38.19133366775651</v>
      </c>
      <c r="C141" s="214">
        <f ca="1">IF(Nb_sat="1 satellite",Alt_sat)</f>
        <v>349.71093107573398</v>
      </c>
    </row>
    <row r="142" spans="2:6" x14ac:dyDescent="0.2">
      <c r="B142" s="217">
        <f ca="1">IF(Nb_sat="1 satellite",X_satellite)</f>
        <v>38.19133366775651</v>
      </c>
      <c r="C142" s="214">
        <f ca="1">IF(Nb_sat="1 satellite",Alt_sat*1/4)</f>
        <v>87.427732768933495</v>
      </c>
    </row>
    <row r="143" spans="2:6" x14ac:dyDescent="0.2">
      <c r="B143" s="217">
        <f ca="1">IF(Nb_sat="1 satellite",X_satellite)</f>
        <v>38.19133366775651</v>
      </c>
      <c r="C143" s="214">
        <f>IF(Nb_sat="1 satellite",0)</f>
        <v>0</v>
      </c>
    </row>
    <row r="144" spans="2:6" x14ac:dyDescent="0.2">
      <c r="B144" s="217">
        <f ca="1">IF(Nb_sat="1 satellite",X_satellite+Alt_sat/40)</f>
        <v>46.934106944649855</v>
      </c>
      <c r="C144" s="214">
        <f ca="1">IF(Nb_sat="1 satellite",Alt_sat/20)</f>
        <v>17.485546553786698</v>
      </c>
    </row>
    <row r="145" spans="2:6" x14ac:dyDescent="0.2">
      <c r="B145" s="217">
        <f ca="1">IF(Nb_sat="1 satellite",X_satellite)</f>
        <v>38.19133366775651</v>
      </c>
      <c r="C145" s="214">
        <f>IF(Nb_sat="1 satellite",0)</f>
        <v>0</v>
      </c>
    </row>
    <row r="146" spans="2:6" x14ac:dyDescent="0.2">
      <c r="B146" s="217">
        <f ca="1">IF(Nb_sat="1 satellite",X_satellite-Alt_sat/40)</f>
        <v>29.448560390863161</v>
      </c>
      <c r="C146" s="214">
        <f ca="1">IF(Nb_sat="1 satellite",Alt_sat/20)</f>
        <v>17.485546553786698</v>
      </c>
    </row>
    <row r="147" spans="2:6" x14ac:dyDescent="0.2">
      <c r="B147" s="218">
        <f ca="1">IF(Nb_sat="1 satellite",X_satellite)</f>
        <v>38.19133366775651</v>
      </c>
      <c r="C147" s="214">
        <f>IF(Nb_sat="1 satellite",0)</f>
        <v>0</v>
      </c>
    </row>
    <row r="148" spans="2:6" x14ac:dyDescent="0.2">
      <c r="B148" s="210" t="s">
        <v>50</v>
      </c>
      <c r="C148" s="211" t="s">
        <v>46</v>
      </c>
    </row>
    <row r="149" spans="2:6" x14ac:dyDescent="0.2">
      <c r="B149" s="213">
        <f>IF(Nb_sat="1 satellite",T_satellite)</f>
        <v>3.2</v>
      </c>
      <c r="C149" s="214">
        <f ca="1">IF(Nb_sat="1 satellite",Alt_sat)</f>
        <v>349.71093107573398</v>
      </c>
      <c r="D149" s="221"/>
    </row>
    <row r="150" spans="2:6" x14ac:dyDescent="0.2">
      <c r="B150" s="213">
        <f ca="1">(B149+B151)/2</f>
        <v>17.016490878034723</v>
      </c>
      <c r="C150" s="214">
        <f ca="1">(C149+C151)/2</f>
        <v>174.85546553786699</v>
      </c>
      <c r="D150" s="221"/>
    </row>
    <row r="151" spans="2:6" x14ac:dyDescent="0.2">
      <c r="B151" s="213">
        <f ca="1">IF(Nb_sat="1 satellite",H51)</f>
        <v>30.832981756069447</v>
      </c>
      <c r="C151" s="214">
        <f>IF(Nb_sat="1 satellite",0)</f>
        <v>0</v>
      </c>
    </row>
    <row r="152" spans="2:6" x14ac:dyDescent="0.2">
      <c r="B152" s="213">
        <f ca="1">IF(Nb_sat="1 satellite",H51+E133*sS/2*zZ_sat-E134*sS*tT_sat)</f>
        <v>29.684733593606232</v>
      </c>
      <c r="C152" s="214">
        <f ca="1">IF(Nb_sat="1 satellite",Alt_sat-V_satellite*(H51-T_satellite)+E133*sS*Altitude_culmi/H51*zZ_sat+E134*sS/2*Altitude_culmi/H51*tT_sat)</f>
        <v>271.00257950257958</v>
      </c>
      <c r="D152" s="221"/>
    </row>
    <row r="153" spans="2:6" x14ac:dyDescent="0.2">
      <c r="B153" s="213">
        <f ca="1">IF(Nb_sat="1 satellite",H51)</f>
        <v>30.832981756069447</v>
      </c>
      <c r="C153" s="214">
        <f>IF(Nb_sat="1 satellite",0)</f>
        <v>0</v>
      </c>
    </row>
    <row r="154" spans="2:6" x14ac:dyDescent="0.2">
      <c r="B154" s="213">
        <f ca="1">IF(Nb_sat="1 satellite",H51-sS/2*zZ_sat-E134*sS*tT_sat)</f>
        <v>25.461229918532624</v>
      </c>
      <c r="C154" s="214">
        <f ca="1">IF(Nb_sat="1 satellite",Alt_sat-V_satellite*(H51-T_satellite)+E133*sS*Altitude_culmi/H51*zZ_sat-E134*sS/2*Altitude_culmi/H51*tT_sat)</f>
        <v>120.07273334214247</v>
      </c>
      <c r="E154" s="239" t="s">
        <v>173</v>
      </c>
      <c r="F154" s="240">
        <f ca="1">(T_balistique-T_satellite)/T_balistique</f>
        <v>0.91061452513966523</v>
      </c>
    </row>
    <row r="155" spans="2:6" x14ac:dyDescent="0.2">
      <c r="B155" s="215">
        <f ca="1">IF(Nb_sat="1 satellite",H51)</f>
        <v>30.832981756069447</v>
      </c>
      <c r="C155" s="216">
        <f>IF(Nb_sat="1 satellite",0)</f>
        <v>0</v>
      </c>
      <c r="E155" s="237" t="s">
        <v>174</v>
      </c>
      <c r="F155" s="238">
        <f ca="1">V_satellite*(T_balistique-T_satellite)/Alt_sat</f>
        <v>1.1797496299088233</v>
      </c>
    </row>
    <row r="157" spans="2:6" x14ac:dyDescent="0.2">
      <c r="B157" s="210" t="s">
        <v>2</v>
      </c>
      <c r="C157" s="228" t="s">
        <v>29</v>
      </c>
      <c r="D157" s="211" t="s">
        <v>3</v>
      </c>
    </row>
    <row r="158" spans="2:6" x14ac:dyDescent="0.2">
      <c r="B158" s="231">
        <f>T_para/4</f>
        <v>3.9</v>
      </c>
      <c r="C158" s="82">
        <f ca="1">Alt_para/2</f>
        <v>709.72476656290189</v>
      </c>
      <c r="D158" s="214">
        <f ca="1">X_para/4</f>
        <v>60.282353137145762</v>
      </c>
    </row>
    <row r="159" spans="2:6" x14ac:dyDescent="0.2">
      <c r="B159" s="229">
        <f ca="1">Temps_culmi + (T_balistique-Temps_culmi)/2</f>
        <v>26.300000000000061</v>
      </c>
      <c r="C159" s="230">
        <f ca="1">Altitude_culmi/2</f>
        <v>713.74496826857319</v>
      </c>
      <c r="D159" s="216">
        <f ca="1">X_culmi+(Portee_balistique-X_culmi)*2/3</f>
        <v>398.31989462794223</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257.64136324466284</v>
      </c>
      <c r="E162" s="422"/>
      <c r="F162" s="423" t="s">
        <v>305</v>
      </c>
    </row>
    <row r="163" spans="2:6" x14ac:dyDescent="0.2">
      <c r="B163" s="231" t="e">
        <f ca="1">IF(AND(Altitude_culmi&gt;80, Altitude_culmi&lt;=350), 49, NA())</f>
        <v>#N/A</v>
      </c>
      <c r="C163" s="5">
        <v>23</v>
      </c>
      <c r="D163" s="82">
        <f t="shared" ca="1" si="0"/>
        <v>280.64136324466284</v>
      </c>
      <c r="E163" s="82"/>
      <c r="F163" s="214">
        <f t="shared" ref="F163:F178" ca="1" si="1">X_culmi-C162</f>
        <v>257.64136324466284</v>
      </c>
    </row>
    <row r="164" spans="2:6" x14ac:dyDescent="0.2">
      <c r="B164" s="231" t="e">
        <f ca="1">IF(AND(Altitude_culmi&gt;80, Altitude_culmi&lt;=350), 43, NA())</f>
        <v>#N/A</v>
      </c>
      <c r="C164" s="5">
        <v>23</v>
      </c>
      <c r="D164" s="82">
        <f t="shared" ca="1" si="0"/>
        <v>280.64136324466284</v>
      </c>
      <c r="E164" s="82"/>
      <c r="F164" s="214">
        <f t="shared" ca="1" si="1"/>
        <v>234.64136324466284</v>
      </c>
    </row>
    <row r="165" spans="2:6" x14ac:dyDescent="0.2">
      <c r="B165" s="231" t="e">
        <f ca="1">IF(AND(Altitude_culmi&gt;80, Altitude_culmi&lt;=350), 43, NA())</f>
        <v>#N/A</v>
      </c>
      <c r="C165" s="5">
        <v>0</v>
      </c>
      <c r="D165" s="82">
        <f t="shared" ca="1" si="0"/>
        <v>257.64136324466284</v>
      </c>
      <c r="E165" s="82"/>
      <c r="F165" s="214">
        <f t="shared" ca="1" si="1"/>
        <v>234.64136324466284</v>
      </c>
    </row>
    <row r="166" spans="2:6" x14ac:dyDescent="0.2">
      <c r="B166" s="231" t="e">
        <f ca="1">IF(AND(Altitude_culmi&gt;80, Altitude_culmi&lt;=350), 43, NA())</f>
        <v>#N/A</v>
      </c>
      <c r="C166" s="5">
        <v>23</v>
      </c>
      <c r="D166" s="82">
        <f t="shared" ca="1" si="0"/>
        <v>280.64136324466284</v>
      </c>
      <c r="E166" s="82"/>
      <c r="F166" s="214">
        <f t="shared" ca="1" si="1"/>
        <v>257.64136324466284</v>
      </c>
    </row>
    <row r="167" spans="2:6" x14ac:dyDescent="0.2">
      <c r="B167" s="231" t="e">
        <f ca="1">IF(AND(Altitude_culmi&gt;80, Altitude_culmi&lt;=350), 0.5, NA())</f>
        <v>#N/A</v>
      </c>
      <c r="C167" s="5">
        <v>23</v>
      </c>
      <c r="D167" s="82">
        <f t="shared" ca="1" si="0"/>
        <v>280.64136324466284</v>
      </c>
      <c r="E167" s="82"/>
      <c r="F167" s="214">
        <f t="shared" ca="1" si="1"/>
        <v>234.64136324466284</v>
      </c>
    </row>
    <row r="168" spans="2:6" x14ac:dyDescent="0.2">
      <c r="B168" s="231" t="e">
        <f ca="1">IF(AND(Altitude_culmi&gt;80, Altitude_culmi&lt;=350), 0.5, NA())</f>
        <v>#N/A</v>
      </c>
      <c r="C168" s="5">
        <v>8</v>
      </c>
      <c r="D168" s="82">
        <f t="shared" ca="1" si="0"/>
        <v>265.64136324466284</v>
      </c>
      <c r="E168" s="82"/>
      <c r="F168" s="214">
        <f t="shared" ca="1" si="1"/>
        <v>234.64136324466284</v>
      </c>
    </row>
    <row r="169" spans="2:6" x14ac:dyDescent="0.2">
      <c r="B169" s="231" t="e">
        <f ca="1">IF(AND(Altitude_culmi&gt;80, Altitude_culmi&lt;=350), 27, NA())</f>
        <v>#N/A</v>
      </c>
      <c r="C169" s="5">
        <v>8</v>
      </c>
      <c r="D169" s="82">
        <f t="shared" ca="1" si="0"/>
        <v>265.64136324466284</v>
      </c>
      <c r="E169" s="82"/>
      <c r="F169" s="214">
        <f t="shared" ca="1" si="1"/>
        <v>249.64136324466284</v>
      </c>
    </row>
    <row r="170" spans="2:6" x14ac:dyDescent="0.2">
      <c r="B170" s="231" t="e">
        <f ca="1">IF(AND(Altitude_culmi&gt;80, Altitude_culmi&lt;=350), 27, NA())</f>
        <v>#N/A</v>
      </c>
      <c r="C170" s="5">
        <v>23</v>
      </c>
      <c r="D170" s="82">
        <f t="shared" ca="1" si="0"/>
        <v>280.64136324466284</v>
      </c>
      <c r="E170" s="82"/>
      <c r="F170" s="214">
        <f t="shared" ca="1" si="1"/>
        <v>249.64136324466284</v>
      </c>
    </row>
    <row r="171" spans="2:6" x14ac:dyDescent="0.2">
      <c r="B171" s="231" t="e">
        <f ca="1">IF(AND(Altitude_culmi&gt;80, Altitude_culmi&lt;=350), 27, NA())</f>
        <v>#N/A</v>
      </c>
      <c r="C171" s="5">
        <v>8</v>
      </c>
      <c r="D171" s="82">
        <f t="shared" ca="1" si="0"/>
        <v>265.64136324466284</v>
      </c>
      <c r="E171" s="82"/>
      <c r="F171" s="214">
        <f t="shared" ca="1" si="1"/>
        <v>234.64136324466284</v>
      </c>
    </row>
    <row r="172" spans="2:6" x14ac:dyDescent="0.2">
      <c r="B172" s="231" t="e">
        <f ca="1">IF(AND(Altitude_culmi&gt;80, Altitude_culmi&lt;=350), 29, NA())</f>
        <v>#N/A</v>
      </c>
      <c r="C172" s="5">
        <v>7.6</v>
      </c>
      <c r="D172" s="82">
        <f t="shared" ca="1" si="0"/>
        <v>265.24136324466286</v>
      </c>
      <c r="E172" s="82"/>
      <c r="F172" s="214">
        <f t="shared" ca="1" si="1"/>
        <v>249.64136324466284</v>
      </c>
    </row>
    <row r="173" spans="2:6" x14ac:dyDescent="0.2">
      <c r="B173" s="231" t="e">
        <f ca="1">IF(AND(Altitude_culmi&gt;80, Altitude_culmi&lt;=350), 31, NA())</f>
        <v>#N/A</v>
      </c>
      <c r="C173" s="5">
        <v>6.8</v>
      </c>
      <c r="D173" s="82">
        <f t="shared" ca="1" si="0"/>
        <v>264.44136324466285</v>
      </c>
      <c r="E173" s="82"/>
      <c r="F173" s="214">
        <f t="shared" ca="1" si="1"/>
        <v>250.04136324466285</v>
      </c>
    </row>
    <row r="174" spans="2:6" x14ac:dyDescent="0.2">
      <c r="B174" s="231" t="e">
        <f ca="1">IF(AND(Altitude_culmi&gt;80, Altitude_culmi&lt;=350), 32, NA())</f>
        <v>#N/A</v>
      </c>
      <c r="C174" s="5">
        <v>6</v>
      </c>
      <c r="D174" s="82">
        <f t="shared" ca="1" si="0"/>
        <v>263.64136324466284</v>
      </c>
      <c r="E174" s="82"/>
      <c r="F174" s="214">
        <f t="shared" ca="1" si="1"/>
        <v>250.84136324466283</v>
      </c>
    </row>
    <row r="175" spans="2:6" x14ac:dyDescent="0.2">
      <c r="B175" s="231" t="e">
        <f ca="1">IF(AND(Altitude_culmi&gt;80, Altitude_culmi&lt;=350), 33, NA())</f>
        <v>#N/A</v>
      </c>
      <c r="C175" s="5">
        <v>5</v>
      </c>
      <c r="D175" s="82">
        <f t="shared" ca="1" si="0"/>
        <v>262.64136324466284</v>
      </c>
      <c r="E175" s="82"/>
      <c r="F175" s="214">
        <f t="shared" ca="1" si="1"/>
        <v>251.64136324466284</v>
      </c>
    </row>
    <row r="176" spans="2:6" x14ac:dyDescent="0.2">
      <c r="B176" s="231" t="e">
        <f ca="1">IF(AND(Altitude_culmi&gt;80, Altitude_culmi&lt;=350), 34, NA())</f>
        <v>#N/A</v>
      </c>
      <c r="C176" s="5">
        <v>3.8</v>
      </c>
      <c r="D176" s="82">
        <f t="shared" ca="1" si="0"/>
        <v>261.44136324466285</v>
      </c>
      <c r="E176" s="82"/>
      <c r="F176" s="214">
        <f t="shared" ca="1" si="1"/>
        <v>252.64136324466284</v>
      </c>
    </row>
    <row r="177" spans="2:6" x14ac:dyDescent="0.2">
      <c r="B177" s="229" t="e">
        <f ca="1">IF(AND(Altitude_culmi&gt;80, Altitude_culmi&lt;=350), 35, NA())</f>
        <v>#N/A</v>
      </c>
      <c r="C177" s="421">
        <v>0</v>
      </c>
      <c r="D177" s="230">
        <f t="shared" ca="1" si="0"/>
        <v>257.64136324466284</v>
      </c>
      <c r="E177" s="82"/>
      <c r="F177" s="214">
        <f t="shared" ca="1" si="1"/>
        <v>253.84136324466283</v>
      </c>
    </row>
    <row r="178" spans="2:6" x14ac:dyDescent="0.2">
      <c r="E178" s="230"/>
      <c r="F178" s="216">
        <f t="shared" ca="1" si="1"/>
        <v>257.64136324466284</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257.64136324466284</v>
      </c>
      <c r="E180" s="228"/>
      <c r="F180" s="211" t="s">
        <v>308</v>
      </c>
    </row>
    <row r="181" spans="2:6" x14ac:dyDescent="0.2">
      <c r="B181" s="231">
        <f ca="1">IF(Altitude_culmi&gt;350, 300, NA())</f>
        <v>300</v>
      </c>
      <c r="C181" s="5">
        <v>0</v>
      </c>
      <c r="D181" s="82">
        <f t="shared" ca="1" si="2"/>
        <v>257.64136324466284</v>
      </c>
      <c r="E181" s="82"/>
      <c r="F181" s="214">
        <f t="shared" ref="F181:F201" ca="1" si="3">X_culmi-C180</f>
        <v>257.64136324466284</v>
      </c>
    </row>
    <row r="182" spans="2:6" x14ac:dyDescent="0.2">
      <c r="B182" s="231">
        <f ca="1">IF(Altitude_culmi&gt;350, 280, NA())</f>
        <v>280</v>
      </c>
      <c r="C182" s="5">
        <v>10</v>
      </c>
      <c r="D182" s="82">
        <f t="shared" ca="1" si="2"/>
        <v>267.64136324466284</v>
      </c>
      <c r="E182" s="82"/>
      <c r="F182" s="214">
        <f t="shared" ca="1" si="3"/>
        <v>257.64136324466284</v>
      </c>
    </row>
    <row r="183" spans="2:6" x14ac:dyDescent="0.2">
      <c r="B183" s="231">
        <f ca="1">IF(Altitude_culmi&gt;350, 280, NA())</f>
        <v>280</v>
      </c>
      <c r="C183" s="5">
        <v>0</v>
      </c>
      <c r="D183" s="82">
        <f t="shared" ca="1" si="2"/>
        <v>257.64136324466284</v>
      </c>
      <c r="E183" s="82"/>
      <c r="F183" s="214">
        <f t="shared" ca="1" si="3"/>
        <v>247.64136324466284</v>
      </c>
    </row>
    <row r="184" spans="2:6" x14ac:dyDescent="0.2">
      <c r="B184" s="231">
        <f ca="1">IF(Altitude_culmi&gt;350, 280, NA())</f>
        <v>280</v>
      </c>
      <c r="C184" s="5">
        <v>10</v>
      </c>
      <c r="D184" s="82">
        <f t="shared" ca="1" si="2"/>
        <v>267.64136324466284</v>
      </c>
      <c r="E184" s="82"/>
      <c r="F184" s="214">
        <f t="shared" ca="1" si="3"/>
        <v>257.64136324466284</v>
      </c>
    </row>
    <row r="185" spans="2:6" x14ac:dyDescent="0.2">
      <c r="B185" s="231">
        <f ca="1">IF(Altitude_culmi&gt;350, 200, NA())</f>
        <v>200</v>
      </c>
      <c r="C185" s="5">
        <v>13</v>
      </c>
      <c r="D185" s="82">
        <f t="shared" ca="1" si="2"/>
        <v>270.64136324466284</v>
      </c>
      <c r="E185" s="82"/>
      <c r="F185" s="214">
        <f t="shared" ca="1" si="3"/>
        <v>247.64136324466284</v>
      </c>
    </row>
    <row r="186" spans="2:6" x14ac:dyDescent="0.2">
      <c r="B186" s="231">
        <f ca="1">IF(Altitude_culmi&gt;350, 160, NA())</f>
        <v>160</v>
      </c>
      <c r="C186" s="5">
        <v>17</v>
      </c>
      <c r="D186" s="82">
        <f t="shared" ca="1" si="2"/>
        <v>274.64136324466284</v>
      </c>
      <c r="E186" s="82"/>
      <c r="F186" s="214">
        <f t="shared" ca="1" si="3"/>
        <v>244.64136324466284</v>
      </c>
    </row>
    <row r="187" spans="2:6" x14ac:dyDescent="0.2">
      <c r="B187" s="231">
        <f ca="1">IF(Altitude_culmi&gt;350, 115, NA())</f>
        <v>115</v>
      </c>
      <c r="C187" s="5">
        <v>20</v>
      </c>
      <c r="D187" s="82">
        <f t="shared" ca="1" si="2"/>
        <v>277.64136324466284</v>
      </c>
      <c r="E187" s="82"/>
      <c r="F187" s="214">
        <f t="shared" ca="1" si="3"/>
        <v>240.64136324466284</v>
      </c>
    </row>
    <row r="188" spans="2:6" x14ac:dyDescent="0.2">
      <c r="B188" s="231">
        <f ca="1">IF(Altitude_culmi&gt;350, 90, NA())</f>
        <v>90</v>
      </c>
      <c r="C188" s="5">
        <v>25</v>
      </c>
      <c r="D188" s="82">
        <f t="shared" ca="1" si="2"/>
        <v>282.64136324466284</v>
      </c>
      <c r="E188" s="82"/>
      <c r="F188" s="214">
        <f t="shared" ca="1" si="3"/>
        <v>237.64136324466284</v>
      </c>
    </row>
    <row r="189" spans="2:6" x14ac:dyDescent="0.2">
      <c r="B189" s="231">
        <f ca="1">IF(Altitude_culmi&gt;350, 57, NA())</f>
        <v>57</v>
      </c>
      <c r="C189" s="5">
        <v>30</v>
      </c>
      <c r="D189" s="82">
        <f t="shared" ca="1" si="2"/>
        <v>287.64136324466284</v>
      </c>
      <c r="E189" s="82"/>
      <c r="F189" s="214">
        <f t="shared" ca="1" si="3"/>
        <v>232.64136324466284</v>
      </c>
    </row>
    <row r="190" spans="2:6" x14ac:dyDescent="0.2">
      <c r="B190" s="231">
        <f ca="1">IF(Altitude_culmi&gt;350, 40, NA())</f>
        <v>40</v>
      </c>
      <c r="C190" s="5">
        <v>36</v>
      </c>
      <c r="D190" s="82">
        <f t="shared" ca="1" si="2"/>
        <v>293.64136324466284</v>
      </c>
      <c r="E190" s="82"/>
      <c r="F190" s="214">
        <f t="shared" ca="1" si="3"/>
        <v>227.64136324466284</v>
      </c>
    </row>
    <row r="191" spans="2:6" x14ac:dyDescent="0.2">
      <c r="B191" s="231">
        <f ca="1">IF(Altitude_culmi&gt;350, 20, NA())</f>
        <v>20</v>
      </c>
      <c r="C191" s="5">
        <v>48</v>
      </c>
      <c r="D191" s="82">
        <f t="shared" ca="1" si="2"/>
        <v>305.64136324466284</v>
      </c>
      <c r="E191" s="82"/>
      <c r="F191" s="214">
        <f t="shared" ca="1" si="3"/>
        <v>221.64136324466284</v>
      </c>
    </row>
    <row r="192" spans="2:6" x14ac:dyDescent="0.2">
      <c r="B192" s="231">
        <f ca="1">IF(Altitude_culmi&gt;350, 0.5, NA())</f>
        <v>0.5</v>
      </c>
      <c r="C192" s="5">
        <v>62</v>
      </c>
      <c r="D192" s="82">
        <f t="shared" ca="1" si="2"/>
        <v>319.64136324466284</v>
      </c>
      <c r="E192" s="82"/>
      <c r="F192" s="214">
        <f t="shared" ca="1" si="3"/>
        <v>209.64136324466284</v>
      </c>
    </row>
    <row r="193" spans="2:6" x14ac:dyDescent="0.2">
      <c r="B193" s="231">
        <f ca="1">IF(Altitude_culmi&gt;350, 0.5, NA())</f>
        <v>0.5</v>
      </c>
      <c r="C193" s="5">
        <v>37</v>
      </c>
      <c r="D193" s="82">
        <f t="shared" ca="1" si="2"/>
        <v>294.64136324466284</v>
      </c>
      <c r="E193" s="82"/>
      <c r="F193" s="214">
        <f t="shared" ca="1" si="3"/>
        <v>195.64136324466284</v>
      </c>
    </row>
    <row r="194" spans="2:6" x14ac:dyDescent="0.2">
      <c r="B194" s="231">
        <f ca="1">IF(Altitude_culmi&gt;350, 15, NA())</f>
        <v>15</v>
      </c>
      <c r="C194" s="5">
        <v>30</v>
      </c>
      <c r="D194" s="82">
        <f t="shared" ca="1" si="2"/>
        <v>287.64136324466284</v>
      </c>
      <c r="E194" s="82"/>
      <c r="F194" s="214">
        <f t="shared" ca="1" si="3"/>
        <v>220.64136324466284</v>
      </c>
    </row>
    <row r="195" spans="2:6" x14ac:dyDescent="0.2">
      <c r="B195" s="231">
        <f ca="1">IF(Altitude_culmi&gt;350, 30, NA())</f>
        <v>30</v>
      </c>
      <c r="C195" s="5">
        <v>15</v>
      </c>
      <c r="D195" s="82">
        <f t="shared" ca="1" si="2"/>
        <v>272.64136324466284</v>
      </c>
      <c r="E195" s="82"/>
      <c r="F195" s="214">
        <f t="shared" ca="1" si="3"/>
        <v>227.64136324466284</v>
      </c>
    </row>
    <row r="196" spans="2:6" x14ac:dyDescent="0.2">
      <c r="B196" s="231">
        <f ca="1">IF(Altitude_culmi&gt;350, 37, NA())</f>
        <v>37</v>
      </c>
      <c r="C196" s="5">
        <v>0</v>
      </c>
      <c r="D196" s="82">
        <f t="shared" ca="1" si="2"/>
        <v>257.64136324466284</v>
      </c>
      <c r="E196" s="82"/>
      <c r="F196" s="214">
        <f t="shared" ca="1" si="3"/>
        <v>242.64136324466284</v>
      </c>
    </row>
    <row r="197" spans="2:6" x14ac:dyDescent="0.2">
      <c r="B197" s="231">
        <f ca="1">IF(Altitude_culmi&gt;350, 67, NA())</f>
        <v>67</v>
      </c>
      <c r="C197" s="5">
        <v>0</v>
      </c>
      <c r="D197" s="82">
        <f t="shared" ca="1" si="2"/>
        <v>257.64136324466284</v>
      </c>
      <c r="E197" s="82"/>
      <c r="F197" s="214">
        <f t="shared" ca="1" si="3"/>
        <v>257.64136324466284</v>
      </c>
    </row>
    <row r="198" spans="2:6" x14ac:dyDescent="0.2">
      <c r="B198" s="231">
        <f ca="1">IF(Altitude_culmi&gt;350, 67, NA())</f>
        <v>67</v>
      </c>
      <c r="C198" s="5">
        <v>17</v>
      </c>
      <c r="D198" s="82">
        <f t="shared" ca="1" si="2"/>
        <v>274.64136324466284</v>
      </c>
      <c r="E198" s="82"/>
      <c r="F198" s="214">
        <f t="shared" ca="1" si="3"/>
        <v>257.64136324466284</v>
      </c>
    </row>
    <row r="199" spans="2:6" x14ac:dyDescent="0.2">
      <c r="B199" s="231">
        <f ca="1">IF(Altitude_culmi&gt;350, 100, NA())</f>
        <v>100</v>
      </c>
      <c r="C199" s="5">
        <v>11</v>
      </c>
      <c r="D199" s="82">
        <f t="shared" ca="1" si="2"/>
        <v>268.64136324466284</v>
      </c>
      <c r="E199" s="82"/>
      <c r="F199" s="214">
        <f t="shared" ca="1" si="3"/>
        <v>240.64136324466284</v>
      </c>
    </row>
    <row r="200" spans="2:6" x14ac:dyDescent="0.2">
      <c r="B200" s="229">
        <f ca="1">IF(Altitude_culmi&gt;350, 100, NA())</f>
        <v>100</v>
      </c>
      <c r="C200" s="421">
        <v>0</v>
      </c>
      <c r="D200" s="230">
        <f t="shared" ca="1" si="2"/>
        <v>257.64136324466284</v>
      </c>
      <c r="E200" s="82"/>
      <c r="F200" s="214">
        <f t="shared" ca="1" si="3"/>
        <v>246.64136324466284</v>
      </c>
    </row>
    <row r="201" spans="2:6" x14ac:dyDescent="0.2">
      <c r="E201" s="230"/>
      <c r="F201" s="216">
        <f t="shared" ca="1" si="3"/>
        <v>257.64136324466284</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Barasinga (Pro54-5G C)</v>
      </c>
      <c r="B2" s="352">
        <f>VLOOKUP(A2,A26:B314,2,FALSE)</f>
        <v>279</v>
      </c>
      <c r="C2" s="363" t="s">
        <v>115</v>
      </c>
      <c r="D2" s="353">
        <f ca="1">INDIRECT(ADDRESS(B2,4))</f>
        <v>2058.37</v>
      </c>
      <c r="E2" s="363" t="s">
        <v>114</v>
      </c>
      <c r="F2" s="354">
        <f ca="1">INDIRECT(ADDRESS(B2,6))</f>
        <v>203.12066731598335</v>
      </c>
      <c r="G2" s="363" t="s">
        <v>56</v>
      </c>
      <c r="H2" s="355">
        <f ca="1">INDIRECT(ADDRESS(B2,8))</f>
        <v>1.6850000000000001</v>
      </c>
      <c r="I2" s="363" t="s">
        <v>273</v>
      </c>
      <c r="J2" s="356">
        <f ca="1">INDIRECT(ADDRESS(B2,10))</f>
        <v>1.0329999999999999</v>
      </c>
      <c r="K2" s="363" t="s">
        <v>58</v>
      </c>
      <c r="L2" s="355">
        <f ca="1">INDIRECT(ADDRESS(B2,12))</f>
        <v>0.65200000000000002</v>
      </c>
      <c r="M2" s="363" t="s">
        <v>57</v>
      </c>
      <c r="N2" s="357">
        <f ca="1">INDIRECT(ADDRESS(B2,14))</f>
        <v>250</v>
      </c>
      <c r="O2" s="363" t="s">
        <v>59</v>
      </c>
      <c r="P2" s="357">
        <f ca="1">INDIRECT(ADDRESS(B2,16))</f>
        <v>240</v>
      </c>
      <c r="Q2" s="363" t="s">
        <v>60</v>
      </c>
      <c r="R2" s="357">
        <f ca="1">INDIRECT(ADDRESS(B2,18))</f>
        <v>488</v>
      </c>
      <c r="S2" s="363" t="s">
        <v>61</v>
      </c>
      <c r="T2" s="357">
        <f ca="1">INDIRECT(ADDRESS(B2,20))</f>
        <v>54</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0.05</v>
      </c>
      <c r="D3" s="365">
        <f t="shared" ca="1" si="0"/>
        <v>0.5</v>
      </c>
      <c r="E3" s="365">
        <f t="shared" ca="1" si="0"/>
        <v>1</v>
      </c>
      <c r="F3" s="365">
        <f t="shared" ca="1" si="0"/>
        <v>1.5</v>
      </c>
      <c r="G3" s="365">
        <f t="shared" ca="1" si="0"/>
        <v>2</v>
      </c>
      <c r="H3" s="365">
        <f t="shared" ca="1" si="0"/>
        <v>2.5</v>
      </c>
      <c r="I3" s="365">
        <f t="shared" ca="1" si="0"/>
        <v>2.97</v>
      </c>
      <c r="J3" s="365">
        <f t="shared" ca="1" si="0"/>
        <v>3.2</v>
      </c>
      <c r="K3" s="365">
        <f t="shared" ca="1" si="0"/>
        <v>3.47</v>
      </c>
      <c r="L3" s="365">
        <f t="shared" ca="1" si="0"/>
        <v>3.59</v>
      </c>
      <c r="M3" s="365">
        <f t="shared" ca="1" si="0"/>
        <v>3.59</v>
      </c>
      <c r="N3" s="365">
        <f t="shared" ca="1" si="0"/>
        <v>3.59</v>
      </c>
      <c r="O3" s="365">
        <f t="shared" ca="1" si="0"/>
        <v>3.59</v>
      </c>
      <c r="P3" s="365">
        <f t="shared" ca="1" si="0"/>
        <v>3.59</v>
      </c>
      <c r="Q3" s="365">
        <f t="shared" ca="1" si="0"/>
        <v>3.59</v>
      </c>
      <c r="R3" s="365">
        <f t="shared" ca="1" si="0"/>
        <v>3.59</v>
      </c>
      <c r="S3" s="365">
        <f t="shared" ca="1" si="0"/>
        <v>3.59</v>
      </c>
      <c r="T3" s="365">
        <f t="shared" ca="1" si="0"/>
        <v>3.59</v>
      </c>
      <c r="U3" s="365">
        <f t="shared" ca="1" si="0"/>
        <v>3.59</v>
      </c>
      <c r="V3" s="365">
        <f t="shared" ca="1" si="0"/>
        <v>3.59</v>
      </c>
      <c r="W3" s="365">
        <f t="shared" ca="1" si="0"/>
        <v>3.59</v>
      </c>
      <c r="X3" s="365">
        <f ca="1">INDIRECT(ADDRESS($B2+1,COLUMN(X3)))</f>
        <v>3.59</v>
      </c>
      <c r="Y3" s="366">
        <f t="shared" ca="1" si="0"/>
        <v>1000</v>
      </c>
    </row>
    <row r="4" spans="1:26" ht="13.5" thickBot="1" x14ac:dyDescent="0.25">
      <c r="A4" s="379" t="str">
        <f>IF(Lang="Français","Poussée (en N)","Thrust (N)")</f>
        <v>Poussée (en N)</v>
      </c>
      <c r="B4" s="367">
        <f t="shared" ref="B4:Y4" ca="1" si="1">INDIRECT(ADDRESS($B2+2,COLUMN(B3)))</f>
        <v>0</v>
      </c>
      <c r="C4" s="368">
        <f t="shared" ca="1" si="1"/>
        <v>893</v>
      </c>
      <c r="D4" s="368">
        <f t="shared" ca="1" si="1"/>
        <v>798</v>
      </c>
      <c r="E4" s="368">
        <f t="shared" ca="1" si="1"/>
        <v>739</v>
      </c>
      <c r="F4" s="368">
        <f t="shared" ca="1" si="1"/>
        <v>659</v>
      </c>
      <c r="G4" s="368">
        <f t="shared" ca="1" si="1"/>
        <v>586</v>
      </c>
      <c r="H4" s="368">
        <f t="shared" ca="1" si="1"/>
        <v>513</v>
      </c>
      <c r="I4" s="368">
        <f t="shared" ca="1" si="1"/>
        <v>417</v>
      </c>
      <c r="J4" s="368">
        <f t="shared" ca="1" si="1"/>
        <v>225</v>
      </c>
      <c r="K4" s="368">
        <f t="shared" ca="1" si="1"/>
        <v>67</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
        <v>183</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sheetProtection algorithmName="SHA-512" hashValue="TT52kldpbNfsZI03mY8g5TIIsjEeL9Q9TBJMBYh4cROlVUm3NqAv8usVb5XJtvE8tyHIClwYMgtE2emaKO5x7A==" saltValue="IfNq7E35bfDyzUo3UGtZTg==" spinCount="100000" sheet="1" objects="1" scenarios="1"/>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206" activePane="bottomRight" state="frozen"/>
      <selection pane="topRight" activeCell="D1" sqref="D1"/>
      <selection pane="bottomLeft" activeCell="A8" sqref="A8"/>
      <selection pane="bottomRight" activeCell="L436" sqref="L43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0</v>
      </c>
      <c r="H4" s="293">
        <f>vit_xz*SIN(Beta)</f>
        <v>0</v>
      </c>
      <c r="I4" s="349">
        <f>V_ini</f>
        <v>0</v>
      </c>
      <c r="J4" s="350">
        <f>X_ini</f>
        <v>0</v>
      </c>
      <c r="K4" s="351">
        <f>Z_ini</f>
        <v>0</v>
      </c>
      <c r="L4" s="327">
        <f t="shared" ref="L4:L67" si="0">SQRT(pos_x^2+pos_z^2)</f>
        <v>0</v>
      </c>
      <c r="M4" s="292">
        <f>RADIANS(N4)</f>
        <v>1.4835298641951802</v>
      </c>
      <c r="N4" s="349">
        <f>Beta_rampe</f>
        <v>85</v>
      </c>
      <c r="P4" s="292" t="s">
        <v>14</v>
      </c>
      <c r="Q4" s="294" t="s">
        <v>14</v>
      </c>
      <c r="R4" s="292" t="s">
        <v>14</v>
      </c>
      <c r="S4" s="351">
        <f ca="1">m_tot</f>
        <v>9.0120000000000005</v>
      </c>
      <c r="T4" s="327">
        <f t="shared" ref="T4:T67" ca="1" si="1">m*g</f>
        <v>88.407720000000012</v>
      </c>
      <c r="U4" s="328">
        <f t="shared" ref="U4:U67" ca="1" si="2">IF(pos_xz&lt;L_rampe,Poids*COS(Beta),0)</f>
        <v>7.7052405012269922</v>
      </c>
      <c r="V4" s="329">
        <f t="shared" ref="V4:V67" si="3">Rho_moyen*(20000-Alt_rampe-pos_z)/(20000+Alt_rampe+pos_z)</f>
        <v>1.2250000000000001</v>
      </c>
      <c r="W4" s="327">
        <f t="shared" ref="W4:W67" si="4">1/2*Rho*Sref*Cx*vit_xz^2</f>
        <v>0</v>
      </c>
      <c r="Y4" s="295" t="s">
        <v>14</v>
      </c>
      <c r="Z4" s="296" t="s">
        <v>14</v>
      </c>
      <c r="AA4" s="297" t="s">
        <v>14</v>
      </c>
      <c r="AC4" s="320">
        <f>IF(ABS(t-ROUND(t,0))&lt;0.001,t,-1)</f>
        <v>0</v>
      </c>
      <c r="AD4" s="321">
        <f>IF(ABS(t-ROUND(t,0))&lt;0.001,pos_x,-1)</f>
        <v>0</v>
      </c>
      <c r="AE4" s="322">
        <f t="shared" ref="AE4:AE67" si="5">IF(t&lt;T_para, pos_z, NA())</f>
        <v>0</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1.1883424116600483E-2</v>
      </c>
      <c r="E5" s="307">
        <f t="shared" ref="E5:E68" ca="1" si="9">IF(AND(L4&lt;L_rampe,Poussee&lt;Poids*SIN(M4)),0,(-W4+Poussee)/m*SIN(M4)+U4/m*COS(M4)-Poids/m)</f>
        <v>0.13631602204997861</v>
      </c>
      <c r="F5" s="304">
        <f t="shared" ref="F5:F68" ca="1" si="10">SQRT(acc_x^2+acc_z^2)</f>
        <v>0.13683301369284118</v>
      </c>
      <c r="G5" s="306">
        <f t="shared" ref="G5:G68" ca="1" si="11">G4+acc_x*pas</f>
        <v>1.1883424116600483E-4</v>
      </c>
      <c r="H5" s="307">
        <f t="shared" ref="H5:H68" ca="1" si="12">H4+acc_z*pas</f>
        <v>1.3631602204997862E-3</v>
      </c>
      <c r="I5" s="304">
        <f t="shared" ref="I5:I68" ca="1" si="13">SQRT(vit_x^2+vit_z^2)</f>
        <v>1.3683301369284116E-3</v>
      </c>
      <c r="J5" s="306">
        <f t="shared" ref="J5:J68" ca="1" si="14">J4+0.5*(vit_x+G4)*pas*(K4&gt;=0)</f>
        <v>5.9417120583002422E-7</v>
      </c>
      <c r="K5" s="307">
        <f t="shared" ref="K5:K68" ca="1" si="15">K4+0.5*(vit_z+H4)*pas</f>
        <v>6.8158011024989312E-6</v>
      </c>
      <c r="L5" s="304">
        <f t="shared" ca="1" si="0"/>
        <v>6.8416506846420589E-6</v>
      </c>
      <c r="M5" s="306">
        <f t="shared" ref="M5:M68" ca="1" si="16">IF(AND(L4&gt;L_rampe,G5&gt;0),ATAN2(G5,H5),$M$4)</f>
        <v>1.4835298641951802</v>
      </c>
      <c r="N5" s="304">
        <f t="shared" ref="N5:N68" ca="1" si="17">DEGREES(Beta)</f>
        <v>85</v>
      </c>
      <c r="P5" s="310">
        <f t="shared" ref="P5:P68" ca="1" si="18">MATCH(t-pas/2-T_ini,CdP_t)</f>
        <v>1</v>
      </c>
      <c r="Q5" s="304">
        <f t="shared" ref="Q5:Q68" ca="1" si="19">(INDEX(CdP,2,i_P+1)-INDEX(CdP,2,i_P+0))/(INDEX(CdP,1,i_P+1)-INDEX(CdP,1,i_P+0))*(t-pas/2-T_ini-INDEX(CdP,1,i_P+0))+INDEX(CdP,2,i_P+0)</f>
        <v>89.3</v>
      </c>
      <c r="R5" s="306">
        <f t="shared" ref="R5:R68" ca="1" si="20">Poussee/(g*ISP)</f>
        <v>4.4815509359347437E-2</v>
      </c>
      <c r="S5" s="307">
        <f t="shared" ref="S5:S68" ca="1" si="21">S4-Débit*pas</f>
        <v>9.0115518449064069</v>
      </c>
      <c r="T5" s="304">
        <f t="shared" ca="1" si="1"/>
        <v>88.403323598531856</v>
      </c>
      <c r="U5" s="311">
        <f t="shared" ca="1" si="2"/>
        <v>7.7048573295916185</v>
      </c>
      <c r="V5" s="306">
        <f t="shared" ca="1" si="3"/>
        <v>1.2249999991650644</v>
      </c>
      <c r="W5" s="304">
        <f t="shared" ca="1" si="4"/>
        <v>7.007130490018561E-9</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6.8158011024989312E-6</v>
      </c>
      <c r="AG5" s="306">
        <f t="shared" ref="AG5:AG68" ca="1" si="27">IF(AND(L4&lt;L_rampe,Poussee&lt;Poids*SIN(M4)),0,(-W4+Poussee)/m-Poids*SIN(M4)/m)</f>
        <v>0.13683300708641433</v>
      </c>
      <c r="AH5" s="304">
        <f t="shared" ref="AH5:AH68" ca="1" si="28">IF(AND(L4&lt;L_rampe,Poussee&lt;Poids*SIN(M4)), g*SIN(M4), (-W4+Poussee)/m)</f>
        <v>9.909502995366438</v>
      </c>
    </row>
    <row r="6" spans="1:248" x14ac:dyDescent="0.2">
      <c r="A6" s="347">
        <f t="shared" ca="1" si="6"/>
        <v>0.01</v>
      </c>
      <c r="B6" s="304">
        <f t="shared" ca="1" si="7"/>
        <v>0.02</v>
      </c>
      <c r="D6" s="306">
        <f t="shared" ca="1" si="8"/>
        <v>1.7395254958988122</v>
      </c>
      <c r="E6" s="307">
        <f t="shared" ca="1" si="9"/>
        <v>19.884331207084848</v>
      </c>
      <c r="F6" s="304">
        <f t="shared" ca="1" si="10"/>
        <v>19.960274960629434</v>
      </c>
      <c r="G6" s="306">
        <f t="shared" ca="1" si="11"/>
        <v>1.7514089200154129E-2</v>
      </c>
      <c r="H6" s="307">
        <f t="shared" ca="1" si="12"/>
        <v>0.20020647229134828</v>
      </c>
      <c r="I6" s="304">
        <f t="shared" ca="1" si="13"/>
        <v>0.20097107968027977</v>
      </c>
      <c r="J6" s="306">
        <f t="shared" ca="1" si="14"/>
        <v>8.8758788412430698E-5</v>
      </c>
      <c r="K6" s="307">
        <f t="shared" ca="1" si="15"/>
        <v>1.0146639636617392E-3</v>
      </c>
      <c r="L6" s="304">
        <f t="shared" ca="1" si="0"/>
        <v>1.0185386991539368E-3</v>
      </c>
      <c r="M6" s="306">
        <f t="shared" ca="1" si="16"/>
        <v>1.4835298641951802</v>
      </c>
      <c r="N6" s="304">
        <f t="shared" ca="1" si="17"/>
        <v>85</v>
      </c>
      <c r="P6" s="310">
        <f t="shared" ca="1" si="18"/>
        <v>1</v>
      </c>
      <c r="Q6" s="304">
        <f t="shared" ca="1" si="19"/>
        <v>267.89999999999998</v>
      </c>
      <c r="R6" s="306">
        <f t="shared" ca="1" si="20"/>
        <v>0.1344465280780423</v>
      </c>
      <c r="S6" s="307">
        <f t="shared" ca="1" si="21"/>
        <v>9.0102073796256263</v>
      </c>
      <c r="T6" s="304">
        <f t="shared" ca="1" si="1"/>
        <v>88.390134394127401</v>
      </c>
      <c r="U6" s="311">
        <f t="shared" ca="1" si="2"/>
        <v>7.7037078146854974</v>
      </c>
      <c r="V6" s="306">
        <f t="shared" ca="1" si="3"/>
        <v>1.2249998757036706</v>
      </c>
      <c r="W6" s="304">
        <f t="shared" ca="1" si="4"/>
        <v>1.5115604091674821E-4</v>
      </c>
      <c r="Y6" s="314" t="str">
        <f t="shared" ca="1" si="22"/>
        <v/>
      </c>
      <c r="Z6" s="315" t="str">
        <f t="shared" ca="1" si="23"/>
        <v/>
      </c>
      <c r="AA6" s="316" t="str">
        <f t="shared" ca="1" si="24"/>
        <v/>
      </c>
      <c r="AC6" s="310" t="e">
        <f t="shared" ca="1" si="25"/>
        <v>#N/A</v>
      </c>
      <c r="AD6" s="323" t="e">
        <f t="shared" ca="1" si="26"/>
        <v>#N/A</v>
      </c>
      <c r="AE6" s="324">
        <f t="shared" ca="1" si="5"/>
        <v>1.0146639636617392E-3</v>
      </c>
      <c r="AG6" s="306">
        <f t="shared" ca="1" si="27"/>
        <v>19.96027496022171</v>
      </c>
      <c r="AH6" s="304">
        <f t="shared" ca="1" si="28"/>
        <v>29.732944948501736</v>
      </c>
    </row>
    <row r="7" spans="1:248" x14ac:dyDescent="0.2">
      <c r="A7" s="347">
        <f t="shared" ca="1" si="6"/>
        <v>0.01</v>
      </c>
      <c r="B7" s="304">
        <f t="shared" ca="1" si="7"/>
        <v>0.03</v>
      </c>
      <c r="D7" s="306">
        <f t="shared" ca="1" si="8"/>
        <v>3.4681115566808907</v>
      </c>
      <c r="E7" s="307">
        <f t="shared" ca="1" si="9"/>
        <v>39.643136769846407</v>
      </c>
      <c r="F7" s="304">
        <f t="shared" ca="1" si="10"/>
        <v>39.794548505069528</v>
      </c>
      <c r="G7" s="306">
        <f t="shared" ca="1" si="11"/>
        <v>5.2195204766963044E-2</v>
      </c>
      <c r="H7" s="307">
        <f t="shared" ca="1" si="12"/>
        <v>0.59663783998981235</v>
      </c>
      <c r="I7" s="304">
        <f t="shared" ca="1" si="13"/>
        <v>0.5989165647303254</v>
      </c>
      <c r="J7" s="306">
        <f t="shared" ca="1" si="14"/>
        <v>4.3730525824801653E-4</v>
      </c>
      <c r="K7" s="307">
        <f t="shared" ca="1" si="15"/>
        <v>4.9988855250675431E-3</v>
      </c>
      <c r="L7" s="304">
        <f t="shared" ca="1" si="0"/>
        <v>5.017976921192561E-3</v>
      </c>
      <c r="M7" s="306">
        <f t="shared" ca="1" si="16"/>
        <v>1.4835298641951802</v>
      </c>
      <c r="N7" s="304">
        <f t="shared" ca="1" si="17"/>
        <v>85</v>
      </c>
      <c r="P7" s="310">
        <f t="shared" ca="1" si="18"/>
        <v>1</v>
      </c>
      <c r="Q7" s="304">
        <f t="shared" ca="1" si="19"/>
        <v>446.49999999999994</v>
      </c>
      <c r="R7" s="306">
        <f t="shared" ca="1" si="20"/>
        <v>0.22407754679673716</v>
      </c>
      <c r="S7" s="307">
        <f t="shared" ca="1" si="21"/>
        <v>9.0079666041576587</v>
      </c>
      <c r="T7" s="304">
        <f t="shared" ca="1" si="1"/>
        <v>88.368152386786633</v>
      </c>
      <c r="U7" s="311">
        <f t="shared" ca="1" si="2"/>
        <v>7.7017919565086279</v>
      </c>
      <c r="V7" s="306">
        <f t="shared" ca="1" si="3"/>
        <v>1.2249993876366765</v>
      </c>
      <c r="W7" s="304">
        <f t="shared" ca="1" si="4"/>
        <v>1.3424275417407358E-3</v>
      </c>
      <c r="Y7" s="314" t="str">
        <f t="shared" ca="1" si="22"/>
        <v/>
      </c>
      <c r="Z7" s="315" t="str">
        <f t="shared" ca="1" si="23"/>
        <v/>
      </c>
      <c r="AA7" s="316" t="str">
        <f t="shared" ca="1" si="24"/>
        <v/>
      </c>
      <c r="AC7" s="310" t="e">
        <f t="shared" ca="1" si="25"/>
        <v>#N/A</v>
      </c>
      <c r="AD7" s="323" t="e">
        <f t="shared" ca="1" si="26"/>
        <v>#N/A</v>
      </c>
      <c r="AE7" s="324">
        <f t="shared" ca="1" si="5"/>
        <v>4.9988855250675431E-3</v>
      </c>
      <c r="AG7" s="306">
        <f t="shared" ca="1" si="27"/>
        <v>39.794548504501179</v>
      </c>
      <c r="AH7" s="304">
        <f t="shared" ca="1" si="28"/>
        <v>49.567218492781201</v>
      </c>
    </row>
    <row r="8" spans="1:248" x14ac:dyDescent="0.2">
      <c r="A8" s="347">
        <f t="shared" ca="1" si="6"/>
        <v>0.01</v>
      </c>
      <c r="B8" s="304">
        <f t="shared" ca="1" si="7"/>
        <v>0.04</v>
      </c>
      <c r="D8" s="306">
        <f t="shared" ca="1" si="8"/>
        <v>5.1981498797099128</v>
      </c>
      <c r="E8" s="307">
        <f t="shared" ca="1" si="9"/>
        <v>59.418542592117532</v>
      </c>
      <c r="F8" s="304">
        <f t="shared" ca="1" si="10"/>
        <v>59.645485713029565</v>
      </c>
      <c r="G8" s="306">
        <f t="shared" ca="1" si="11"/>
        <v>0.10417670356406217</v>
      </c>
      <c r="H8" s="307">
        <f t="shared" ca="1" si="12"/>
        <v>1.1908232659109876</v>
      </c>
      <c r="I8" s="304">
        <f t="shared" ca="1" si="13"/>
        <v>1.1953714218603293</v>
      </c>
      <c r="J8" s="306">
        <f t="shared" ca="1" si="14"/>
        <v>1.2191647999031426E-3</v>
      </c>
      <c r="K8" s="307">
        <f t="shared" ca="1" si="15"/>
        <v>1.3936191054571544E-2</v>
      </c>
      <c r="L8" s="304">
        <f t="shared" ca="1" si="0"/>
        <v>1.3989416854138088E-2</v>
      </c>
      <c r="M8" s="306">
        <f t="shared" ca="1" si="16"/>
        <v>1.4835298641951802</v>
      </c>
      <c r="N8" s="304">
        <f t="shared" ca="1" si="17"/>
        <v>85</v>
      </c>
      <c r="P8" s="310">
        <f t="shared" ca="1" si="18"/>
        <v>1</v>
      </c>
      <c r="Q8" s="304">
        <f t="shared" ca="1" si="19"/>
        <v>625.1</v>
      </c>
      <c r="R8" s="306">
        <f t="shared" ca="1" si="20"/>
        <v>0.31370856551543208</v>
      </c>
      <c r="S8" s="307">
        <f t="shared" ca="1" si="21"/>
        <v>9.004829518502504</v>
      </c>
      <c r="T8" s="304">
        <f t="shared" ca="1" si="1"/>
        <v>88.337377576509567</v>
      </c>
      <c r="U8" s="311">
        <f t="shared" ca="1" si="2"/>
        <v>7.6991097550610119</v>
      </c>
      <c r="V8" s="306">
        <f t="shared" ca="1" si="3"/>
        <v>1.2249982928177854</v>
      </c>
      <c r="W8" s="304">
        <f t="shared" ca="1" si="4"/>
        <v>5.3476571190191413E-3</v>
      </c>
      <c r="Y8" s="314" t="str">
        <f t="shared" ca="1" si="22"/>
        <v/>
      </c>
      <c r="Z8" s="315" t="str">
        <f t="shared" ca="1" si="23"/>
        <v/>
      </c>
      <c r="AA8" s="316" t="str">
        <f t="shared" ca="1" si="24"/>
        <v/>
      </c>
      <c r="AC8" s="310" t="e">
        <f t="shared" ca="1" si="25"/>
        <v>#N/A</v>
      </c>
      <c r="AD8" s="323" t="e">
        <f t="shared" ca="1" si="26"/>
        <v>#N/A</v>
      </c>
      <c r="AE8" s="324">
        <f t="shared" ca="1" si="5"/>
        <v>1.3936191054571544E-2</v>
      </c>
      <c r="AG8" s="306">
        <f t="shared" ca="1" si="27"/>
        <v>59.645485712285826</v>
      </c>
      <c r="AH8" s="304">
        <f t="shared" ca="1" si="28"/>
        <v>69.418155700565848</v>
      </c>
    </row>
    <row r="9" spans="1:248" x14ac:dyDescent="0.2">
      <c r="A9" s="347">
        <f t="shared" ca="1" si="6"/>
        <v>0.01</v>
      </c>
      <c r="B9" s="304">
        <f t="shared" ca="1" si="7"/>
        <v>0.05</v>
      </c>
      <c r="D9" s="306">
        <f t="shared" ca="1" si="8"/>
        <v>6.9301416451605125</v>
      </c>
      <c r="E9" s="307">
        <f t="shared" ca="1" si="9"/>
        <v>79.216277482334576</v>
      </c>
      <c r="F9" s="304">
        <f t="shared" ca="1" si="10"/>
        <v>79.518837273819699</v>
      </c>
      <c r="G9" s="306">
        <f t="shared" ca="1" si="11"/>
        <v>0.17347812001566731</v>
      </c>
      <c r="H9" s="307">
        <f t="shared" ca="1" si="12"/>
        <v>1.9829860407343334</v>
      </c>
      <c r="I9" s="304">
        <f t="shared" ca="1" si="13"/>
        <v>1.9905597945983431</v>
      </c>
      <c r="J9" s="306">
        <f t="shared" ca="1" si="14"/>
        <v>2.60743891780179E-3</v>
      </c>
      <c r="K9" s="307">
        <f t="shared" ca="1" si="15"/>
        <v>2.9805237587798149E-2</v>
      </c>
      <c r="L9" s="304">
        <f t="shared" ca="1" si="0"/>
        <v>2.9919072936425737E-2</v>
      </c>
      <c r="M9" s="306">
        <f t="shared" ca="1" si="16"/>
        <v>1.4835298641951802</v>
      </c>
      <c r="N9" s="304">
        <f t="shared" ca="1" si="17"/>
        <v>85</v>
      </c>
      <c r="P9" s="310">
        <f t="shared" ca="1" si="18"/>
        <v>1</v>
      </c>
      <c r="Q9" s="304">
        <f t="shared" ca="1" si="19"/>
        <v>803.7</v>
      </c>
      <c r="R9" s="306">
        <f t="shared" ca="1" si="20"/>
        <v>0.40333958423412697</v>
      </c>
      <c r="S9" s="307">
        <f t="shared" ca="1" si="21"/>
        <v>9.0007961226601623</v>
      </c>
      <c r="T9" s="304">
        <f t="shared" ca="1" si="1"/>
        <v>88.297809963296203</v>
      </c>
      <c r="U9" s="311">
        <f t="shared" ca="1" si="2"/>
        <v>7.6956612103426494</v>
      </c>
      <c r="V9" s="306">
        <f t="shared" ca="1" si="3"/>
        <v>1.2249963488638369</v>
      </c>
      <c r="W9" s="304">
        <f t="shared" ca="1" si="4"/>
        <v>1.4828853767232477E-2</v>
      </c>
      <c r="Y9" s="314" t="str">
        <f t="shared" ca="1" si="22"/>
        <v/>
      </c>
      <c r="Z9" s="315" t="str">
        <f t="shared" ca="1" si="23"/>
        <v/>
      </c>
      <c r="AA9" s="316" t="str">
        <f t="shared" ca="1" si="24"/>
        <v/>
      </c>
      <c r="AC9" s="310" t="e">
        <f t="shared" ca="1" si="25"/>
        <v>#N/A</v>
      </c>
      <c r="AD9" s="323" t="e">
        <f t="shared" ca="1" si="26"/>
        <v>#N/A</v>
      </c>
      <c r="AE9" s="324">
        <f t="shared" ca="1" si="5"/>
        <v>2.9805237587798149E-2</v>
      </c>
      <c r="AG9" s="306">
        <f t="shared" ca="1" si="27"/>
        <v>79.518837272896675</v>
      </c>
      <c r="AH9" s="304">
        <f t="shared" ca="1" si="28"/>
        <v>89.291507261176704</v>
      </c>
    </row>
    <row r="10" spans="1:248" x14ac:dyDescent="0.2">
      <c r="A10" s="347">
        <f t="shared" ca="1" si="6"/>
        <v>0.01</v>
      </c>
      <c r="B10" s="304">
        <f t="shared" ca="1" si="7"/>
        <v>6.0000000000000005E-2</v>
      </c>
      <c r="D10" s="306">
        <f t="shared" ca="1" si="8"/>
        <v>7.7887861091205979</v>
      </c>
      <c r="E10" s="307">
        <f t="shared" ca="1" si="9"/>
        <v>89.031113714591001</v>
      </c>
      <c r="F10" s="304">
        <f t="shared" ca="1" si="10"/>
        <v>89.371160887134408</v>
      </c>
      <c r="G10" s="306">
        <f t="shared" ca="1" si="11"/>
        <v>0.2513659811068733</v>
      </c>
      <c r="H10" s="307">
        <f t="shared" ca="1" si="12"/>
        <v>2.8732971778802434</v>
      </c>
      <c r="I10" s="304">
        <f t="shared" ca="1" si="13"/>
        <v>2.8842714034695822</v>
      </c>
      <c r="J10" s="306">
        <f t="shared" ca="1" si="14"/>
        <v>4.7316594234144936E-3</v>
      </c>
      <c r="K10" s="307">
        <f t="shared" ca="1" si="15"/>
        <v>5.4086653680871032E-2</v>
      </c>
      <c r="L10" s="304">
        <f t="shared" ca="1" si="0"/>
        <v>5.4293228926760903E-2</v>
      </c>
      <c r="M10" s="306">
        <f t="shared" ca="1" si="16"/>
        <v>1.4835298641951802</v>
      </c>
      <c r="N10" s="304">
        <f t="shared" ca="1" si="17"/>
        <v>85</v>
      </c>
      <c r="P10" s="310">
        <f t="shared" ca="1" si="18"/>
        <v>2</v>
      </c>
      <c r="Q10" s="304">
        <f t="shared" ca="1" si="19"/>
        <v>891.94444444444446</v>
      </c>
      <c r="R10" s="306">
        <f t="shared" ca="1" si="20"/>
        <v>0.44762535944029064</v>
      </c>
      <c r="S10" s="307">
        <f t="shared" ca="1" si="21"/>
        <v>8.9963198690657595</v>
      </c>
      <c r="T10" s="304">
        <f t="shared" ca="1" si="1"/>
        <v>88.253897915535106</v>
      </c>
      <c r="U10" s="311">
        <f t="shared" ca="1" si="2"/>
        <v>7.6918340232044606</v>
      </c>
      <c r="V10" s="306">
        <f t="shared" ca="1" si="3"/>
        <v>1.2249933744028421</v>
      </c>
      <c r="W10" s="304">
        <f t="shared" ca="1" si="4"/>
        <v>3.1133526802331713E-2</v>
      </c>
      <c r="Y10" s="314" t="str">
        <f t="shared" ca="1" si="22"/>
        <v/>
      </c>
      <c r="Z10" s="315" t="str">
        <f t="shared" ca="1" si="23"/>
        <v/>
      </c>
      <c r="AA10" s="316" t="str">
        <f t="shared" ca="1" si="24"/>
        <v/>
      </c>
      <c r="AC10" s="310" t="e">
        <f t="shared" ca="1" si="25"/>
        <v>#N/A</v>
      </c>
      <c r="AD10" s="323" t="e">
        <f t="shared" ca="1" si="26"/>
        <v>#N/A</v>
      </c>
      <c r="AE10" s="324">
        <f t="shared" ca="1" si="5"/>
        <v>5.4086653680871032E-2</v>
      </c>
      <c r="AG10" s="306">
        <f t="shared" ca="1" si="27"/>
        <v>89.371160886121885</v>
      </c>
      <c r="AH10" s="304">
        <f t="shared" ca="1" si="28"/>
        <v>99.143830874401914</v>
      </c>
    </row>
    <row r="11" spans="1:248" x14ac:dyDescent="0.2">
      <c r="A11" s="347">
        <f t="shared" ca="1" si="6"/>
        <v>0.01</v>
      </c>
      <c r="B11" s="304">
        <f t="shared" ca="1" si="7"/>
        <v>7.0000000000000007E-2</v>
      </c>
      <c r="D11" s="306">
        <f t="shared" ca="1" si="8"/>
        <v>7.7724577953227412</v>
      </c>
      <c r="E11" s="307">
        <f t="shared" ca="1" si="9"/>
        <v>88.844471099324906</v>
      </c>
      <c r="F11" s="304">
        <f t="shared" ca="1" si="10"/>
        <v>89.183805397049809</v>
      </c>
      <c r="G11" s="306">
        <f t="shared" ca="1" si="11"/>
        <v>0.32909055906010071</v>
      </c>
      <c r="H11" s="307">
        <f t="shared" ca="1" si="12"/>
        <v>3.7617418888734924</v>
      </c>
      <c r="I11" s="304">
        <f t="shared" ca="1" si="13"/>
        <v>3.7761094574400249</v>
      </c>
      <c r="J11" s="306">
        <f t="shared" ca="1" si="14"/>
        <v>7.6339421242493637E-3</v>
      </c>
      <c r="K11" s="307">
        <f t="shared" ca="1" si="15"/>
        <v>8.7261849014639709E-2</v>
      </c>
      <c r="L11" s="304">
        <f t="shared" ca="1" si="0"/>
        <v>8.7595133231305522E-2</v>
      </c>
      <c r="M11" s="306">
        <f t="shared" ca="1" si="16"/>
        <v>1.4835298641951802</v>
      </c>
      <c r="N11" s="304">
        <f t="shared" ca="1" si="17"/>
        <v>85</v>
      </c>
      <c r="P11" s="310">
        <f t="shared" ca="1" si="18"/>
        <v>2</v>
      </c>
      <c r="Q11" s="304">
        <f t="shared" ca="1" si="19"/>
        <v>889.83333333333337</v>
      </c>
      <c r="R11" s="306">
        <f t="shared" ca="1" si="20"/>
        <v>0.44656589113392309</v>
      </c>
      <c r="S11" s="307">
        <f t="shared" ca="1" si="21"/>
        <v>8.9918542101544201</v>
      </c>
      <c r="T11" s="304">
        <f t="shared" ca="1" si="1"/>
        <v>88.21008980161487</v>
      </c>
      <c r="U11" s="311">
        <f t="shared" ca="1" si="2"/>
        <v>7.6880158944973687</v>
      </c>
      <c r="V11" s="306">
        <f t="shared" ca="1" si="3"/>
        <v>1.2249893104701355</v>
      </c>
      <c r="W11" s="304">
        <f t="shared" ca="1" si="4"/>
        <v>5.3363435399586372E-2</v>
      </c>
      <c r="Y11" s="314" t="str">
        <f t="shared" ca="1" si="22"/>
        <v/>
      </c>
      <c r="Z11" s="315" t="str">
        <f t="shared" ca="1" si="23"/>
        <v/>
      </c>
      <c r="AA11" s="316" t="str">
        <f t="shared" ca="1" si="24"/>
        <v/>
      </c>
      <c r="AC11" s="310" t="e">
        <f t="shared" ca="1" si="25"/>
        <v>#N/A</v>
      </c>
      <c r="AD11" s="323" t="e">
        <f t="shared" ca="1" si="26"/>
        <v>#N/A</v>
      </c>
      <c r="AE11" s="324">
        <f t="shared" ca="1" si="5"/>
        <v>8.7261849014639709E-2</v>
      </c>
      <c r="AG11" s="306">
        <f t="shared" ca="1" si="27"/>
        <v>89.183805396038963</v>
      </c>
      <c r="AH11" s="304">
        <f t="shared" ca="1" si="28"/>
        <v>98.956475384318992</v>
      </c>
    </row>
    <row r="12" spans="1:248" x14ac:dyDescent="0.2">
      <c r="A12" s="347">
        <f t="shared" ca="1" si="6"/>
        <v>0.01</v>
      </c>
      <c r="B12" s="304">
        <f t="shared" ca="1" si="7"/>
        <v>0.08</v>
      </c>
      <c r="D12" s="306">
        <f t="shared" ca="1" si="8"/>
        <v>7.7560456475536927</v>
      </c>
      <c r="E12" s="307">
        <f t="shared" ca="1" si="9"/>
        <v>88.656870242573305</v>
      </c>
      <c r="F12" s="304">
        <f t="shared" ca="1" si="10"/>
        <v>88.995488005265841</v>
      </c>
      <c r="G12" s="306">
        <f t="shared" ca="1" si="11"/>
        <v>0.40665101553563765</v>
      </c>
      <c r="H12" s="307">
        <f t="shared" ca="1" si="12"/>
        <v>4.6483105912992251</v>
      </c>
      <c r="I12" s="304">
        <f t="shared" ca="1" si="13"/>
        <v>4.6660643374926494</v>
      </c>
      <c r="J12" s="306">
        <f t="shared" ca="1" si="14"/>
        <v>1.1312649997228055E-2</v>
      </c>
      <c r="K12" s="307">
        <f t="shared" ca="1" si="15"/>
        <v>0.12931211141550331</v>
      </c>
      <c r="L12" s="304">
        <f t="shared" ca="1" si="0"/>
        <v>0.1298060022059663</v>
      </c>
      <c r="M12" s="306">
        <f t="shared" ca="1" si="16"/>
        <v>1.4835298641951802</v>
      </c>
      <c r="N12" s="304">
        <f t="shared" ca="1" si="17"/>
        <v>85</v>
      </c>
      <c r="P12" s="310">
        <f t="shared" ca="1" si="18"/>
        <v>2</v>
      </c>
      <c r="Q12" s="304">
        <f t="shared" ca="1" si="19"/>
        <v>887.72222222222217</v>
      </c>
      <c r="R12" s="306">
        <f t="shared" ca="1" si="20"/>
        <v>0.44550642282755548</v>
      </c>
      <c r="S12" s="307">
        <f t="shared" ca="1" si="21"/>
        <v>8.987399145926144</v>
      </c>
      <c r="T12" s="304">
        <f t="shared" ca="1" si="1"/>
        <v>88.166385621535483</v>
      </c>
      <c r="U12" s="311">
        <f t="shared" ca="1" si="2"/>
        <v>7.6842068242213717</v>
      </c>
      <c r="V12" s="306">
        <f t="shared" ca="1" si="3"/>
        <v>1.2249841593687711</v>
      </c>
      <c r="W12" s="304">
        <f t="shared" ca="1" si="4"/>
        <v>8.1480606033825773E-2</v>
      </c>
      <c r="Y12" s="314" t="str">
        <f t="shared" ca="1" si="22"/>
        <v/>
      </c>
      <c r="Z12" s="315" t="str">
        <f t="shared" ca="1" si="23"/>
        <v/>
      </c>
      <c r="AA12" s="316" t="str">
        <f t="shared" ca="1" si="24"/>
        <v/>
      </c>
      <c r="AC12" s="310" t="e">
        <f t="shared" ca="1" si="25"/>
        <v>#N/A</v>
      </c>
      <c r="AD12" s="323" t="e">
        <f t="shared" ca="1" si="26"/>
        <v>#N/A</v>
      </c>
      <c r="AE12" s="324">
        <f t="shared" ca="1" si="5"/>
        <v>0.12931211141550331</v>
      </c>
      <c r="AG12" s="306">
        <f t="shared" ca="1" si="27"/>
        <v>88.995488004256657</v>
      </c>
      <c r="AH12" s="304">
        <f t="shared" ca="1" si="28"/>
        <v>98.768157992536686</v>
      </c>
    </row>
    <row r="13" spans="1:248" x14ac:dyDescent="0.2">
      <c r="A13" s="347">
        <f t="shared" ca="1" si="6"/>
        <v>0.01</v>
      </c>
      <c r="B13" s="304">
        <f t="shared" ca="1" si="7"/>
        <v>0.09</v>
      </c>
      <c r="D13" s="306">
        <f t="shared" ca="1" si="8"/>
        <v>7.7395499675847734</v>
      </c>
      <c r="E13" s="307">
        <f t="shared" ca="1" si="9"/>
        <v>88.468314593608511</v>
      </c>
      <c r="F13" s="304">
        <f t="shared" ca="1" si="10"/>
        <v>88.806212174230396</v>
      </c>
      <c r="G13" s="306">
        <f t="shared" ca="1" si="11"/>
        <v>0.4840465152114854</v>
      </c>
      <c r="H13" s="307">
        <f t="shared" ca="1" si="12"/>
        <v>5.5329937372353104</v>
      </c>
      <c r="I13" s="304">
        <f t="shared" ca="1" si="13"/>
        <v>5.5541264592349302</v>
      </c>
      <c r="J13" s="306">
        <f t="shared" ca="1" si="14"/>
        <v>1.5766137650963671E-2</v>
      </c>
      <c r="K13" s="307">
        <f t="shared" ca="1" si="15"/>
        <v>0.18021863305817598</v>
      </c>
      <c r="L13" s="304">
        <f t="shared" ca="1" si="0"/>
        <v>0.18090695618960209</v>
      </c>
      <c r="M13" s="306">
        <f t="shared" ca="1" si="16"/>
        <v>1.4835298641951802</v>
      </c>
      <c r="N13" s="304">
        <f t="shared" ca="1" si="17"/>
        <v>85</v>
      </c>
      <c r="P13" s="310">
        <f t="shared" ca="1" si="18"/>
        <v>2</v>
      </c>
      <c r="Q13" s="304">
        <f t="shared" ca="1" si="19"/>
        <v>885.61111111111109</v>
      </c>
      <c r="R13" s="306">
        <f t="shared" ca="1" si="20"/>
        <v>0.44444695452118799</v>
      </c>
      <c r="S13" s="307">
        <f t="shared" ca="1" si="21"/>
        <v>8.9829546763809329</v>
      </c>
      <c r="T13" s="304">
        <f t="shared" ca="1" si="1"/>
        <v>88.122785375296957</v>
      </c>
      <c r="U13" s="311">
        <f t="shared" ca="1" si="2"/>
        <v>7.6804068123764724</v>
      </c>
      <c r="V13" s="306">
        <f t="shared" ca="1" si="3"/>
        <v>1.2249779234163811</v>
      </c>
      <c r="W13" s="304">
        <f t="shared" ca="1" si="4"/>
        <v>0.11544685909482356</v>
      </c>
      <c r="Y13" s="314" t="str">
        <f t="shared" ca="1" si="22"/>
        <v/>
      </c>
      <c r="Z13" s="315" t="str">
        <f t="shared" ca="1" si="23"/>
        <v/>
      </c>
      <c r="AA13" s="316" t="str">
        <f t="shared" ca="1" si="24"/>
        <v/>
      </c>
      <c r="AC13" s="310" t="e">
        <f t="shared" ca="1" si="25"/>
        <v>#N/A</v>
      </c>
      <c r="AD13" s="323" t="e">
        <f t="shared" ca="1" si="26"/>
        <v>#N/A</v>
      </c>
      <c r="AE13" s="324">
        <f t="shared" ca="1" si="5"/>
        <v>0.18021863305817598</v>
      </c>
      <c r="AG13" s="306">
        <f t="shared" ca="1" si="27"/>
        <v>88.80621217322286</v>
      </c>
      <c r="AH13" s="304">
        <f t="shared" ca="1" si="28"/>
        <v>98.578882161502889</v>
      </c>
    </row>
    <row r="14" spans="1:248" x14ac:dyDescent="0.2">
      <c r="A14" s="347">
        <f t="shared" ca="1" si="6"/>
        <v>0.01</v>
      </c>
      <c r="B14" s="304">
        <f t="shared" ca="1" si="7"/>
        <v>9.9999999999999992E-2</v>
      </c>
      <c r="D14" s="306">
        <f t="shared" ca="1" si="8"/>
        <v>7.7229710603774482</v>
      </c>
      <c r="E14" s="307">
        <f t="shared" ca="1" si="9"/>
        <v>88.278807638166484</v>
      </c>
      <c r="F14" s="304">
        <f t="shared" ca="1" si="10"/>
        <v>88.615981402994279</v>
      </c>
      <c r="G14" s="306">
        <f t="shared" ca="1" si="11"/>
        <v>0.56127622581525993</v>
      </c>
      <c r="H14" s="307">
        <f t="shared" ca="1" si="12"/>
        <v>6.4157818136169755</v>
      </c>
      <c r="I14" s="304">
        <f t="shared" ca="1" si="13"/>
        <v>6.4402862732648574</v>
      </c>
      <c r="J14" s="306">
        <f t="shared" ca="1" si="14"/>
        <v>2.0992751356097399E-2</v>
      </c>
      <c r="K14" s="307">
        <f t="shared" ca="1" si="15"/>
        <v>0.23996251081243741</v>
      </c>
      <c r="L14" s="304">
        <f t="shared" ca="1" si="0"/>
        <v>0.24087901985209934</v>
      </c>
      <c r="M14" s="306">
        <f t="shared" ca="1" si="16"/>
        <v>1.4835298641951802</v>
      </c>
      <c r="N14" s="304">
        <f t="shared" ca="1" si="17"/>
        <v>85</v>
      </c>
      <c r="P14" s="310">
        <f t="shared" ca="1" si="18"/>
        <v>2</v>
      </c>
      <c r="Q14" s="304">
        <f t="shared" ca="1" si="19"/>
        <v>883.5</v>
      </c>
      <c r="R14" s="306">
        <f t="shared" ca="1" si="20"/>
        <v>0.44338748621482044</v>
      </c>
      <c r="S14" s="307">
        <f t="shared" ca="1" si="21"/>
        <v>8.9785208015187852</v>
      </c>
      <c r="T14" s="304">
        <f t="shared" ca="1" si="1"/>
        <v>88.079289062899292</v>
      </c>
      <c r="U14" s="311">
        <f t="shared" ca="1" si="2"/>
        <v>7.6766158589626698</v>
      </c>
      <c r="V14" s="306">
        <f t="shared" ca="1" si="3"/>
        <v>1.2249706049451112</v>
      </c>
      <c r="W14" s="304">
        <f t="shared" ca="1" si="4"/>
        <v>0.15522381186602668</v>
      </c>
      <c r="Y14" s="314" t="str">
        <f t="shared" ca="1" si="22"/>
        <v/>
      </c>
      <c r="Z14" s="315" t="str">
        <f t="shared" ca="1" si="23"/>
        <v/>
      </c>
      <c r="AA14" s="316" t="str">
        <f t="shared" ca="1" si="24"/>
        <v/>
      </c>
      <c r="AC14" s="310" t="e">
        <f t="shared" ca="1" si="25"/>
        <v>#N/A</v>
      </c>
      <c r="AD14" s="323" t="e">
        <f t="shared" ca="1" si="26"/>
        <v>#N/A</v>
      </c>
      <c r="AE14" s="324">
        <f t="shared" ca="1" si="5"/>
        <v>0.23996251081243741</v>
      </c>
      <c r="AG14" s="306">
        <f t="shared" ca="1" si="27"/>
        <v>88.615981401988392</v>
      </c>
      <c r="AH14" s="304">
        <f t="shared" ca="1" si="28"/>
        <v>98.388651390268421</v>
      </c>
    </row>
    <row r="15" spans="1:248" x14ac:dyDescent="0.2">
      <c r="A15" s="347">
        <f t="shared" ca="1" si="6"/>
        <v>0.01</v>
      </c>
      <c r="B15" s="304">
        <f t="shared" ca="1" si="7"/>
        <v>0.10999999999999999</v>
      </c>
      <c r="D15" s="306">
        <f t="shared" ca="1" si="8"/>
        <v>7.7063092340586881</v>
      </c>
      <c r="E15" s="307">
        <f t="shared" ca="1" si="9"/>
        <v>88.088352898165198</v>
      </c>
      <c r="F15" s="304">
        <f t="shared" ca="1" si="10"/>
        <v>88.42479922692857</v>
      </c>
      <c r="G15" s="306">
        <f t="shared" ca="1" si="11"/>
        <v>0.63833931815584677</v>
      </c>
      <c r="H15" s="307">
        <f t="shared" ca="1" si="12"/>
        <v>7.2966653425986276</v>
      </c>
      <c r="I15" s="304">
        <f t="shared" ca="1" si="13"/>
        <v>7.3245342655341314</v>
      </c>
      <c r="J15" s="306">
        <f t="shared" ca="1" si="14"/>
        <v>2.6990829075952932E-2</v>
      </c>
      <c r="K15" s="307">
        <f t="shared" ca="1" si="15"/>
        <v>0.30852474659351542</v>
      </c>
      <c r="L15" s="304">
        <f t="shared" ca="1" si="0"/>
        <v>0.30970312254609289</v>
      </c>
      <c r="M15" s="306">
        <f t="shared" ca="1" si="16"/>
        <v>1.4835298641951802</v>
      </c>
      <c r="N15" s="304">
        <f t="shared" ca="1" si="17"/>
        <v>85</v>
      </c>
      <c r="P15" s="310">
        <f t="shared" ca="1" si="18"/>
        <v>2</v>
      </c>
      <c r="Q15" s="304">
        <f t="shared" ca="1" si="19"/>
        <v>881.38888888888891</v>
      </c>
      <c r="R15" s="306">
        <f t="shared" ca="1" si="20"/>
        <v>0.44232801790845289</v>
      </c>
      <c r="S15" s="307">
        <f t="shared" ca="1" si="21"/>
        <v>8.9740975213397007</v>
      </c>
      <c r="T15" s="304">
        <f t="shared" ca="1" si="1"/>
        <v>88.035896684342475</v>
      </c>
      <c r="U15" s="311">
        <f t="shared" ca="1" si="2"/>
        <v>7.6728339639799632</v>
      </c>
      <c r="V15" s="306">
        <f t="shared" ca="1" si="3"/>
        <v>1.2249622063015571</v>
      </c>
      <c r="W15" s="304">
        <f t="shared" ca="1" si="4"/>
        <v>0.20077288151896741</v>
      </c>
      <c r="Y15" s="314" t="str">
        <f t="shared" ca="1" si="22"/>
        <v/>
      </c>
      <c r="Z15" s="315" t="str">
        <f t="shared" ca="1" si="23"/>
        <v/>
      </c>
      <c r="AA15" s="316" t="str">
        <f t="shared" ca="1" si="24"/>
        <v/>
      </c>
      <c r="AC15" s="310" t="e">
        <f t="shared" ca="1" si="25"/>
        <v>#N/A</v>
      </c>
      <c r="AD15" s="323" t="e">
        <f t="shared" ca="1" si="26"/>
        <v>#N/A</v>
      </c>
      <c r="AE15" s="324">
        <f t="shared" ca="1" si="5"/>
        <v>0.30852474659351542</v>
      </c>
      <c r="AG15" s="306">
        <f t="shared" ca="1" si="27"/>
        <v>88.424799225924332</v>
      </c>
      <c r="AH15" s="304">
        <f t="shared" ca="1" si="28"/>
        <v>98.197469214204361</v>
      </c>
    </row>
    <row r="16" spans="1:248" x14ac:dyDescent="0.2">
      <c r="A16" s="347">
        <f t="shared" ca="1" si="6"/>
        <v>0.01</v>
      </c>
      <c r="B16" s="304">
        <f t="shared" ca="1" si="7"/>
        <v>0.11999999999999998</v>
      </c>
      <c r="D16" s="306">
        <f t="shared" ca="1" si="8"/>
        <v>7.6895647998960612</v>
      </c>
      <c r="E16" s="307">
        <f t="shared" ca="1" si="9"/>
        <v>87.896953931419944</v>
      </c>
      <c r="F16" s="304">
        <f t="shared" ca="1" si="10"/>
        <v>88.232669217438726</v>
      </c>
      <c r="G16" s="306">
        <f t="shared" ca="1" si="11"/>
        <v>0.71523496615480742</v>
      </c>
      <c r="H16" s="307">
        <f t="shared" ca="1" si="12"/>
        <v>8.1756348819128277</v>
      </c>
      <c r="I16" s="304">
        <f t="shared" ca="1" si="13"/>
        <v>8.2068609577085105</v>
      </c>
      <c r="J16" s="306">
        <f t="shared" ca="1" si="14"/>
        <v>3.3758700497506205E-2</v>
      </c>
      <c r="K16" s="307">
        <f t="shared" ca="1" si="15"/>
        <v>0.38588624771607272</v>
      </c>
      <c r="L16" s="304">
        <f t="shared" ca="1" si="0"/>
        <v>0.38736009866230486</v>
      </c>
      <c r="M16" s="306">
        <f t="shared" ca="1" si="16"/>
        <v>1.4835298641951802</v>
      </c>
      <c r="N16" s="304">
        <f t="shared" ca="1" si="17"/>
        <v>85</v>
      </c>
      <c r="P16" s="310">
        <f t="shared" ca="1" si="18"/>
        <v>2</v>
      </c>
      <c r="Q16" s="304">
        <f t="shared" ca="1" si="19"/>
        <v>879.27777777777783</v>
      </c>
      <c r="R16" s="306">
        <f t="shared" ca="1" si="20"/>
        <v>0.44126854960208534</v>
      </c>
      <c r="S16" s="307">
        <f t="shared" ca="1" si="21"/>
        <v>8.9696848358436796</v>
      </c>
      <c r="T16" s="304">
        <f t="shared" ca="1" si="1"/>
        <v>87.992608239626506</v>
      </c>
      <c r="U16" s="311">
        <f t="shared" ca="1" si="2"/>
        <v>7.6690611274283516</v>
      </c>
      <c r="V16" s="306">
        <f t="shared" ca="1" si="3"/>
        <v>1.2249527298466998</v>
      </c>
      <c r="W16" s="304">
        <f t="shared" ca="1" si="4"/>
        <v>0.25205528812294797</v>
      </c>
      <c r="Y16" s="314" t="str">
        <f t="shared" ca="1" si="22"/>
        <v/>
      </c>
      <c r="Z16" s="315" t="str">
        <f t="shared" ca="1" si="23"/>
        <v/>
      </c>
      <c r="AA16" s="316" t="str">
        <f t="shared" ca="1" si="24"/>
        <v/>
      </c>
      <c r="AC16" s="310" t="e">
        <f t="shared" ca="1" si="25"/>
        <v>#N/A</v>
      </c>
      <c r="AD16" s="323" t="e">
        <f t="shared" ca="1" si="26"/>
        <v>#N/A</v>
      </c>
      <c r="AE16" s="324">
        <f t="shared" ca="1" si="5"/>
        <v>0.38588624771607272</v>
      </c>
      <c r="AG16" s="306">
        <f t="shared" ca="1" si="27"/>
        <v>88.23266921643615</v>
      </c>
      <c r="AH16" s="304">
        <f t="shared" ca="1" si="28"/>
        <v>98.005339204716179</v>
      </c>
    </row>
    <row r="17" spans="1:34" x14ac:dyDescent="0.2">
      <c r="A17" s="347">
        <f t="shared" ca="1" si="6"/>
        <v>0.01</v>
      </c>
      <c r="B17" s="304">
        <f t="shared" ca="1" si="7"/>
        <v>0.12999999999999998</v>
      </c>
      <c r="D17" s="306">
        <f t="shared" ca="1" si="8"/>
        <v>7.6727380722725451</v>
      </c>
      <c r="E17" s="307">
        <f t="shared" ca="1" si="9"/>
        <v>87.704614331355486</v>
      </c>
      <c r="F17" s="304">
        <f t="shared" ca="1" si="10"/>
        <v>88.039594981675762</v>
      </c>
      <c r="G17" s="306">
        <f t="shared" ca="1" si="11"/>
        <v>0.79196234687753286</v>
      </c>
      <c r="H17" s="307">
        <f t="shared" ca="1" si="12"/>
        <v>9.0526810252263825</v>
      </c>
      <c r="I17" s="304">
        <f t="shared" ca="1" si="13"/>
        <v>9.0872569075252603</v>
      </c>
      <c r="J17" s="306">
        <f t="shared" ca="1" si="14"/>
        <v>4.1294687062667909E-2</v>
      </c>
      <c r="K17" s="307">
        <f t="shared" ca="1" si="15"/>
        <v>0.47202782725176878</v>
      </c>
      <c r="L17" s="304">
        <f t="shared" ca="1" si="0"/>
        <v>0.47383068798847272</v>
      </c>
      <c r="M17" s="306">
        <f t="shared" ca="1" si="16"/>
        <v>1.4835298641951802</v>
      </c>
      <c r="N17" s="304">
        <f t="shared" ca="1" si="17"/>
        <v>85</v>
      </c>
      <c r="P17" s="310">
        <f t="shared" ca="1" si="18"/>
        <v>2</v>
      </c>
      <c r="Q17" s="304">
        <f t="shared" ca="1" si="19"/>
        <v>877.16666666666663</v>
      </c>
      <c r="R17" s="306">
        <f t="shared" ca="1" si="20"/>
        <v>0.44020908129571773</v>
      </c>
      <c r="S17" s="307">
        <f t="shared" ca="1" si="21"/>
        <v>8.9652827450307218</v>
      </c>
      <c r="T17" s="304">
        <f t="shared" ca="1" si="1"/>
        <v>87.949423728751384</v>
      </c>
      <c r="U17" s="311">
        <f t="shared" ca="1" si="2"/>
        <v>7.6652973493078358</v>
      </c>
      <c r="V17" s="306">
        <f t="shared" ca="1" si="3"/>
        <v>1.2249421779558425</v>
      </c>
      <c r="W17" s="304">
        <f t="shared" ca="1" si="4"/>
        <v>0.30903205766958458</v>
      </c>
      <c r="Y17" s="314" t="str">
        <f t="shared" ca="1" si="22"/>
        <v/>
      </c>
      <c r="Z17" s="315" t="str">
        <f t="shared" ca="1" si="23"/>
        <v/>
      </c>
      <c r="AA17" s="316" t="str">
        <f t="shared" ca="1" si="24"/>
        <v/>
      </c>
      <c r="AC17" s="310" t="e">
        <f t="shared" ca="1" si="25"/>
        <v>#N/A</v>
      </c>
      <c r="AD17" s="323" t="e">
        <f t="shared" ca="1" si="26"/>
        <v>#N/A</v>
      </c>
      <c r="AE17" s="324">
        <f t="shared" ca="1" si="5"/>
        <v>0.47202782725176878</v>
      </c>
      <c r="AG17" s="306">
        <f t="shared" ca="1" si="27"/>
        <v>88.039594980674806</v>
      </c>
      <c r="AH17" s="304">
        <f t="shared" ca="1" si="28"/>
        <v>97.812264968954835</v>
      </c>
    </row>
    <row r="18" spans="1:34" x14ac:dyDescent="0.2">
      <c r="A18" s="347">
        <f t="shared" ca="1" si="6"/>
        <v>0.01</v>
      </c>
      <c r="B18" s="304">
        <f t="shared" ca="1" si="7"/>
        <v>0.13999999999999999</v>
      </c>
      <c r="D18" s="306">
        <f t="shared" ca="1" si="8"/>
        <v>7.6558293686610615</v>
      </c>
      <c r="E18" s="307">
        <f t="shared" ca="1" si="9"/>
        <v>87.511337726714828</v>
      </c>
      <c r="F18" s="304">
        <f t="shared" ca="1" si="10"/>
        <v>87.845580162243763</v>
      </c>
      <c r="G18" s="306">
        <f t="shared" ca="1" si="11"/>
        <v>0.86852064056414346</v>
      </c>
      <c r="H18" s="307">
        <f t="shared" ca="1" si="12"/>
        <v>9.9277944024935305</v>
      </c>
      <c r="I18" s="304">
        <f t="shared" ca="1" si="13"/>
        <v>9.9657127091476916</v>
      </c>
      <c r="J18" s="306">
        <f t="shared" ca="1" si="14"/>
        <v>4.959710199987629E-2</v>
      </c>
      <c r="K18" s="307">
        <f t="shared" ca="1" si="15"/>
        <v>0.56693020439036834</v>
      </c>
      <c r="L18" s="304">
        <f t="shared" ca="1" si="0"/>
        <v>0.56909553607183649</v>
      </c>
      <c r="M18" s="306">
        <f t="shared" ca="1" si="16"/>
        <v>1.4835298641951802</v>
      </c>
      <c r="N18" s="304">
        <f t="shared" ca="1" si="17"/>
        <v>85</v>
      </c>
      <c r="P18" s="310">
        <f t="shared" ca="1" si="18"/>
        <v>2</v>
      </c>
      <c r="Q18" s="304">
        <f t="shared" ca="1" si="19"/>
        <v>875.05555555555554</v>
      </c>
      <c r="R18" s="306">
        <f t="shared" ca="1" si="20"/>
        <v>0.43914961298935024</v>
      </c>
      <c r="S18" s="307">
        <f t="shared" ca="1" si="21"/>
        <v>8.960891248900829</v>
      </c>
      <c r="T18" s="304">
        <f t="shared" ca="1" si="1"/>
        <v>87.906343151717138</v>
      </c>
      <c r="U18" s="311">
        <f t="shared" ca="1" si="2"/>
        <v>7.6615426296184186</v>
      </c>
      <c r="V18" s="306">
        <f t="shared" ca="1" si="3"/>
        <v>1.2249305530185419</v>
      </c>
      <c r="W18" s="304">
        <f t="shared" ca="1" si="4"/>
        <v>0.37166402511179569</v>
      </c>
      <c r="Y18" s="314" t="str">
        <f t="shared" ca="1" si="22"/>
        <v/>
      </c>
      <c r="Z18" s="315" t="str">
        <f t="shared" ca="1" si="23"/>
        <v/>
      </c>
      <c r="AA18" s="316" t="str">
        <f t="shared" ca="1" si="24"/>
        <v/>
      </c>
      <c r="AC18" s="310" t="e">
        <f t="shared" ca="1" si="25"/>
        <v>#N/A</v>
      </c>
      <c r="AD18" s="323" t="e">
        <f t="shared" ca="1" si="26"/>
        <v>#N/A</v>
      </c>
      <c r="AE18" s="324">
        <f t="shared" ca="1" si="5"/>
        <v>0.56693020439036834</v>
      </c>
      <c r="AG18" s="306">
        <f t="shared" ca="1" si="27"/>
        <v>87.845580161244456</v>
      </c>
      <c r="AH18" s="304">
        <f t="shared" ca="1" si="28"/>
        <v>97.618250149524485</v>
      </c>
    </row>
    <row r="19" spans="1:34" x14ac:dyDescent="0.2">
      <c r="A19" s="347">
        <f t="shared" ca="1" si="6"/>
        <v>0.01</v>
      </c>
      <c r="B19" s="304">
        <f t="shared" ca="1" si="7"/>
        <v>0.15</v>
      </c>
      <c r="D19" s="306">
        <f t="shared" ca="1" si="8"/>
        <v>7.6388390095987404</v>
      </c>
      <c r="E19" s="307">
        <f t="shared" ca="1" si="9"/>
        <v>87.31712778126527</v>
      </c>
      <c r="F19" s="304">
        <f t="shared" ca="1" si="10"/>
        <v>87.650628436904981</v>
      </c>
      <c r="G19" s="306">
        <f t="shared" ca="1" si="11"/>
        <v>0.94490903066013088</v>
      </c>
      <c r="H19" s="307">
        <f t="shared" ca="1" si="12"/>
        <v>10.800965680306183</v>
      </c>
      <c r="I19" s="304">
        <f t="shared" ca="1" si="13"/>
        <v>10.842218993516736</v>
      </c>
      <c r="J19" s="306">
        <f t="shared" ca="1" si="14"/>
        <v>5.8664250355997663E-2</v>
      </c>
      <c r="K19" s="307">
        <f t="shared" ca="1" si="15"/>
        <v>0.67057400480436691</v>
      </c>
      <c r="L19" s="304">
        <f t="shared" ca="1" si="0"/>
        <v>0.6731351945851578</v>
      </c>
      <c r="M19" s="306">
        <f t="shared" ca="1" si="16"/>
        <v>1.4835298641951802</v>
      </c>
      <c r="N19" s="304">
        <f t="shared" ca="1" si="17"/>
        <v>85</v>
      </c>
      <c r="P19" s="310">
        <f t="shared" ca="1" si="18"/>
        <v>2</v>
      </c>
      <c r="Q19" s="304">
        <f t="shared" ca="1" si="19"/>
        <v>872.94444444444446</v>
      </c>
      <c r="R19" s="306">
        <f t="shared" ca="1" si="20"/>
        <v>0.43809014468298269</v>
      </c>
      <c r="S19" s="307">
        <f t="shared" ca="1" si="21"/>
        <v>8.9565103474539995</v>
      </c>
      <c r="T19" s="304">
        <f t="shared" ca="1" si="1"/>
        <v>87.86336650852374</v>
      </c>
      <c r="U19" s="311">
        <f t="shared" ca="1" si="2"/>
        <v>7.6577969683600973</v>
      </c>
      <c r="V19" s="306">
        <f t="shared" ca="1" si="3"/>
        <v>1.2249178574385449</v>
      </c>
      <c r="W19" s="304">
        <f t="shared" ca="1" si="4"/>
        <v>0.43991183741681839</v>
      </c>
      <c r="Y19" s="314" t="str">
        <f t="shared" ca="1" si="22"/>
        <v/>
      </c>
      <c r="Z19" s="315" t="str">
        <f t="shared" ca="1" si="23"/>
        <v/>
      </c>
      <c r="AA19" s="316" t="str">
        <f t="shared" ca="1" si="24"/>
        <v/>
      </c>
      <c r="AC19" s="310" t="e">
        <f t="shared" ca="1" si="25"/>
        <v>#N/A</v>
      </c>
      <c r="AD19" s="323" t="e">
        <f t="shared" ca="1" si="26"/>
        <v>#N/A</v>
      </c>
      <c r="AE19" s="324">
        <f t="shared" ca="1" si="5"/>
        <v>0.67057400480436691</v>
      </c>
      <c r="AG19" s="306">
        <f t="shared" ca="1" si="27"/>
        <v>87.650628435907279</v>
      </c>
      <c r="AH19" s="304">
        <f t="shared" ca="1" si="28"/>
        <v>97.423298424187308</v>
      </c>
    </row>
    <row r="20" spans="1:34" x14ac:dyDescent="0.2">
      <c r="A20" s="347">
        <f t="shared" ca="1" si="6"/>
        <v>0.01</v>
      </c>
      <c r="B20" s="304">
        <f t="shared" ca="1" si="7"/>
        <v>0.16</v>
      </c>
      <c r="D20" s="306">
        <f t="shared" ca="1" si="8"/>
        <v>7.6217673186609254</v>
      </c>
      <c r="E20" s="307">
        <f t="shared" ca="1" si="9"/>
        <v>87.121988193501096</v>
      </c>
      <c r="F20" s="304">
        <f t="shared" ca="1" si="10"/>
        <v>87.454743518281219</v>
      </c>
      <c r="G20" s="306">
        <f t="shared" ca="1" si="11"/>
        <v>1.0211267038467402</v>
      </c>
      <c r="H20" s="307">
        <f t="shared" ca="1" si="12"/>
        <v>11.672185562241193</v>
      </c>
      <c r="I20" s="304">
        <f t="shared" ca="1" si="13"/>
        <v>11.716766428699543</v>
      </c>
      <c r="J20" s="306">
        <f t="shared" ca="1" si="14"/>
        <v>6.849442902853202E-2</v>
      </c>
      <c r="K20" s="307">
        <f t="shared" ca="1" si="15"/>
        <v>0.78293976101710383</v>
      </c>
      <c r="L20" s="304">
        <f t="shared" ca="1" si="0"/>
        <v>0.78593012169623855</v>
      </c>
      <c r="M20" s="306">
        <f t="shared" ca="1" si="16"/>
        <v>1.4835298641951802</v>
      </c>
      <c r="N20" s="304">
        <f t="shared" ca="1" si="17"/>
        <v>85</v>
      </c>
      <c r="P20" s="310">
        <f t="shared" ca="1" si="18"/>
        <v>2</v>
      </c>
      <c r="Q20" s="304">
        <f t="shared" ca="1" si="19"/>
        <v>870.83333333333337</v>
      </c>
      <c r="R20" s="306">
        <f t="shared" ca="1" si="20"/>
        <v>0.43703067637661513</v>
      </c>
      <c r="S20" s="307">
        <f t="shared" ca="1" si="21"/>
        <v>8.9521400406902334</v>
      </c>
      <c r="T20" s="304">
        <f t="shared" ca="1" si="1"/>
        <v>87.820493799171189</v>
      </c>
      <c r="U20" s="311">
        <f t="shared" ca="1" si="2"/>
        <v>7.6540603655328709</v>
      </c>
      <c r="V20" s="306">
        <f t="shared" ca="1" si="3"/>
        <v>1.2249040936337208</v>
      </c>
      <c r="W20" s="304">
        <f t="shared" ca="1" si="4"/>
        <v>0.513735956632836</v>
      </c>
      <c r="Y20" s="314" t="str">
        <f t="shared" ca="1" si="22"/>
        <v/>
      </c>
      <c r="Z20" s="315" t="str">
        <f t="shared" ca="1" si="23"/>
        <v/>
      </c>
      <c r="AA20" s="316" t="str">
        <f t="shared" ca="1" si="24"/>
        <v/>
      </c>
      <c r="AC20" s="310" t="e">
        <f t="shared" ca="1" si="25"/>
        <v>#N/A</v>
      </c>
      <c r="AD20" s="323" t="e">
        <f t="shared" ca="1" si="26"/>
        <v>#N/A</v>
      </c>
      <c r="AE20" s="324">
        <f t="shared" ca="1" si="5"/>
        <v>0.78293976101710383</v>
      </c>
      <c r="AG20" s="306">
        <f t="shared" ca="1" si="27"/>
        <v>87.454743517285166</v>
      </c>
      <c r="AH20" s="304">
        <f t="shared" ca="1" si="28"/>
        <v>97.227413505565195</v>
      </c>
    </row>
    <row r="21" spans="1:34" x14ac:dyDescent="0.2">
      <c r="A21" s="347">
        <f t="shared" ca="1" si="6"/>
        <v>0.01</v>
      </c>
      <c r="B21" s="304">
        <f t="shared" ca="1" si="7"/>
        <v>0.17</v>
      </c>
      <c r="D21" s="306">
        <f t="shared" ca="1" si="8"/>
        <v>7.6046146224348981</v>
      </c>
      <c r="E21" s="307">
        <f t="shared" ca="1" si="9"/>
        <v>86.925922696343392</v>
      </c>
      <c r="F21" s="304">
        <f t="shared" ca="1" si="10"/>
        <v>87.257929153552681</v>
      </c>
      <c r="G21" s="306">
        <f t="shared" ca="1" si="11"/>
        <v>1.0971728500710891</v>
      </c>
      <c r="H21" s="307">
        <f t="shared" ca="1" si="12"/>
        <v>12.541444789204627</v>
      </c>
      <c r="I21" s="304">
        <f t="shared" ca="1" si="13"/>
        <v>12.58934572023507</v>
      </c>
      <c r="J21" s="306">
        <f t="shared" ca="1" si="14"/>
        <v>7.9085926798121167E-2</v>
      </c>
      <c r="K21" s="307">
        <f t="shared" ca="1" si="15"/>
        <v>0.9040079127743329</v>
      </c>
      <c r="L21" s="304">
        <f t="shared" ca="1" si="0"/>
        <v>0.90746068244091083</v>
      </c>
      <c r="M21" s="306">
        <f t="shared" ca="1" si="16"/>
        <v>1.4835298641951802</v>
      </c>
      <c r="N21" s="304">
        <f t="shared" ca="1" si="17"/>
        <v>85</v>
      </c>
      <c r="P21" s="310">
        <f t="shared" ca="1" si="18"/>
        <v>2</v>
      </c>
      <c r="Q21" s="304">
        <f t="shared" ca="1" si="19"/>
        <v>868.72222222222217</v>
      </c>
      <c r="R21" s="306">
        <f t="shared" ca="1" si="20"/>
        <v>0.43597120807024753</v>
      </c>
      <c r="S21" s="307">
        <f t="shared" ca="1" si="21"/>
        <v>8.9477803286095305</v>
      </c>
      <c r="T21" s="304">
        <f t="shared" ca="1" si="1"/>
        <v>87.777725023659499</v>
      </c>
      <c r="U21" s="311">
        <f t="shared" ca="1" si="2"/>
        <v>7.6503328211367414</v>
      </c>
      <c r="V21" s="306">
        <f t="shared" ca="1" si="3"/>
        <v>1.2248892640359947</v>
      </c>
      <c r="W21" s="304">
        <f t="shared" ca="1" si="4"/>
        <v>0.59309666296879593</v>
      </c>
      <c r="Y21" s="314" t="str">
        <f t="shared" ca="1" si="22"/>
        <v/>
      </c>
      <c r="Z21" s="315" t="str">
        <f t="shared" ca="1" si="23"/>
        <v/>
      </c>
      <c r="AA21" s="316" t="str">
        <f t="shared" ca="1" si="24"/>
        <v/>
      </c>
      <c r="AC21" s="310" t="e">
        <f t="shared" ca="1" si="25"/>
        <v>#N/A</v>
      </c>
      <c r="AD21" s="323" t="e">
        <f t="shared" ca="1" si="26"/>
        <v>#N/A</v>
      </c>
      <c r="AE21" s="324">
        <f t="shared" ca="1" si="5"/>
        <v>0.9040079127743329</v>
      </c>
      <c r="AG21" s="306">
        <f t="shared" ca="1" si="27"/>
        <v>87.257929152558233</v>
      </c>
      <c r="AH21" s="304">
        <f t="shared" ca="1" si="28"/>
        <v>97.030599140838262</v>
      </c>
    </row>
    <row r="22" spans="1:34" x14ac:dyDescent="0.2">
      <c r="A22" s="347">
        <f t="shared" ca="1" si="6"/>
        <v>0.01</v>
      </c>
      <c r="B22" s="304">
        <f t="shared" ca="1" si="7"/>
        <v>0.18000000000000002</v>
      </c>
      <c r="D22" s="306">
        <f t="shared" ca="1" si="8"/>
        <v>7.5873812504933662</v>
      </c>
      <c r="E22" s="307">
        <f t="shared" ca="1" si="9"/>
        <v>86.728935056836903</v>
      </c>
      <c r="F22" s="304">
        <f t="shared" ca="1" si="10"/>
        <v>87.060189124153482</v>
      </c>
      <c r="G22" s="306">
        <f t="shared" ca="1" si="11"/>
        <v>1.1730466625760227</v>
      </c>
      <c r="H22" s="307">
        <f t="shared" ca="1" si="12"/>
        <v>13.408734139772996</v>
      </c>
      <c r="I22" s="304">
        <f t="shared" ca="1" si="13"/>
        <v>13.459947611476599</v>
      </c>
      <c r="J22" s="306">
        <f t="shared" ca="1" si="14"/>
        <v>9.0437024361356727E-2</v>
      </c>
      <c r="K22" s="307">
        <f t="shared" ca="1" si="15"/>
        <v>1.033758807419221</v>
      </c>
      <c r="L22" s="304">
        <f t="shared" ca="1" si="0"/>
        <v>1.0377071490994685</v>
      </c>
      <c r="M22" s="306">
        <f t="shared" ca="1" si="16"/>
        <v>1.4835298641951802</v>
      </c>
      <c r="N22" s="304">
        <f t="shared" ca="1" si="17"/>
        <v>85</v>
      </c>
      <c r="P22" s="310">
        <f t="shared" ca="1" si="18"/>
        <v>2</v>
      </c>
      <c r="Q22" s="304">
        <f t="shared" ca="1" si="19"/>
        <v>866.61111111111109</v>
      </c>
      <c r="R22" s="306">
        <f t="shared" ca="1" si="20"/>
        <v>0.43491173976387998</v>
      </c>
      <c r="S22" s="307">
        <f t="shared" ca="1" si="21"/>
        <v>8.943431211211891</v>
      </c>
      <c r="T22" s="304">
        <f t="shared" ca="1" si="1"/>
        <v>87.735060181988658</v>
      </c>
      <c r="U22" s="311">
        <f t="shared" ca="1" si="2"/>
        <v>7.6466143351717086</v>
      </c>
      <c r="V22" s="306">
        <f t="shared" ca="1" si="3"/>
        <v>1.2248733710912789</v>
      </c>
      <c r="W22" s="304">
        <f t="shared" ca="1" si="4"/>
        <v>0.67795405788699592</v>
      </c>
      <c r="Y22" s="314" t="str">
        <f t="shared" ca="1" si="22"/>
        <v/>
      </c>
      <c r="Z22" s="315" t="str">
        <f t="shared" ca="1" si="23"/>
        <v/>
      </c>
      <c r="AA22" s="316" t="str">
        <f t="shared" ca="1" si="24"/>
        <v/>
      </c>
      <c r="AC22" s="310" t="e">
        <f t="shared" ca="1" si="25"/>
        <v>#N/A</v>
      </c>
      <c r="AD22" s="323" t="e">
        <f t="shared" ca="1" si="26"/>
        <v>#N/A</v>
      </c>
      <c r="AE22" s="324">
        <f t="shared" ca="1" si="5"/>
        <v>1.033758807419221</v>
      </c>
      <c r="AG22" s="306">
        <f t="shared" ca="1" si="27"/>
        <v>87.06018912316064</v>
      </c>
      <c r="AH22" s="304">
        <f t="shared" ca="1" si="28"/>
        <v>96.832859111440669</v>
      </c>
    </row>
    <row r="23" spans="1:34" x14ac:dyDescent="0.2">
      <c r="A23" s="347">
        <f t="shared" ca="1" si="6"/>
        <v>0.01</v>
      </c>
      <c r="B23" s="304">
        <f t="shared" ca="1" si="7"/>
        <v>0.19000000000000003</v>
      </c>
      <c r="D23" s="306">
        <f t="shared" ca="1" si="8"/>
        <v>7.5700675353676807</v>
      </c>
      <c r="E23" s="307">
        <f t="shared" ca="1" si="9"/>
        <v>86.531029075843946</v>
      </c>
      <c r="F23" s="304">
        <f t="shared" ca="1" si="10"/>
        <v>86.861527245464544</v>
      </c>
      <c r="G23" s="306">
        <f t="shared" ca="1" si="11"/>
        <v>1.2487473379296996</v>
      </c>
      <c r="H23" s="307">
        <f t="shared" ca="1" si="12"/>
        <v>14.274044430531434</v>
      </c>
      <c r="I23" s="304">
        <f t="shared" ca="1" si="13"/>
        <v>14.328562883931241</v>
      </c>
      <c r="J23" s="306">
        <f t="shared" ca="1" si="14"/>
        <v>0.10254599436388534</v>
      </c>
      <c r="K23" s="307">
        <f t="shared" ca="1" si="15"/>
        <v>1.1721727002707432</v>
      </c>
      <c r="L23" s="304">
        <f t="shared" ca="1" si="0"/>
        <v>1.1766497015765072</v>
      </c>
      <c r="M23" s="306">
        <f t="shared" ca="1" si="16"/>
        <v>1.4835298641951802</v>
      </c>
      <c r="N23" s="304">
        <f t="shared" ca="1" si="17"/>
        <v>85</v>
      </c>
      <c r="P23" s="310">
        <f t="shared" ca="1" si="18"/>
        <v>2</v>
      </c>
      <c r="Q23" s="304">
        <f t="shared" ca="1" si="19"/>
        <v>864.5</v>
      </c>
      <c r="R23" s="306">
        <f t="shared" ca="1" si="20"/>
        <v>0.43385227145751248</v>
      </c>
      <c r="S23" s="307">
        <f t="shared" ca="1" si="21"/>
        <v>8.9390926884973165</v>
      </c>
      <c r="T23" s="304">
        <f t="shared" ca="1" si="1"/>
        <v>87.692499274158678</v>
      </c>
      <c r="U23" s="311">
        <f t="shared" ca="1" si="2"/>
        <v>7.6429049076377717</v>
      </c>
      <c r="V23" s="306">
        <f t="shared" ca="1" si="3"/>
        <v>1.2248564172594054</v>
      </c>
      <c r="W23" s="304">
        <f t="shared" ca="1" si="4"/>
        <v>0.76826806720802387</v>
      </c>
      <c r="Y23" s="314" t="str">
        <f t="shared" ca="1" si="22"/>
        <v/>
      </c>
      <c r="Z23" s="315" t="str">
        <f t="shared" ca="1" si="23"/>
        <v/>
      </c>
      <c r="AA23" s="316" t="str">
        <f t="shared" ca="1" si="24"/>
        <v/>
      </c>
      <c r="AC23" s="310" t="e">
        <f t="shared" ca="1" si="25"/>
        <v>#N/A</v>
      </c>
      <c r="AD23" s="323" t="e">
        <f t="shared" ca="1" si="26"/>
        <v>#N/A</v>
      </c>
      <c r="AE23" s="324">
        <f t="shared" ca="1" si="5"/>
        <v>1.1721727002707432</v>
      </c>
      <c r="AG23" s="306">
        <f t="shared" ca="1" si="27"/>
        <v>86.861527244473322</v>
      </c>
      <c r="AH23" s="304">
        <f t="shared" ca="1" si="28"/>
        <v>96.634197232753351</v>
      </c>
    </row>
    <row r="24" spans="1:34" x14ac:dyDescent="0.2">
      <c r="A24" s="347">
        <f t="shared" ca="1" si="6"/>
        <v>0.01</v>
      </c>
      <c r="B24" s="304">
        <f t="shared" ca="1" si="7"/>
        <v>0.20000000000000004</v>
      </c>
      <c r="D24" s="306">
        <f t="shared" ca="1" si="8"/>
        <v>7.5526738125208031</v>
      </c>
      <c r="E24" s="307">
        <f t="shared" ca="1" si="9"/>
        <v>86.332208587735451</v>
      </c>
      <c r="F24" s="304">
        <f t="shared" ca="1" si="10"/>
        <v>86.661947366503369</v>
      </c>
      <c r="G24" s="306">
        <f t="shared" ca="1" si="11"/>
        <v>1.3242740760549077</v>
      </c>
      <c r="H24" s="307">
        <f t="shared" ca="1" si="12"/>
        <v>15.13736651640879</v>
      </c>
      <c r="I24" s="304">
        <f t="shared" ca="1" si="13"/>
        <v>15.195182357596273</v>
      </c>
      <c r="J24" s="306">
        <f t="shared" ca="1" si="14"/>
        <v>0.11541110143380838</v>
      </c>
      <c r="K24" s="307">
        <f t="shared" ca="1" si="15"/>
        <v>1.3192297550054444</v>
      </c>
      <c r="L24" s="304">
        <f t="shared" ca="1" si="0"/>
        <v>1.3242684277841443</v>
      </c>
      <c r="M24" s="306">
        <f t="shared" ca="1" si="16"/>
        <v>1.4835298641951802</v>
      </c>
      <c r="N24" s="304">
        <f t="shared" ca="1" si="17"/>
        <v>85</v>
      </c>
      <c r="P24" s="310">
        <f t="shared" ca="1" si="18"/>
        <v>2</v>
      </c>
      <c r="Q24" s="304">
        <f t="shared" ca="1" si="19"/>
        <v>862.38888888888891</v>
      </c>
      <c r="R24" s="306">
        <f t="shared" ca="1" si="20"/>
        <v>0.43279280315114493</v>
      </c>
      <c r="S24" s="307">
        <f t="shared" ca="1" si="21"/>
        <v>8.9347647604658054</v>
      </c>
      <c r="T24" s="304">
        <f t="shared" ca="1" si="1"/>
        <v>87.650042300169559</v>
      </c>
      <c r="U24" s="311">
        <f t="shared" ca="1" si="2"/>
        <v>7.6392045385349325</v>
      </c>
      <c r="V24" s="306">
        <f t="shared" ca="1" si="3"/>
        <v>1.2248384050140577</v>
      </c>
      <c r="W24" s="304">
        <f t="shared" ca="1" si="4"/>
        <v>0.8639984442276174</v>
      </c>
      <c r="Y24" s="314" t="str">
        <f t="shared" ca="1" si="22"/>
        <v/>
      </c>
      <c r="Z24" s="315" t="str">
        <f t="shared" ca="1" si="23"/>
        <v/>
      </c>
      <c r="AA24" s="316" t="str">
        <f t="shared" ca="1" si="24"/>
        <v/>
      </c>
      <c r="AC24" s="310" t="e">
        <f t="shared" ca="1" si="25"/>
        <v>#N/A</v>
      </c>
      <c r="AD24" s="323" t="e">
        <f t="shared" ca="1" si="26"/>
        <v>#N/A</v>
      </c>
      <c r="AE24" s="324">
        <f t="shared" ca="1" si="5"/>
        <v>1.3192297550054444</v>
      </c>
      <c r="AG24" s="306">
        <f t="shared" ca="1" si="27"/>
        <v>86.661947365513754</v>
      </c>
      <c r="AH24" s="304">
        <f t="shared" ca="1" si="28"/>
        <v>96.434617353793783</v>
      </c>
    </row>
    <row r="25" spans="1:34" x14ac:dyDescent="0.2">
      <c r="A25" s="347">
        <f t="shared" ca="1" si="6"/>
        <v>0.01</v>
      </c>
      <c r="B25" s="304">
        <f t="shared" ca="1" si="7"/>
        <v>0.21000000000000005</v>
      </c>
      <c r="D25" s="306">
        <f t="shared" ca="1" si="8"/>
        <v>7.53520042032003</v>
      </c>
      <c r="E25" s="307">
        <f t="shared" ca="1" si="9"/>
        <v>86.132477460079201</v>
      </c>
      <c r="F25" s="304">
        <f t="shared" ca="1" si="10"/>
        <v>86.461453369611149</v>
      </c>
      <c r="G25" s="306">
        <f t="shared" ca="1" si="11"/>
        <v>1.399626080258108</v>
      </c>
      <c r="H25" s="307">
        <f t="shared" ca="1" si="12"/>
        <v>15.998691291009582</v>
      </c>
      <c r="I25" s="304">
        <f t="shared" ca="1" si="13"/>
        <v>16.059796891292383</v>
      </c>
      <c r="J25" s="306">
        <f t="shared" ca="1" si="14"/>
        <v>0.12903060221537346</v>
      </c>
      <c r="K25" s="307">
        <f t="shared" ca="1" si="15"/>
        <v>1.4749100440425362</v>
      </c>
      <c r="L25" s="304">
        <f t="shared" ca="1" si="0"/>
        <v>1.480543324028587</v>
      </c>
      <c r="M25" s="306">
        <f t="shared" ca="1" si="16"/>
        <v>1.4835298641951802</v>
      </c>
      <c r="N25" s="304">
        <f t="shared" ca="1" si="17"/>
        <v>85</v>
      </c>
      <c r="P25" s="310">
        <f t="shared" ca="1" si="18"/>
        <v>2</v>
      </c>
      <c r="Q25" s="304">
        <f t="shared" ca="1" si="19"/>
        <v>860.27777777777783</v>
      </c>
      <c r="R25" s="306">
        <f t="shared" ca="1" si="20"/>
        <v>0.43173333484477738</v>
      </c>
      <c r="S25" s="307">
        <f t="shared" ca="1" si="21"/>
        <v>8.9304474271173575</v>
      </c>
      <c r="T25" s="304">
        <f t="shared" ca="1" si="1"/>
        <v>87.607689260021289</v>
      </c>
      <c r="U25" s="311">
        <f t="shared" ca="1" si="2"/>
        <v>7.6355132278631883</v>
      </c>
      <c r="V25" s="306">
        <f t="shared" ca="1" si="3"/>
        <v>1.2248193368427001</v>
      </c>
      <c r="W25" s="304">
        <f t="shared" ca="1" si="4"/>
        <v>0.96510477284502572</v>
      </c>
      <c r="Y25" s="314" t="str">
        <f t="shared" ca="1" si="22"/>
        <v/>
      </c>
      <c r="Z25" s="315" t="str">
        <f t="shared" ca="1" si="23"/>
        <v/>
      </c>
      <c r="AA25" s="316" t="str">
        <f t="shared" ca="1" si="24"/>
        <v/>
      </c>
      <c r="AC25" s="310" t="e">
        <f t="shared" ca="1" si="25"/>
        <v>#N/A</v>
      </c>
      <c r="AD25" s="323" t="e">
        <f t="shared" ca="1" si="26"/>
        <v>#N/A</v>
      </c>
      <c r="AE25" s="324">
        <f t="shared" ca="1" si="5"/>
        <v>1.4749100440425362</v>
      </c>
      <c r="AG25" s="306">
        <f t="shared" ca="1" si="27"/>
        <v>86.461453368623125</v>
      </c>
      <c r="AH25" s="304">
        <f t="shared" ca="1" si="28"/>
        <v>96.234123356903154</v>
      </c>
    </row>
    <row r="26" spans="1:34" x14ac:dyDescent="0.2">
      <c r="A26" s="347">
        <f t="shared" ca="1" si="6"/>
        <v>0.01</v>
      </c>
      <c r="B26" s="304">
        <f t="shared" ca="1" si="7"/>
        <v>0.22000000000000006</v>
      </c>
      <c r="D26" s="306">
        <f t="shared" ca="1" si="8"/>
        <v>7.5176477000094764</v>
      </c>
      <c r="E26" s="307">
        <f t="shared" ca="1" si="9"/>
        <v>85.931839593325208</v>
      </c>
      <c r="F26" s="304">
        <f t="shared" ca="1" si="10"/>
        <v>86.260049170136881</v>
      </c>
      <c r="G26" s="306">
        <f t="shared" ca="1" si="11"/>
        <v>1.4748025572582026</v>
      </c>
      <c r="H26" s="307">
        <f t="shared" ca="1" si="12"/>
        <v>16.858009686942832</v>
      </c>
      <c r="I26" s="304">
        <f t="shared" ca="1" si="13"/>
        <v>16.922397382993751</v>
      </c>
      <c r="J26" s="306">
        <f t="shared" ca="1" si="14"/>
        <v>0.14340274540295503</v>
      </c>
      <c r="K26" s="307">
        <f t="shared" ca="1" si="15"/>
        <v>1.6391935489322984</v>
      </c>
      <c r="L26" s="304">
        <f t="shared" ca="1" si="0"/>
        <v>1.6454542954000175</v>
      </c>
      <c r="M26" s="306">
        <f t="shared" ca="1" si="16"/>
        <v>1.4835298641951802</v>
      </c>
      <c r="N26" s="304">
        <f t="shared" ca="1" si="17"/>
        <v>85</v>
      </c>
      <c r="P26" s="310">
        <f t="shared" ca="1" si="18"/>
        <v>2</v>
      </c>
      <c r="Q26" s="304">
        <f t="shared" ca="1" si="19"/>
        <v>858.16666666666663</v>
      </c>
      <c r="R26" s="306">
        <f t="shared" ca="1" si="20"/>
        <v>0.43067386653840978</v>
      </c>
      <c r="S26" s="307">
        <f t="shared" ca="1" si="21"/>
        <v>8.9261406884519729</v>
      </c>
      <c r="T26" s="304">
        <f t="shared" ca="1" si="1"/>
        <v>87.565440153713865</v>
      </c>
      <c r="U26" s="311">
        <f t="shared" ca="1" si="2"/>
        <v>7.63183097562254</v>
      </c>
      <c r="V26" s="306">
        <f t="shared" ca="1" si="3"/>
        <v>1.2247992152465093</v>
      </c>
      <c r="W26" s="304">
        <f t="shared" ca="1" si="4"/>
        <v>1.0715464707024502</v>
      </c>
      <c r="Y26" s="314" t="str">
        <f t="shared" ca="1" si="22"/>
        <v/>
      </c>
      <c r="Z26" s="315" t="str">
        <f t="shared" ca="1" si="23"/>
        <v/>
      </c>
      <c r="AA26" s="316" t="str">
        <f t="shared" ca="1" si="24"/>
        <v/>
      </c>
      <c r="AC26" s="310" t="e">
        <f t="shared" ca="1" si="25"/>
        <v>#N/A</v>
      </c>
      <c r="AD26" s="323" t="e">
        <f t="shared" ca="1" si="26"/>
        <v>#N/A</v>
      </c>
      <c r="AE26" s="324">
        <f t="shared" ca="1" si="5"/>
        <v>1.6391935489322984</v>
      </c>
      <c r="AG26" s="306">
        <f t="shared" ca="1" si="27"/>
        <v>86.260049169150463</v>
      </c>
      <c r="AH26" s="304">
        <f t="shared" ca="1" si="28"/>
        <v>96.032719157430492</v>
      </c>
    </row>
    <row r="27" spans="1:34" x14ac:dyDescent="0.2">
      <c r="A27" s="347">
        <f t="shared" ca="1" si="6"/>
        <v>0.01</v>
      </c>
      <c r="B27" s="304">
        <f t="shared" ca="1" si="7"/>
        <v>0.23000000000000007</v>
      </c>
      <c r="D27" s="306">
        <f t="shared" ca="1" si="8"/>
        <v>7.5000159956823103</v>
      </c>
      <c r="E27" s="307">
        <f t="shared" ca="1" si="9"/>
        <v>85.730298920488551</v>
      </c>
      <c r="F27" s="304">
        <f t="shared" ca="1" si="10"/>
        <v>86.057738716119019</v>
      </c>
      <c r="G27" s="306">
        <f t="shared" ca="1" si="11"/>
        <v>1.5498027172150257</v>
      </c>
      <c r="H27" s="307">
        <f t="shared" ca="1" si="12"/>
        <v>17.715312676147718</v>
      </c>
      <c r="I27" s="304">
        <f t="shared" ca="1" si="13"/>
        <v>17.78297477015494</v>
      </c>
      <c r="J27" s="306">
        <f t="shared" ca="1" si="14"/>
        <v>0.15852577177532118</v>
      </c>
      <c r="K27" s="307">
        <f t="shared" ca="1" si="15"/>
        <v>1.8120601607477511</v>
      </c>
      <c r="L27" s="304">
        <f t="shared" ca="1" si="0"/>
        <v>1.8189811561657605</v>
      </c>
      <c r="M27" s="306">
        <f t="shared" ca="1" si="16"/>
        <v>1.4835298641951802</v>
      </c>
      <c r="N27" s="304">
        <f t="shared" ca="1" si="17"/>
        <v>85</v>
      </c>
      <c r="P27" s="310">
        <f t="shared" ca="1" si="18"/>
        <v>2</v>
      </c>
      <c r="Q27" s="304">
        <f t="shared" ca="1" si="19"/>
        <v>856.05555555555554</v>
      </c>
      <c r="R27" s="306">
        <f t="shared" ca="1" si="20"/>
        <v>0.42961439823204223</v>
      </c>
      <c r="S27" s="307">
        <f t="shared" ca="1" si="21"/>
        <v>8.9218445444696517</v>
      </c>
      <c r="T27" s="304">
        <f t="shared" ca="1" si="1"/>
        <v>87.52329498124729</v>
      </c>
      <c r="U27" s="311">
        <f t="shared" ca="1" si="2"/>
        <v>7.6281577818129875</v>
      </c>
      <c r="V27" s="306">
        <f t="shared" ca="1" si="3"/>
        <v>1.2247780427403039</v>
      </c>
      <c r="W27" s="304">
        <f t="shared" ca="1" si="4"/>
        <v>1.1832827923351295</v>
      </c>
      <c r="Y27" s="314" t="str">
        <f t="shared" ca="1" si="22"/>
        <v/>
      </c>
      <c r="Z27" s="315" t="str">
        <f t="shared" ca="1" si="23"/>
        <v/>
      </c>
      <c r="AA27" s="316" t="str">
        <f t="shared" ca="1" si="24"/>
        <v/>
      </c>
      <c r="AC27" s="310" t="e">
        <f t="shared" ca="1" si="25"/>
        <v>#N/A</v>
      </c>
      <c r="AD27" s="323" t="e">
        <f t="shared" ca="1" si="26"/>
        <v>#N/A</v>
      </c>
      <c r="AE27" s="324">
        <f t="shared" ca="1" si="5"/>
        <v>1.8120601607477511</v>
      </c>
      <c r="AG27" s="306">
        <f t="shared" ca="1" si="27"/>
        <v>86.057738715134192</v>
      </c>
      <c r="AH27" s="304">
        <f t="shared" ca="1" si="28"/>
        <v>95.830408703414221</v>
      </c>
    </row>
    <row r="28" spans="1:34" x14ac:dyDescent="0.2">
      <c r="A28" s="347">
        <f t="shared" ca="1" si="6"/>
        <v>0.01</v>
      </c>
      <c r="B28" s="304">
        <f t="shared" ca="1" si="7"/>
        <v>0.24000000000000007</v>
      </c>
      <c r="D28" s="306">
        <f t="shared" ca="1" si="8"/>
        <v>7.4823056542527553</v>
      </c>
      <c r="E28" s="307">
        <f t="shared" ca="1" si="9"/>
        <v>85.527859406829123</v>
      </c>
      <c r="F28" s="304">
        <f t="shared" ca="1" si="10"/>
        <v>85.854525987964038</v>
      </c>
      <c r="G28" s="306">
        <f t="shared" ca="1" si="11"/>
        <v>1.6246257737575533</v>
      </c>
      <c r="H28" s="307">
        <f t="shared" ca="1" si="12"/>
        <v>18.57059127021601</v>
      </c>
      <c r="I28" s="304">
        <f t="shared" ca="1" si="13"/>
        <v>18.641520030034581</v>
      </c>
      <c r="J28" s="306">
        <f t="shared" ca="1" si="14"/>
        <v>0.17439791423018408</v>
      </c>
      <c r="K28" s="307">
        <f t="shared" ca="1" si="15"/>
        <v>1.9934896804795699</v>
      </c>
      <c r="L28" s="304">
        <f t="shared" ca="1" si="0"/>
        <v>2.0011036301667078</v>
      </c>
      <c r="M28" s="306">
        <f t="shared" ca="1" si="16"/>
        <v>1.4835298641951802</v>
      </c>
      <c r="N28" s="304">
        <f t="shared" ca="1" si="17"/>
        <v>85</v>
      </c>
      <c r="P28" s="310">
        <f t="shared" ca="1" si="18"/>
        <v>2</v>
      </c>
      <c r="Q28" s="304">
        <f t="shared" ca="1" si="19"/>
        <v>853.94444444444446</v>
      </c>
      <c r="R28" s="306">
        <f t="shared" ca="1" si="20"/>
        <v>0.42855492992567468</v>
      </c>
      <c r="S28" s="307">
        <f t="shared" ca="1" si="21"/>
        <v>8.9175589951703955</v>
      </c>
      <c r="T28" s="304">
        <f t="shared" ca="1" si="1"/>
        <v>87.48125374262159</v>
      </c>
      <c r="U28" s="311">
        <f t="shared" ca="1" si="2"/>
        <v>7.6244936464345328</v>
      </c>
      <c r="V28" s="306">
        <f t="shared" ca="1" si="3"/>
        <v>1.2247558218524719</v>
      </c>
      <c r="W28" s="304">
        <f t="shared" ca="1" si="4"/>
        <v>1.3002728323316506</v>
      </c>
      <c r="Y28" s="314" t="str">
        <f t="shared" ca="1" si="22"/>
        <v/>
      </c>
      <c r="Z28" s="315" t="str">
        <f t="shared" ca="1" si="23"/>
        <v/>
      </c>
      <c r="AA28" s="316" t="str">
        <f t="shared" ca="1" si="24"/>
        <v/>
      </c>
      <c r="AC28" s="310" t="e">
        <f t="shared" ca="1" si="25"/>
        <v>#N/A</v>
      </c>
      <c r="AD28" s="323" t="e">
        <f t="shared" ca="1" si="26"/>
        <v>#N/A</v>
      </c>
      <c r="AE28" s="324">
        <f t="shared" ca="1" si="5"/>
        <v>1.9934896804795699</v>
      </c>
      <c r="AG28" s="306">
        <f t="shared" ca="1" si="27"/>
        <v>85.854525986980789</v>
      </c>
      <c r="AH28" s="304">
        <f t="shared" ca="1" si="28"/>
        <v>95.627195975260818</v>
      </c>
    </row>
    <row r="29" spans="1:34" x14ac:dyDescent="0.2">
      <c r="A29" s="347">
        <f t="shared" ca="1" si="6"/>
        <v>0.01</v>
      </c>
      <c r="B29" s="304">
        <f t="shared" ca="1" si="7"/>
        <v>0.25000000000000006</v>
      </c>
      <c r="D29" s="306">
        <f t="shared" ca="1" si="8"/>
        <v>7.4645170254278721</v>
      </c>
      <c r="E29" s="307">
        <f t="shared" ca="1" si="9"/>
        <v>85.324525049529299</v>
      </c>
      <c r="F29" s="304">
        <f t="shared" ca="1" si="10"/>
        <v>85.650414998122784</v>
      </c>
      <c r="G29" s="306">
        <f t="shared" ca="1" si="11"/>
        <v>1.6992709440118321</v>
      </c>
      <c r="H29" s="307">
        <f t="shared" ca="1" si="12"/>
        <v>19.423836520711301</v>
      </c>
      <c r="I29" s="304">
        <f t="shared" ca="1" si="13"/>
        <v>19.498024180015804</v>
      </c>
      <c r="J29" s="306">
        <f t="shared" ca="1" si="14"/>
        <v>0.19101739781903102</v>
      </c>
      <c r="K29" s="307">
        <f t="shared" ca="1" si="15"/>
        <v>2.1834618194342066</v>
      </c>
      <c r="L29" s="304">
        <f t="shared" ca="1" si="0"/>
        <v>2.1918013512169594</v>
      </c>
      <c r="M29" s="306">
        <f t="shared" ca="1" si="16"/>
        <v>1.4835298641951802</v>
      </c>
      <c r="N29" s="304">
        <f t="shared" ca="1" si="17"/>
        <v>85</v>
      </c>
      <c r="P29" s="310">
        <f t="shared" ca="1" si="18"/>
        <v>2</v>
      </c>
      <c r="Q29" s="304">
        <f t="shared" ca="1" si="19"/>
        <v>851.83333333333337</v>
      </c>
      <c r="R29" s="306">
        <f t="shared" ca="1" si="20"/>
        <v>0.42749546161930718</v>
      </c>
      <c r="S29" s="307">
        <f t="shared" ca="1" si="21"/>
        <v>8.9132840405542026</v>
      </c>
      <c r="T29" s="304">
        <f t="shared" ca="1" si="1"/>
        <v>87.439316437836737</v>
      </c>
      <c r="U29" s="311">
        <f t="shared" ca="1" si="2"/>
        <v>7.6208385694871739</v>
      </c>
      <c r="V29" s="306">
        <f t="shared" ca="1" si="3"/>
        <v>1.2247325551249031</v>
      </c>
      <c r="W29" s="304">
        <f t="shared" ca="1" si="4"/>
        <v>1.4224755285040553</v>
      </c>
      <c r="Y29" s="314" t="str">
        <f t="shared" ca="1" si="22"/>
        <v/>
      </c>
      <c r="Z29" s="315" t="str">
        <f t="shared" ca="1" si="23"/>
        <v/>
      </c>
      <c r="AA29" s="316" t="str">
        <f t="shared" ca="1" si="24"/>
        <v/>
      </c>
      <c r="AC29" s="310" t="e">
        <f t="shared" ca="1" si="25"/>
        <v>#N/A</v>
      </c>
      <c r="AD29" s="323" t="e">
        <f t="shared" ca="1" si="26"/>
        <v>#N/A</v>
      </c>
      <c r="AE29" s="324">
        <f t="shared" ca="1" si="5"/>
        <v>2.1834618194342066</v>
      </c>
      <c r="AG29" s="306">
        <f t="shared" ca="1" si="27"/>
        <v>85.650414997141127</v>
      </c>
      <c r="AH29" s="304">
        <f t="shared" ca="1" si="28"/>
        <v>95.423084985421156</v>
      </c>
    </row>
    <row r="30" spans="1:34" x14ac:dyDescent="0.2">
      <c r="A30" s="347">
        <f t="shared" ca="1" si="6"/>
        <v>0.01</v>
      </c>
      <c r="B30" s="304">
        <f t="shared" ca="1" si="7"/>
        <v>0.26000000000000006</v>
      </c>
      <c r="D30" s="306">
        <f t="shared" ca="1" si="8"/>
        <v>7.4466504616790949</v>
      </c>
      <c r="E30" s="307">
        <f t="shared" ca="1" si="9"/>
        <v>85.120299877368524</v>
      </c>
      <c r="F30" s="304">
        <f t="shared" ca="1" si="10"/>
        <v>85.44540979076389</v>
      </c>
      <c r="G30" s="306">
        <f t="shared" ca="1" si="11"/>
        <v>1.773737448628623</v>
      </c>
      <c r="H30" s="307">
        <f t="shared" ca="1" si="12"/>
        <v>20.275039519484988</v>
      </c>
      <c r="I30" s="304">
        <f t="shared" ca="1" si="13"/>
        <v>20.352478277923446</v>
      </c>
      <c r="J30" s="306">
        <f t="shared" ca="1" si="14"/>
        <v>0.20838243978223328</v>
      </c>
      <c r="K30" s="307">
        <f t="shared" ca="1" si="15"/>
        <v>2.3819561996351881</v>
      </c>
      <c r="L30" s="304">
        <f t="shared" ca="1" si="0"/>
        <v>2.3910538635066554</v>
      </c>
      <c r="M30" s="306">
        <f t="shared" ca="1" si="16"/>
        <v>1.4835298641951802</v>
      </c>
      <c r="N30" s="304">
        <f t="shared" ca="1" si="17"/>
        <v>85</v>
      </c>
      <c r="P30" s="310">
        <f t="shared" ca="1" si="18"/>
        <v>2</v>
      </c>
      <c r="Q30" s="304">
        <f t="shared" ca="1" si="19"/>
        <v>849.72222222222217</v>
      </c>
      <c r="R30" s="306">
        <f t="shared" ca="1" si="20"/>
        <v>0.42643599331293958</v>
      </c>
      <c r="S30" s="307">
        <f t="shared" ca="1" si="21"/>
        <v>8.9090196806210731</v>
      </c>
      <c r="T30" s="304">
        <f t="shared" ca="1" si="1"/>
        <v>87.397483066892732</v>
      </c>
      <c r="U30" s="311">
        <f t="shared" ca="1" si="2"/>
        <v>7.6171925509709109</v>
      </c>
      <c r="V30" s="306">
        <f t="shared" ca="1" si="3"/>
        <v>1.2247082451129128</v>
      </c>
      <c r="W30" s="304">
        <f t="shared" ca="1" si="4"/>
        <v>1.5498496650673117</v>
      </c>
      <c r="Y30" s="314" t="str">
        <f t="shared" ca="1" si="22"/>
        <v/>
      </c>
      <c r="Z30" s="315" t="str">
        <f t="shared" ca="1" si="23"/>
        <v/>
      </c>
      <c r="AA30" s="316" t="str">
        <f t="shared" ca="1" si="24"/>
        <v/>
      </c>
      <c r="AC30" s="310" t="e">
        <f t="shared" ca="1" si="25"/>
        <v>#N/A</v>
      </c>
      <c r="AD30" s="323" t="e">
        <f t="shared" ca="1" si="26"/>
        <v>#N/A</v>
      </c>
      <c r="AE30" s="324">
        <f t="shared" ca="1" si="5"/>
        <v>2.3819561996351881</v>
      </c>
      <c r="AG30" s="306">
        <f t="shared" ca="1" si="27"/>
        <v>85.44540978978381</v>
      </c>
      <c r="AH30" s="304">
        <f t="shared" ca="1" si="28"/>
        <v>95.218079778063839</v>
      </c>
    </row>
    <row r="31" spans="1:34" x14ac:dyDescent="0.2">
      <c r="A31" s="347">
        <f t="shared" ca="1" si="6"/>
        <v>0.01</v>
      </c>
      <c r="B31" s="304">
        <f t="shared" ca="1" si="7"/>
        <v>0.27000000000000007</v>
      </c>
      <c r="D31" s="306">
        <f t="shared" ca="1" si="8"/>
        <v>7.4287063182135622</v>
      </c>
      <c r="E31" s="307">
        <f t="shared" ca="1" si="9"/>
        <v>84.915187950395563</v>
      </c>
      <c r="F31" s="304">
        <f t="shared" ca="1" si="10"/>
        <v>85.239514441444769</v>
      </c>
      <c r="G31" s="306">
        <f t="shared" ca="1" si="11"/>
        <v>1.8480245118107588</v>
      </c>
      <c r="H31" s="307">
        <f t="shared" ca="1" si="12"/>
        <v>21.124191398988945</v>
      </c>
      <c r="I31" s="304">
        <f t="shared" ca="1" si="13"/>
        <v>21.204873422337894</v>
      </c>
      <c r="J31" s="306">
        <f t="shared" ca="1" si="14"/>
        <v>0.22649124958443018</v>
      </c>
      <c r="K31" s="307">
        <f t="shared" ca="1" si="15"/>
        <v>2.5889523542275579</v>
      </c>
      <c r="L31" s="304">
        <f t="shared" ca="1" si="0"/>
        <v>2.5988406220079621</v>
      </c>
      <c r="M31" s="306">
        <f t="shared" ca="1" si="16"/>
        <v>1.4835298641951802</v>
      </c>
      <c r="N31" s="304">
        <f t="shared" ca="1" si="17"/>
        <v>85</v>
      </c>
      <c r="P31" s="310">
        <f t="shared" ca="1" si="18"/>
        <v>2</v>
      </c>
      <c r="Q31" s="304">
        <f t="shared" ca="1" si="19"/>
        <v>847.61111111111109</v>
      </c>
      <c r="R31" s="306">
        <f t="shared" ca="1" si="20"/>
        <v>0.42537652500657203</v>
      </c>
      <c r="S31" s="307">
        <f t="shared" ca="1" si="21"/>
        <v>8.9047659153710068</v>
      </c>
      <c r="T31" s="304">
        <f t="shared" ca="1" si="1"/>
        <v>87.355753629789575</v>
      </c>
      <c r="U31" s="311">
        <f t="shared" ca="1" si="2"/>
        <v>7.6135555908857437</v>
      </c>
      <c r="V31" s="306">
        <f t="shared" ca="1" si="3"/>
        <v>1.2246828943851735</v>
      </c>
      <c r="W31" s="304">
        <f t="shared" ca="1" si="4"/>
        <v>1.6823538758277219</v>
      </c>
      <c r="Y31" s="314" t="str">
        <f t="shared" ca="1" si="22"/>
        <v/>
      </c>
      <c r="Z31" s="315" t="str">
        <f t="shared" ca="1" si="23"/>
        <v/>
      </c>
      <c r="AA31" s="316" t="str">
        <f t="shared" ca="1" si="24"/>
        <v/>
      </c>
      <c r="AC31" s="310" t="e">
        <f t="shared" ca="1" si="25"/>
        <v>#N/A</v>
      </c>
      <c r="AD31" s="323" t="e">
        <f t="shared" ca="1" si="26"/>
        <v>#N/A</v>
      </c>
      <c r="AE31" s="324">
        <f t="shared" ca="1" si="5"/>
        <v>2.5889523542275579</v>
      </c>
      <c r="AG31" s="306">
        <f t="shared" ca="1" si="27"/>
        <v>85.239514440466252</v>
      </c>
      <c r="AH31" s="304">
        <f t="shared" ca="1" si="28"/>
        <v>95.012184428746281</v>
      </c>
    </row>
    <row r="32" spans="1:34" x14ac:dyDescent="0.2">
      <c r="A32" s="347">
        <f t="shared" ca="1" si="6"/>
        <v>0.01</v>
      </c>
      <c r="B32" s="304">
        <f t="shared" ca="1" si="7"/>
        <v>0.28000000000000008</v>
      </c>
      <c r="D32" s="306">
        <f t="shared" ca="1" si="8"/>
        <v>7.4106849529452097</v>
      </c>
      <c r="E32" s="307">
        <f t="shared" ca="1" si="9"/>
        <v>84.709193359598174</v>
      </c>
      <c r="F32" s="304">
        <f t="shared" ca="1" si="10"/>
        <v>85.032733056779961</v>
      </c>
      <c r="G32" s="306">
        <f t="shared" ca="1" si="11"/>
        <v>1.9221313613402109</v>
      </c>
      <c r="H32" s="307">
        <f t="shared" ca="1" si="12"/>
        <v>21.971283332584928</v>
      </c>
      <c r="I32" s="304">
        <f t="shared" ca="1" si="13"/>
        <v>22.055200752905694</v>
      </c>
      <c r="J32" s="306">
        <f t="shared" ca="1" si="14"/>
        <v>0.24534202895018503</v>
      </c>
      <c r="K32" s="307">
        <f t="shared" ca="1" si="15"/>
        <v>2.8044297278854273</v>
      </c>
      <c r="L32" s="304">
        <f t="shared" ca="1" si="0"/>
        <v>2.8151409928841797</v>
      </c>
      <c r="M32" s="306">
        <f t="shared" ca="1" si="16"/>
        <v>1.4835298641951802</v>
      </c>
      <c r="N32" s="304">
        <f t="shared" ca="1" si="17"/>
        <v>85</v>
      </c>
      <c r="P32" s="310">
        <f t="shared" ca="1" si="18"/>
        <v>2</v>
      </c>
      <c r="Q32" s="304">
        <f t="shared" ca="1" si="19"/>
        <v>845.5</v>
      </c>
      <c r="R32" s="306">
        <f t="shared" ca="1" si="20"/>
        <v>0.42431705670020448</v>
      </c>
      <c r="S32" s="307">
        <f t="shared" ca="1" si="21"/>
        <v>8.9005227448040056</v>
      </c>
      <c r="T32" s="304">
        <f t="shared" ca="1" si="1"/>
        <v>87.314128126527294</v>
      </c>
      <c r="U32" s="311">
        <f t="shared" ca="1" si="2"/>
        <v>7.6099276892316743</v>
      </c>
      <c r="V32" s="306">
        <f t="shared" ca="1" si="3"/>
        <v>1.22465650552364</v>
      </c>
      <c r="W32" s="304">
        <f t="shared" ca="1" si="4"/>
        <v>1.8199466473798434</v>
      </c>
      <c r="Y32" s="314" t="str">
        <f t="shared" ca="1" si="22"/>
        <v/>
      </c>
      <c r="Z32" s="315" t="str">
        <f t="shared" ca="1" si="23"/>
        <v/>
      </c>
      <c r="AA32" s="316" t="str">
        <f t="shared" ca="1" si="24"/>
        <v/>
      </c>
      <c r="AC32" s="310" t="e">
        <f t="shared" ca="1" si="25"/>
        <v>#N/A</v>
      </c>
      <c r="AD32" s="323" t="e">
        <f t="shared" ca="1" si="26"/>
        <v>#N/A</v>
      </c>
      <c r="AE32" s="324">
        <f t="shared" ca="1" si="5"/>
        <v>2.8044297278854273</v>
      </c>
      <c r="AG32" s="306">
        <f t="shared" ca="1" si="27"/>
        <v>85.032733055803035</v>
      </c>
      <c r="AH32" s="304">
        <f t="shared" ca="1" si="28"/>
        <v>94.805403044083064</v>
      </c>
    </row>
    <row r="33" spans="1:34" x14ac:dyDescent="0.2">
      <c r="A33" s="347">
        <f t="shared" ca="1" si="6"/>
        <v>0.01</v>
      </c>
      <c r="B33" s="304">
        <f t="shared" ca="1" si="7"/>
        <v>0.29000000000000009</v>
      </c>
      <c r="D33" s="306">
        <f t="shared" ca="1" si="8"/>
        <v>7.3925867264656748</v>
      </c>
      <c r="E33" s="307">
        <f t="shared" ca="1" si="9"/>
        <v>84.502320226570546</v>
      </c>
      <c r="F33" s="304">
        <f t="shared" ca="1" si="10"/>
        <v>84.825069774107405</v>
      </c>
      <c r="G33" s="306">
        <f t="shared" ca="1" si="11"/>
        <v>1.9960572286048677</v>
      </c>
      <c r="H33" s="307">
        <f t="shared" ca="1" si="12"/>
        <v>22.816306534850632</v>
      </c>
      <c r="I33" s="304">
        <f t="shared" ca="1" si="13"/>
        <v>22.903451450646763</v>
      </c>
      <c r="J33" s="306">
        <f t="shared" ca="1" si="14"/>
        <v>0.26493297189991044</v>
      </c>
      <c r="K33" s="307">
        <f t="shared" ca="1" si="15"/>
        <v>3.0283676772226049</v>
      </c>
      <c r="L33" s="304">
        <f t="shared" ca="1" si="0"/>
        <v>3.0399342539019414</v>
      </c>
      <c r="M33" s="306">
        <f t="shared" ca="1" si="16"/>
        <v>1.4835298641951802</v>
      </c>
      <c r="N33" s="304">
        <f t="shared" ca="1" si="17"/>
        <v>85</v>
      </c>
      <c r="P33" s="310">
        <f t="shared" ca="1" si="18"/>
        <v>2</v>
      </c>
      <c r="Q33" s="304">
        <f t="shared" ca="1" si="19"/>
        <v>843.38888888888891</v>
      </c>
      <c r="R33" s="306">
        <f t="shared" ca="1" si="20"/>
        <v>0.42325758839383693</v>
      </c>
      <c r="S33" s="307">
        <f t="shared" ca="1" si="21"/>
        <v>8.8962901689200677</v>
      </c>
      <c r="T33" s="304">
        <f t="shared" ca="1" si="1"/>
        <v>87.272606557105874</v>
      </c>
      <c r="U33" s="311">
        <f t="shared" ca="1" si="2"/>
        <v>7.6063088460087025</v>
      </c>
      <c r="V33" s="306">
        <f t="shared" ca="1" si="3"/>
        <v>1.224629081123477</v>
      </c>
      <c r="W33" s="304">
        <f t="shared" ca="1" si="4"/>
        <v>1.9625863223114834</v>
      </c>
      <c r="Y33" s="314" t="str">
        <f t="shared" ca="1" si="22"/>
        <v/>
      </c>
      <c r="Z33" s="315" t="str">
        <f t="shared" ca="1" si="23"/>
        <v/>
      </c>
      <c r="AA33" s="316" t="str">
        <f t="shared" ca="1" si="24"/>
        <v/>
      </c>
      <c r="AC33" s="310" t="e">
        <f t="shared" ca="1" si="25"/>
        <v>#N/A</v>
      </c>
      <c r="AD33" s="323" t="e">
        <f t="shared" ca="1" si="26"/>
        <v>#N/A</v>
      </c>
      <c r="AE33" s="324">
        <f t="shared" ca="1" si="5"/>
        <v>3.0283676772226049</v>
      </c>
      <c r="AG33" s="306">
        <f t="shared" ca="1" si="27"/>
        <v>84.825069773132029</v>
      </c>
      <c r="AH33" s="304">
        <f t="shared" ca="1" si="28"/>
        <v>94.597739761412058</v>
      </c>
    </row>
    <row r="34" spans="1:34" x14ac:dyDescent="0.2">
      <c r="A34" s="347">
        <f t="shared" ca="1" si="6"/>
        <v>0.01</v>
      </c>
      <c r="B34" s="304">
        <f t="shared" ca="1" si="7"/>
        <v>0.3000000000000001</v>
      </c>
      <c r="D34" s="306">
        <f t="shared" ca="1" si="8"/>
        <v>7.3744120020149611</v>
      </c>
      <c r="E34" s="307">
        <f t="shared" ca="1" si="9"/>
        <v>84.294572703177863</v>
      </c>
      <c r="F34" s="304">
        <f t="shared" ca="1" si="10"/>
        <v>84.616528761151628</v>
      </c>
      <c r="G34" s="306">
        <f t="shared" ca="1" si="11"/>
        <v>2.0698013486250173</v>
      </c>
      <c r="H34" s="307">
        <f t="shared" ca="1" si="12"/>
        <v>23.659252261882411</v>
      </c>
      <c r="I34" s="304">
        <f t="shared" ca="1" si="13"/>
        <v>23.749616738258283</v>
      </c>
      <c r="J34" s="306">
        <f t="shared" ca="1" si="14"/>
        <v>0.28526226478605987</v>
      </c>
      <c r="K34" s="307">
        <f t="shared" ca="1" si="15"/>
        <v>3.26074547120627</v>
      </c>
      <c r="L34" s="304">
        <f t="shared" ca="1" si="0"/>
        <v>3.2731995948464663</v>
      </c>
      <c r="M34" s="306">
        <f t="shared" ca="1" si="16"/>
        <v>1.4835298641951802</v>
      </c>
      <c r="N34" s="304">
        <f t="shared" ca="1" si="17"/>
        <v>85</v>
      </c>
      <c r="P34" s="310">
        <f t="shared" ca="1" si="18"/>
        <v>2</v>
      </c>
      <c r="Q34" s="304">
        <f t="shared" ca="1" si="19"/>
        <v>841.27777777777771</v>
      </c>
      <c r="R34" s="306">
        <f t="shared" ca="1" si="20"/>
        <v>0.42219812008746938</v>
      </c>
      <c r="S34" s="307">
        <f t="shared" ca="1" si="21"/>
        <v>8.8920681877191932</v>
      </c>
      <c r="T34" s="304">
        <f t="shared" ca="1" si="1"/>
        <v>87.231188921525288</v>
      </c>
      <c r="U34" s="311">
        <f t="shared" ca="1" si="2"/>
        <v>7.6026990612168248</v>
      </c>
      <c r="V34" s="306">
        <f t="shared" ca="1" si="3"/>
        <v>1.2246006237929854</v>
      </c>
      <c r="W34" s="304">
        <f t="shared" ca="1" si="4"/>
        <v>2.1102311024163534</v>
      </c>
      <c r="Y34" s="314" t="str">
        <f t="shared" ca="1" si="22"/>
        <v/>
      </c>
      <c r="Z34" s="315" t="str">
        <f t="shared" ca="1" si="23"/>
        <v/>
      </c>
      <c r="AA34" s="316" t="str">
        <f t="shared" ca="1" si="24"/>
        <v/>
      </c>
      <c r="AC34" s="310" t="e">
        <f t="shared" ca="1" si="25"/>
        <v>#N/A</v>
      </c>
      <c r="AD34" s="323" t="e">
        <f t="shared" ca="1" si="26"/>
        <v>#N/A</v>
      </c>
      <c r="AE34" s="324">
        <f t="shared" ca="1" si="5"/>
        <v>3.26074547120627</v>
      </c>
      <c r="AG34" s="306">
        <f t="shared" ca="1" si="27"/>
        <v>84.616528760177815</v>
      </c>
      <c r="AH34" s="304">
        <f t="shared" ca="1" si="28"/>
        <v>94.389198748457844</v>
      </c>
    </row>
    <row r="35" spans="1:34" x14ac:dyDescent="0.2">
      <c r="A35" s="347">
        <f t="shared" ca="1" si="6"/>
        <v>0.01</v>
      </c>
      <c r="B35" s="304">
        <f t="shared" ca="1" si="7"/>
        <v>0.31000000000000011</v>
      </c>
      <c r="D35" s="306">
        <f t="shared" ca="1" si="8"/>
        <v>7.3561611454519191</v>
      </c>
      <c r="E35" s="307">
        <f t="shared" ca="1" si="9"/>
        <v>84.085954971219081</v>
      </c>
      <c r="F35" s="304">
        <f t="shared" ca="1" si="10"/>
        <v>84.407114215685283</v>
      </c>
      <c r="G35" s="306">
        <f t="shared" ca="1" si="11"/>
        <v>2.1433629600795365</v>
      </c>
      <c r="H35" s="307">
        <f t="shared" ca="1" si="12"/>
        <v>24.500111811594603</v>
      </c>
      <c r="I35" s="304">
        <f t="shared" ca="1" si="13"/>
        <v>24.593687880415136</v>
      </c>
      <c r="J35" s="306">
        <f t="shared" ca="1" si="14"/>
        <v>0.30632808632958264</v>
      </c>
      <c r="K35" s="307">
        <f t="shared" ca="1" si="15"/>
        <v>3.5015422915736552</v>
      </c>
      <c r="L35" s="304">
        <f t="shared" ca="1" si="0"/>
        <v>3.5149161179398334</v>
      </c>
      <c r="M35" s="306">
        <f t="shared" ca="1" si="16"/>
        <v>1.4835298641951802</v>
      </c>
      <c r="N35" s="304">
        <f t="shared" ca="1" si="17"/>
        <v>85</v>
      </c>
      <c r="P35" s="310">
        <f t="shared" ca="1" si="18"/>
        <v>2</v>
      </c>
      <c r="Q35" s="304">
        <f t="shared" ca="1" si="19"/>
        <v>839.16666666666663</v>
      </c>
      <c r="R35" s="306">
        <f t="shared" ca="1" si="20"/>
        <v>0.42113865178110182</v>
      </c>
      <c r="S35" s="307">
        <f t="shared" ca="1" si="21"/>
        <v>8.8878568012013819</v>
      </c>
      <c r="T35" s="304">
        <f t="shared" ca="1" si="1"/>
        <v>87.189875219785563</v>
      </c>
      <c r="U35" s="311">
        <f t="shared" ca="1" si="2"/>
        <v>7.5990983348560439</v>
      </c>
      <c r="V35" s="306">
        <f t="shared" ca="1" si="3"/>
        <v>1.224571136153527</v>
      </c>
      <c r="W35" s="304">
        <f t="shared" ca="1" si="4"/>
        <v>2.2628390519139194</v>
      </c>
      <c r="Y35" s="314" t="str">
        <f t="shared" ca="1" si="22"/>
        <v/>
      </c>
      <c r="Z35" s="315" t="str">
        <f t="shared" ca="1" si="23"/>
        <v/>
      </c>
      <c r="AA35" s="316" t="str">
        <f t="shared" ca="1" si="24"/>
        <v/>
      </c>
      <c r="AC35" s="310" t="e">
        <f t="shared" ca="1" si="25"/>
        <v>#N/A</v>
      </c>
      <c r="AD35" s="323" t="e">
        <f t="shared" ca="1" si="26"/>
        <v>#N/A</v>
      </c>
      <c r="AE35" s="324">
        <f t="shared" ca="1" si="5"/>
        <v>3.5015422915736552</v>
      </c>
      <c r="AG35" s="306">
        <f t="shared" ca="1" si="27"/>
        <v>84.407114214713019</v>
      </c>
      <c r="AH35" s="304">
        <f t="shared" ca="1" si="28"/>
        <v>94.179784202993048</v>
      </c>
    </row>
    <row r="36" spans="1:34" x14ac:dyDescent="0.2">
      <c r="A36" s="347">
        <f t="shared" ca="1" si="6"/>
        <v>0.01</v>
      </c>
      <c r="B36" s="304">
        <f t="shared" ca="1" si="7"/>
        <v>0.32000000000000012</v>
      </c>
      <c r="D36" s="306">
        <f t="shared" ca="1" si="8"/>
        <v>7.3378345252245119</v>
      </c>
      <c r="E36" s="307">
        <f t="shared" ca="1" si="9"/>
        <v>83.876471242086978</v>
      </c>
      <c r="F36" s="304">
        <f t="shared" ca="1" si="10"/>
        <v>84.196830365187864</v>
      </c>
      <c r="G36" s="306">
        <f t="shared" ca="1" si="11"/>
        <v>2.2167413053317815</v>
      </c>
      <c r="H36" s="307">
        <f t="shared" ca="1" si="12"/>
        <v>25.338876524015472</v>
      </c>
      <c r="I36" s="304">
        <f t="shared" ca="1" si="13"/>
        <v>25.435656184067014</v>
      </c>
      <c r="J36" s="306">
        <f t="shared" ca="1" si="14"/>
        <v>0.3281286076566392</v>
      </c>
      <c r="K36" s="307">
        <f t="shared" ca="1" si="15"/>
        <v>3.7507372332517055</v>
      </c>
      <c r="L36" s="304">
        <f t="shared" ca="1" si="0"/>
        <v>3.7650628382622435</v>
      </c>
      <c r="M36" s="306">
        <f t="shared" ca="1" si="16"/>
        <v>1.4835298641951802</v>
      </c>
      <c r="N36" s="304">
        <f t="shared" ca="1" si="17"/>
        <v>85</v>
      </c>
      <c r="P36" s="310">
        <f t="shared" ca="1" si="18"/>
        <v>2</v>
      </c>
      <c r="Q36" s="304">
        <f t="shared" ca="1" si="19"/>
        <v>837.05555555555554</v>
      </c>
      <c r="R36" s="306">
        <f t="shared" ca="1" si="20"/>
        <v>0.42007918347473427</v>
      </c>
      <c r="S36" s="307">
        <f t="shared" ca="1" si="21"/>
        <v>8.8836560093666339</v>
      </c>
      <c r="T36" s="304">
        <f t="shared" ca="1" si="1"/>
        <v>87.148665451886686</v>
      </c>
      <c r="U36" s="311">
        <f t="shared" ca="1" si="2"/>
        <v>7.595506666926358</v>
      </c>
      <c r="V36" s="306">
        <f t="shared" ca="1" si="3"/>
        <v>1.2245406208394529</v>
      </c>
      <c r="W36" s="304">
        <f t="shared" ca="1" si="4"/>
        <v>2.4203681006760767</v>
      </c>
      <c r="Y36" s="314" t="str">
        <f t="shared" ca="1" si="22"/>
        <v>Sortie de rampe</v>
      </c>
      <c r="Z36" s="315" t="str">
        <f t="shared" ca="1" si="23"/>
        <v/>
      </c>
      <c r="AA36" s="316" t="str">
        <f t="shared" ca="1" si="24"/>
        <v/>
      </c>
      <c r="AC36" s="310" t="e">
        <f t="shared" ca="1" si="25"/>
        <v>#N/A</v>
      </c>
      <c r="AD36" s="323" t="e">
        <f t="shared" ca="1" si="26"/>
        <v>#N/A</v>
      </c>
      <c r="AE36" s="324">
        <f t="shared" ca="1" si="5"/>
        <v>3.7507372332517055</v>
      </c>
      <c r="AG36" s="306">
        <f t="shared" ca="1" si="27"/>
        <v>84.196830364217149</v>
      </c>
      <c r="AH36" s="304">
        <f t="shared" ca="1" si="28"/>
        <v>93.969500352497178</v>
      </c>
    </row>
    <row r="37" spans="1:34" x14ac:dyDescent="0.2">
      <c r="A37" s="347">
        <f t="shared" ca="1" si="6"/>
        <v>0.01</v>
      </c>
      <c r="B37" s="304">
        <f t="shared" ca="1" si="7"/>
        <v>0.33000000000000013</v>
      </c>
      <c r="D37" s="306">
        <f t="shared" ca="1" si="8"/>
        <v>7.3194325123398887</v>
      </c>
      <c r="E37" s="307">
        <f t="shared" ca="1" si="9"/>
        <v>83.666125756426027</v>
      </c>
      <c r="F37" s="304">
        <f t="shared" ca="1" si="10"/>
        <v>83.985681466502328</v>
      </c>
      <c r="G37" s="306">
        <f t="shared" ca="1" si="11"/>
        <v>2.2899356304551803</v>
      </c>
      <c r="H37" s="307">
        <f t="shared" ca="1" si="12"/>
        <v>26.175537781579731</v>
      </c>
      <c r="I37" s="304">
        <f t="shared" ca="1" si="13"/>
        <v>26.275512998732037</v>
      </c>
      <c r="J37" s="306">
        <f t="shared" ca="1" si="14"/>
        <v>0.35066199233557399</v>
      </c>
      <c r="K37" s="307">
        <f t="shared" ca="1" si="15"/>
        <v>4.0083093047796812</v>
      </c>
      <c r="L37" s="304">
        <f t="shared" ca="1" si="0"/>
        <v>4.0236186841762382</v>
      </c>
      <c r="M37" s="306">
        <f t="shared" ca="1" si="16"/>
        <v>1.4835298641951802</v>
      </c>
      <c r="N37" s="304">
        <f t="shared" ca="1" si="17"/>
        <v>85</v>
      </c>
      <c r="P37" s="310">
        <f t="shared" ca="1" si="18"/>
        <v>2</v>
      </c>
      <c r="Q37" s="304">
        <f t="shared" ca="1" si="19"/>
        <v>834.94444444444446</v>
      </c>
      <c r="R37" s="306">
        <f t="shared" ca="1" si="20"/>
        <v>0.41901971516836672</v>
      </c>
      <c r="S37" s="307">
        <f t="shared" ca="1" si="21"/>
        <v>8.879465812214951</v>
      </c>
      <c r="T37" s="304">
        <f t="shared" ca="1" si="1"/>
        <v>87.10755961782867</v>
      </c>
      <c r="U37" s="311">
        <f t="shared" ca="1" si="2"/>
        <v>0</v>
      </c>
      <c r="V37" s="306">
        <f t="shared" ca="1" si="3"/>
        <v>1.224509080498025</v>
      </c>
      <c r="W37" s="304">
        <f t="shared" ca="1" si="4"/>
        <v>2.5827760474601456</v>
      </c>
      <c r="Y37" s="314" t="str">
        <f t="shared" ca="1" si="22"/>
        <v/>
      </c>
      <c r="Z37" s="315" t="str">
        <f t="shared" ca="1" si="23"/>
        <v/>
      </c>
      <c r="AA37" s="316" t="str">
        <f t="shared" ca="1" si="24"/>
        <v/>
      </c>
      <c r="AC37" s="310" t="e">
        <f t="shared" ca="1" si="25"/>
        <v>#N/A</v>
      </c>
      <c r="AD37" s="323" t="e">
        <f t="shared" ca="1" si="26"/>
        <v>#N/A</v>
      </c>
      <c r="AE37" s="324">
        <f t="shared" ca="1" si="5"/>
        <v>4.0083093047796812</v>
      </c>
      <c r="AG37" s="306">
        <f t="shared" ca="1" si="27"/>
        <v>83.985681465533176</v>
      </c>
      <c r="AH37" s="304">
        <f t="shared" ca="1" si="28"/>
        <v>93.758351453813205</v>
      </c>
    </row>
    <row r="38" spans="1:34" x14ac:dyDescent="0.2">
      <c r="A38" s="347">
        <f t="shared" ca="1" si="6"/>
        <v>0.01</v>
      </c>
      <c r="B38" s="304">
        <f t="shared" ca="1" si="7"/>
        <v>0.34000000000000014</v>
      </c>
      <c r="D38" s="306">
        <f t="shared" ca="1" si="8"/>
        <v>8.1531009002779573</v>
      </c>
      <c r="E38" s="307">
        <f t="shared" ca="1" si="9"/>
        <v>83.380369719867687</v>
      </c>
      <c r="F38" s="304">
        <f t="shared" ca="1" si="10"/>
        <v>83.778034763963888</v>
      </c>
      <c r="G38" s="306">
        <f t="shared" ca="1" si="11"/>
        <v>2.3714666394579598</v>
      </c>
      <c r="H38" s="307">
        <f t="shared" ca="1" si="12"/>
        <v>27.009341478778406</v>
      </c>
      <c r="I38" s="304">
        <f t="shared" ca="1" si="13"/>
        <v>27.113251024901491</v>
      </c>
      <c r="J38" s="306">
        <f t="shared" ca="1" si="14"/>
        <v>0.37396900368513969</v>
      </c>
      <c r="K38" s="307">
        <f t="shared" ca="1" si="15"/>
        <v>4.2742337010814717</v>
      </c>
      <c r="L38" s="304">
        <f t="shared" ca="1" si="0"/>
        <v>4.2905624977592236</v>
      </c>
      <c r="M38" s="306">
        <f t="shared" ca="1" si="16"/>
        <v>1.4832191941339188</v>
      </c>
      <c r="N38" s="304">
        <f t="shared" ca="1" si="17"/>
        <v>84.982199916668662</v>
      </c>
      <c r="P38" s="310">
        <f t="shared" ca="1" si="18"/>
        <v>2</v>
      </c>
      <c r="Q38" s="304">
        <f t="shared" ca="1" si="19"/>
        <v>832.83333333333326</v>
      </c>
      <c r="R38" s="306">
        <f t="shared" ca="1" si="20"/>
        <v>0.41796024686199912</v>
      </c>
      <c r="S38" s="307">
        <f t="shared" ca="1" si="21"/>
        <v>8.8752862097463314</v>
      </c>
      <c r="T38" s="304">
        <f t="shared" ca="1" si="1"/>
        <v>87.066557717611516</v>
      </c>
      <c r="U38" s="311">
        <f t="shared" ca="1" si="2"/>
        <v>0</v>
      </c>
      <c r="V38" s="306">
        <f t="shared" ca="1" si="3"/>
        <v>1.2244765182457853</v>
      </c>
      <c r="W38" s="304">
        <f t="shared" ca="1" si="4"/>
        <v>2.7500208295296997</v>
      </c>
      <c r="Y38" s="314" t="str">
        <f t="shared" ca="1" si="22"/>
        <v/>
      </c>
      <c r="Z38" s="315" t="str">
        <f t="shared" ca="1" si="23"/>
        <v/>
      </c>
      <c r="AA38" s="316" t="str">
        <f t="shared" ca="1" si="24"/>
        <v/>
      </c>
      <c r="AC38" s="310" t="e">
        <f t="shared" ca="1" si="25"/>
        <v>#N/A</v>
      </c>
      <c r="AD38" s="323" t="e">
        <f t="shared" ca="1" si="26"/>
        <v>#N/A</v>
      </c>
      <c r="AE38" s="324">
        <f t="shared" ca="1" si="5"/>
        <v>4.2742337010814717</v>
      </c>
      <c r="AG38" s="306">
        <f t="shared" ca="1" si="27"/>
        <v>83.773671804522039</v>
      </c>
      <c r="AH38" s="304">
        <f t="shared" ca="1" si="28"/>
        <v>93.546341792802068</v>
      </c>
    </row>
    <row r="39" spans="1:34" x14ac:dyDescent="0.2">
      <c r="A39" s="347">
        <f t="shared" ca="1" si="6"/>
        <v>0.01</v>
      </c>
      <c r="B39" s="304">
        <f t="shared" ca="1" si="7"/>
        <v>0.35000000000000014</v>
      </c>
      <c r="D39" s="306">
        <f t="shared" ca="1" si="8"/>
        <v>8.1634335792031116</v>
      </c>
      <c r="E39" s="307">
        <f t="shared" ca="1" si="9"/>
        <v>83.165781953407418</v>
      </c>
      <c r="F39" s="304">
        <f t="shared" ca="1" si="10"/>
        <v>83.565476937092669</v>
      </c>
      <c r="G39" s="306">
        <f t="shared" ca="1" si="11"/>
        <v>2.453100975249991</v>
      </c>
      <c r="H39" s="307">
        <f t="shared" ca="1" si="12"/>
        <v>27.840999298312482</v>
      </c>
      <c r="I39" s="304">
        <f t="shared" ca="1" si="13"/>
        <v>27.948863059584525</v>
      </c>
      <c r="J39" s="306">
        <f t="shared" ca="1" si="14"/>
        <v>0.39809184175867945</v>
      </c>
      <c r="K39" s="307">
        <f t="shared" ca="1" si="15"/>
        <v>4.5484854049669261</v>
      </c>
      <c r="L39" s="304">
        <f t="shared" ca="1" si="0"/>
        <v>4.5658730374017145</v>
      </c>
      <c r="M39" s="306">
        <f t="shared" ca="1" si="16"/>
        <v>1.4829121927783795</v>
      </c>
      <c r="N39" s="304">
        <f t="shared" ca="1" si="17"/>
        <v>84.964610034691461</v>
      </c>
      <c r="P39" s="310">
        <f t="shared" ca="1" si="18"/>
        <v>2</v>
      </c>
      <c r="Q39" s="304">
        <f t="shared" ca="1" si="19"/>
        <v>830.72222222222217</v>
      </c>
      <c r="R39" s="306">
        <f t="shared" ca="1" si="20"/>
        <v>0.41690077855563162</v>
      </c>
      <c r="S39" s="307">
        <f t="shared" ca="1" si="21"/>
        <v>8.8711172019607751</v>
      </c>
      <c r="T39" s="304">
        <f t="shared" ca="1" si="1"/>
        <v>87.02565975123521</v>
      </c>
      <c r="U39" s="311">
        <f t="shared" ca="1" si="2"/>
        <v>0</v>
      </c>
      <c r="V39" s="306">
        <f t="shared" ca="1" si="3"/>
        <v>1.2244429372274861</v>
      </c>
      <c r="W39" s="304">
        <f t="shared" ca="1" si="4"/>
        <v>2.9220603036532409</v>
      </c>
      <c r="Y39" s="314" t="str">
        <f t="shared" ca="1" si="22"/>
        <v/>
      </c>
      <c r="Z39" s="315" t="str">
        <f t="shared" ca="1" si="23"/>
        <v/>
      </c>
      <c r="AA39" s="316" t="str">
        <f t="shared" ca="1" si="24"/>
        <v/>
      </c>
      <c r="AC39" s="310" t="e">
        <f t="shared" ca="1" si="25"/>
        <v>#N/A</v>
      </c>
      <c r="AD39" s="323" t="e">
        <f t="shared" ca="1" si="26"/>
        <v>#N/A</v>
      </c>
      <c r="AE39" s="324">
        <f t="shared" ca="1" si="5"/>
        <v>4.5484854049669261</v>
      </c>
      <c r="AG39" s="306">
        <f t="shared" ca="1" si="27"/>
        <v>83.561071759521695</v>
      </c>
      <c r="AH39" s="304">
        <f t="shared" ca="1" si="28"/>
        <v>93.333475653966843</v>
      </c>
    </row>
    <row r="40" spans="1:34" x14ac:dyDescent="0.2">
      <c r="A40" s="347">
        <f t="shared" ca="1" si="6"/>
        <v>0.01</v>
      </c>
      <c r="B40" s="304">
        <f t="shared" ca="1" si="7"/>
        <v>0.36000000000000015</v>
      </c>
      <c r="D40" s="306">
        <f t="shared" ca="1" si="8"/>
        <v>8.1732186053973788</v>
      </c>
      <c r="E40" s="307">
        <f t="shared" ca="1" si="9"/>
        <v>82.950377886456039</v>
      </c>
      <c r="F40" s="304">
        <f t="shared" ca="1" si="10"/>
        <v>83.352064724741339</v>
      </c>
      <c r="G40" s="306">
        <f t="shared" ca="1" si="11"/>
        <v>2.5348331613039647</v>
      </c>
      <c r="H40" s="307">
        <f t="shared" ca="1" si="12"/>
        <v>28.670503077177042</v>
      </c>
      <c r="I40" s="304">
        <f t="shared" ca="1" si="13"/>
        <v>28.782340520778789</v>
      </c>
      <c r="J40" s="306">
        <f t="shared" ca="1" si="14"/>
        <v>0.42303151244144921</v>
      </c>
      <c r="K40" s="307">
        <f t="shared" ca="1" si="15"/>
        <v>4.8310429168443738</v>
      </c>
      <c r="L40" s="304">
        <f t="shared" ca="1" si="0"/>
        <v>4.8495289796959344</v>
      </c>
      <c r="M40" s="306">
        <f t="shared" ca="1" si="16"/>
        <v>1.4826130392109305</v>
      </c>
      <c r="N40" s="304">
        <f t="shared" ca="1" si="17"/>
        <v>84.947469797850346</v>
      </c>
      <c r="P40" s="310">
        <f t="shared" ca="1" si="18"/>
        <v>2</v>
      </c>
      <c r="Q40" s="304">
        <f t="shared" ca="1" si="19"/>
        <v>828.61111111111109</v>
      </c>
      <c r="R40" s="306">
        <f t="shared" ca="1" si="20"/>
        <v>0.41584131024926407</v>
      </c>
      <c r="S40" s="307">
        <f t="shared" ca="1" si="21"/>
        <v>8.8669587888582821</v>
      </c>
      <c r="T40" s="304">
        <f t="shared" ca="1" si="1"/>
        <v>86.984865718699751</v>
      </c>
      <c r="U40" s="311">
        <f t="shared" ca="1" si="2"/>
        <v>0</v>
      </c>
      <c r="V40" s="306">
        <f t="shared" ca="1" si="3"/>
        <v>1.2244083401593906</v>
      </c>
      <c r="W40" s="304">
        <f t="shared" ca="1" si="4"/>
        <v>3.0988519318867791</v>
      </c>
      <c r="Y40" s="314" t="str">
        <f t="shared" ca="1" si="22"/>
        <v/>
      </c>
      <c r="Z40" s="315" t="str">
        <f t="shared" ca="1" si="23"/>
        <v/>
      </c>
      <c r="AA40" s="316" t="str">
        <f t="shared" ca="1" si="24"/>
        <v/>
      </c>
      <c r="AC40" s="310" t="e">
        <f t="shared" ca="1" si="25"/>
        <v>#N/A</v>
      </c>
      <c r="AD40" s="323" t="e">
        <f t="shared" ca="1" si="26"/>
        <v>#N/A</v>
      </c>
      <c r="AE40" s="324">
        <f t="shared" ca="1" si="5"/>
        <v>4.8310429168443738</v>
      </c>
      <c r="AG40" s="306">
        <f t="shared" ca="1" si="27"/>
        <v>83.347617328732866</v>
      </c>
      <c r="AH40" s="304">
        <f t="shared" ca="1" si="28"/>
        <v>93.119757345096943</v>
      </c>
    </row>
    <row r="41" spans="1:34" x14ac:dyDescent="0.2">
      <c r="A41" s="347">
        <f t="shared" ca="1" si="6"/>
        <v>0.01</v>
      </c>
      <c r="B41" s="304">
        <f t="shared" ca="1" si="7"/>
        <v>0.37000000000000016</v>
      </c>
      <c r="D41" s="306">
        <f t="shared" ca="1" si="8"/>
        <v>8.1820712052233446</v>
      </c>
      <c r="E41" s="307">
        <f t="shared" ca="1" si="9"/>
        <v>82.73419629983195</v>
      </c>
      <c r="F41" s="304">
        <f t="shared" ca="1" si="10"/>
        <v>83.137798422778019</v>
      </c>
      <c r="G41" s="306">
        <f t="shared" ca="1" si="11"/>
        <v>2.6166538733561984</v>
      </c>
      <c r="H41" s="307">
        <f t="shared" ca="1" si="12"/>
        <v>29.49784504017536</v>
      </c>
      <c r="I41" s="304">
        <f t="shared" ca="1" si="13"/>
        <v>29.613674873395027</v>
      </c>
      <c r="J41" s="306">
        <f t="shared" ca="1" si="14"/>
        <v>0.44878894761475002</v>
      </c>
      <c r="K41" s="307">
        <f t="shared" ca="1" si="15"/>
        <v>5.1218846574311359</v>
      </c>
      <c r="L41" s="304">
        <f t="shared" ca="1" si="0"/>
        <v>5.1415089189390324</v>
      </c>
      <c r="M41" s="306">
        <f t="shared" ca="1" si="16"/>
        <v>1.4823212965212051</v>
      </c>
      <c r="N41" s="304">
        <f t="shared" ca="1" si="17"/>
        <v>84.930754173025292</v>
      </c>
      <c r="P41" s="310">
        <f t="shared" ca="1" si="18"/>
        <v>2</v>
      </c>
      <c r="Q41" s="304">
        <f t="shared" ca="1" si="19"/>
        <v>826.5</v>
      </c>
      <c r="R41" s="306">
        <f t="shared" ca="1" si="20"/>
        <v>0.41478184194289652</v>
      </c>
      <c r="S41" s="307">
        <f t="shared" ca="1" si="21"/>
        <v>8.8628109704388525</v>
      </c>
      <c r="T41" s="304">
        <f t="shared" ca="1" si="1"/>
        <v>86.94417562000514</v>
      </c>
      <c r="U41" s="311">
        <f t="shared" ca="1" si="2"/>
        <v>0</v>
      </c>
      <c r="V41" s="306">
        <f t="shared" ca="1" si="3"/>
        <v>1.2243727297697533</v>
      </c>
      <c r="W41" s="304">
        <f t="shared" ca="1" si="4"/>
        <v>3.2803530571260726</v>
      </c>
      <c r="Y41" s="314" t="str">
        <f t="shared" ca="1" si="22"/>
        <v/>
      </c>
      <c r="Z41" s="315" t="str">
        <f t="shared" ca="1" si="23"/>
        <v/>
      </c>
      <c r="AA41" s="316" t="str">
        <f t="shared" ca="1" si="24"/>
        <v/>
      </c>
      <c r="AC41" s="310" t="e">
        <f t="shared" ca="1" si="25"/>
        <v>#N/A</v>
      </c>
      <c r="AD41" s="323" t="e">
        <f t="shared" ca="1" si="26"/>
        <v>#N/A</v>
      </c>
      <c r="AE41" s="324">
        <f t="shared" ca="1" si="5"/>
        <v>5.1218846574311359</v>
      </c>
      <c r="AG41" s="306">
        <f t="shared" ca="1" si="27"/>
        <v>83.133309235009648</v>
      </c>
      <c r="AH41" s="304">
        <f t="shared" ca="1" si="28"/>
        <v>92.905191232724846</v>
      </c>
    </row>
    <row r="42" spans="1:34" x14ac:dyDescent="0.2">
      <c r="A42" s="347">
        <f t="shared" ca="1" si="6"/>
        <v>0.01</v>
      </c>
      <c r="B42" s="304">
        <f t="shared" ca="1" si="7"/>
        <v>0.38000000000000017</v>
      </c>
      <c r="D42" s="306">
        <f t="shared" ca="1" si="8"/>
        <v>8.1900364399827623</v>
      </c>
      <c r="E42" s="307">
        <f t="shared" ca="1" si="9"/>
        <v>82.517238325232668</v>
      </c>
      <c r="F42" s="304">
        <f t="shared" ca="1" si="10"/>
        <v>82.922682769622767</v>
      </c>
      <c r="G42" s="306">
        <f t="shared" ca="1" si="11"/>
        <v>2.6985542377560261</v>
      </c>
      <c r="H42" s="307">
        <f t="shared" ca="1" si="12"/>
        <v>30.323017423427686</v>
      </c>
      <c r="I42" s="304">
        <f t="shared" ca="1" si="13"/>
        <v>30.44285762926355</v>
      </c>
      <c r="J42" s="306">
        <f t="shared" ca="1" si="14"/>
        <v>0.47536498817031114</v>
      </c>
      <c r="K42" s="307">
        <f t="shared" ca="1" si="15"/>
        <v>5.4209889697491516</v>
      </c>
      <c r="L42" s="304">
        <f t="shared" ca="1" si="0"/>
        <v>5.4417913670151057</v>
      </c>
      <c r="M42" s="306">
        <f t="shared" ca="1" si="16"/>
        <v>1.4820365636737294</v>
      </c>
      <c r="N42" s="304">
        <f t="shared" ca="1" si="17"/>
        <v>84.914440182576186</v>
      </c>
      <c r="P42" s="310">
        <f t="shared" ca="1" si="18"/>
        <v>2</v>
      </c>
      <c r="Q42" s="304">
        <f t="shared" ca="1" si="19"/>
        <v>824.38888888888891</v>
      </c>
      <c r="R42" s="306">
        <f t="shared" ca="1" si="20"/>
        <v>0.41372237363652897</v>
      </c>
      <c r="S42" s="307">
        <f t="shared" ca="1" si="21"/>
        <v>8.8586737467024879</v>
      </c>
      <c r="T42" s="304">
        <f t="shared" ca="1" si="1"/>
        <v>86.903589455151405</v>
      </c>
      <c r="U42" s="311">
        <f t="shared" ca="1" si="2"/>
        <v>0</v>
      </c>
      <c r="V42" s="306">
        <f t="shared" ca="1" si="3"/>
        <v>1.2243361087985498</v>
      </c>
      <c r="W42" s="304">
        <f t="shared" ca="1" si="4"/>
        <v>3.4665209064108113</v>
      </c>
      <c r="Y42" s="314" t="str">
        <f t="shared" ca="1" si="22"/>
        <v/>
      </c>
      <c r="Z42" s="315" t="str">
        <f t="shared" ca="1" si="23"/>
        <v/>
      </c>
      <c r="AA42" s="316" t="str">
        <f t="shared" ca="1" si="24"/>
        <v/>
      </c>
      <c r="AC42" s="310" t="e">
        <f t="shared" ca="1" si="25"/>
        <v>#N/A</v>
      </c>
      <c r="AD42" s="323" t="e">
        <f t="shared" ca="1" si="26"/>
        <v>#N/A</v>
      </c>
      <c r="AE42" s="324">
        <f t="shared" ca="1" si="5"/>
        <v>5.4209889697491516</v>
      </c>
      <c r="AG42" s="306">
        <f t="shared" ca="1" si="27"/>
        <v>82.918152182476248</v>
      </c>
      <c r="AH42" s="304">
        <f t="shared" ca="1" si="28"/>
        <v>92.68978171110642</v>
      </c>
    </row>
    <row r="43" spans="1:34" x14ac:dyDescent="0.2">
      <c r="A43" s="347">
        <f t="shared" ca="1" si="6"/>
        <v>0.01</v>
      </c>
      <c r="B43" s="304">
        <f t="shared" ca="1" si="7"/>
        <v>0.39000000000000018</v>
      </c>
      <c r="D43" s="306">
        <f t="shared" ca="1" si="8"/>
        <v>8.1971557316049886</v>
      </c>
      <c r="E43" s="307">
        <f t="shared" ca="1" si="9"/>
        <v>82.299505376738082</v>
      </c>
      <c r="F43" s="304">
        <f t="shared" ca="1" si="10"/>
        <v>82.706722503941151</v>
      </c>
      <c r="G43" s="306">
        <f t="shared" ca="1" si="11"/>
        <v>2.7805257950720761</v>
      </c>
      <c r="H43" s="307">
        <f t="shared" ca="1" si="12"/>
        <v>31.146012477195068</v>
      </c>
      <c r="I43" s="304">
        <f t="shared" ca="1" si="13"/>
        <v>31.269880347175171</v>
      </c>
      <c r="J43" s="306">
        <f t="shared" ca="1" si="14"/>
        <v>0.50276038833445169</v>
      </c>
      <c r="K43" s="307">
        <f t="shared" ca="1" si="15"/>
        <v>5.7283341192522652</v>
      </c>
      <c r="L43" s="304">
        <f t="shared" ca="1" si="0"/>
        <v>5.7503547533928572</v>
      </c>
      <c r="M43" s="306">
        <f t="shared" ca="1" si="16"/>
        <v>1.4817584716527896</v>
      </c>
      <c r="N43" s="304">
        <f t="shared" ca="1" si="17"/>
        <v>84.898506683460084</v>
      </c>
      <c r="P43" s="310">
        <f t="shared" ca="1" si="18"/>
        <v>2</v>
      </c>
      <c r="Q43" s="304">
        <f t="shared" ca="1" si="19"/>
        <v>822.27777777777771</v>
      </c>
      <c r="R43" s="306">
        <f t="shared" ca="1" si="20"/>
        <v>0.41266290533016137</v>
      </c>
      <c r="S43" s="307">
        <f t="shared" ca="1" si="21"/>
        <v>8.8545471176491866</v>
      </c>
      <c r="T43" s="304">
        <f t="shared" ca="1" si="1"/>
        <v>86.863107224138531</v>
      </c>
      <c r="U43" s="311">
        <f t="shared" ca="1" si="2"/>
        <v>0</v>
      </c>
      <c r="V43" s="306">
        <f t="shared" ca="1" si="3"/>
        <v>1.2242984799974399</v>
      </c>
      <c r="W43" s="304">
        <f t="shared" ca="1" si="4"/>
        <v>3.6573125942312585</v>
      </c>
      <c r="Y43" s="314" t="str">
        <f t="shared" ca="1" si="22"/>
        <v/>
      </c>
      <c r="Z43" s="315" t="str">
        <f t="shared" ca="1" si="23"/>
        <v/>
      </c>
      <c r="AA43" s="316" t="str">
        <f t="shared" ca="1" si="24"/>
        <v/>
      </c>
      <c r="AC43" s="310" t="e">
        <f t="shared" ca="1" si="25"/>
        <v>#N/A</v>
      </c>
      <c r="AD43" s="323" t="e">
        <f t="shared" ca="1" si="26"/>
        <v>#N/A</v>
      </c>
      <c r="AE43" s="324">
        <f t="shared" ca="1" si="5"/>
        <v>5.7283341192522652</v>
      </c>
      <c r="AG43" s="306">
        <f t="shared" ca="1" si="27"/>
        <v>82.702150878083785</v>
      </c>
      <c r="AH43" s="304">
        <f t="shared" ca="1" si="28"/>
        <v>92.473533201860121</v>
      </c>
    </row>
    <row r="44" spans="1:34" x14ac:dyDescent="0.2">
      <c r="A44" s="347">
        <f t="shared" ca="1" si="6"/>
        <v>0.01</v>
      </c>
      <c r="B44" s="304">
        <f t="shared" ca="1" si="7"/>
        <v>0.40000000000000019</v>
      </c>
      <c r="D44" s="306">
        <f t="shared" ca="1" si="8"/>
        <v>8.2034672523795518</v>
      </c>
      <c r="E44" s="307">
        <f t="shared" ca="1" si="9"/>
        <v>82.080999123873013</v>
      </c>
      <c r="F44" s="304">
        <f t="shared" ca="1" si="10"/>
        <v>82.489922367123768</v>
      </c>
      <c r="G44" s="306">
        <f t="shared" ca="1" si="11"/>
        <v>2.8625604675958716</v>
      </c>
      <c r="H44" s="307">
        <f t="shared" ca="1" si="12"/>
        <v>31.966822468433797</v>
      </c>
      <c r="I44" s="304">
        <f t="shared" ca="1" si="13"/>
        <v>32.094734632942618</v>
      </c>
      <c r="J44" s="306">
        <f t="shared" ca="1" si="14"/>
        <v>0.53097581964779139</v>
      </c>
      <c r="K44" s="307">
        <f t="shared" ca="1" si="15"/>
        <v>6.0438982939804093</v>
      </c>
      <c r="L44" s="304">
        <f t="shared" ca="1" si="0"/>
        <v>6.067177425214294</v>
      </c>
      <c r="M44" s="306">
        <f t="shared" ca="1" si="16"/>
        <v>1.4814866801139799</v>
      </c>
      <c r="N44" s="304">
        <f t="shared" ca="1" si="17"/>
        <v>84.882934175378907</v>
      </c>
      <c r="P44" s="310">
        <f t="shared" ca="1" si="18"/>
        <v>2</v>
      </c>
      <c r="Q44" s="304">
        <f t="shared" ca="1" si="19"/>
        <v>820.16666666666663</v>
      </c>
      <c r="R44" s="306">
        <f t="shared" ca="1" si="20"/>
        <v>0.41160343702379387</v>
      </c>
      <c r="S44" s="307">
        <f t="shared" ca="1" si="21"/>
        <v>8.8504310832789486</v>
      </c>
      <c r="T44" s="304">
        <f t="shared" ca="1" si="1"/>
        <v>86.822728926966491</v>
      </c>
      <c r="U44" s="311">
        <f t="shared" ca="1" si="2"/>
        <v>0</v>
      </c>
      <c r="V44" s="306">
        <f t="shared" ca="1" si="3"/>
        <v>1.2242598461297229</v>
      </c>
      <c r="W44" s="304">
        <f t="shared" ca="1" si="4"/>
        <v>3.852685125834761</v>
      </c>
      <c r="Y44" s="314" t="str">
        <f t="shared" ca="1" si="22"/>
        <v/>
      </c>
      <c r="Z44" s="315" t="str">
        <f t="shared" ca="1" si="23"/>
        <v/>
      </c>
      <c r="AA44" s="316" t="str">
        <f t="shared" ca="1" si="24"/>
        <v/>
      </c>
      <c r="AC44" s="310" t="e">
        <f t="shared" ca="1" si="25"/>
        <v>#N/A</v>
      </c>
      <c r="AD44" s="323" t="e">
        <f t="shared" ca="1" si="26"/>
        <v>#N/A</v>
      </c>
      <c r="AE44" s="324">
        <f t="shared" ca="1" si="5"/>
        <v>6.0438982939804093</v>
      </c>
      <c r="AG44" s="306">
        <f t="shared" ca="1" si="27"/>
        <v>82.485310033815438</v>
      </c>
      <c r="AH44" s="304">
        <f t="shared" ca="1" si="28"/>
        <v>92.256450153604405</v>
      </c>
    </row>
    <row r="45" spans="1:34" x14ac:dyDescent="0.2">
      <c r="A45" s="347">
        <f t="shared" ca="1" si="6"/>
        <v>0.01</v>
      </c>
      <c r="B45" s="304">
        <f t="shared" ca="1" si="7"/>
        <v>0.4100000000000002</v>
      </c>
      <c r="D45" s="306">
        <f t="shared" ca="1" si="8"/>
        <v>8.2090062636067973</v>
      </c>
      <c r="E45" s="307">
        <f t="shared" ca="1" si="9"/>
        <v>81.861721468077917</v>
      </c>
      <c r="F45" s="304">
        <f t="shared" ca="1" si="10"/>
        <v>82.272287105398405</v>
      </c>
      <c r="G45" s="306">
        <f t="shared" ca="1" si="11"/>
        <v>2.9446505302319395</v>
      </c>
      <c r="H45" s="307">
        <f t="shared" ca="1" si="12"/>
        <v>32.785439683114575</v>
      </c>
      <c r="I45" s="304">
        <f t="shared" ca="1" si="13"/>
        <v>32.917412139479303</v>
      </c>
      <c r="J45" s="306">
        <f t="shared" ca="1" si="14"/>
        <v>0.56001187463693047</v>
      </c>
      <c r="K45" s="307">
        <f t="shared" ca="1" si="15"/>
        <v>6.3676596047381508</v>
      </c>
      <c r="L45" s="304">
        <f t="shared" ca="1" si="0"/>
        <v>6.392237647455576</v>
      </c>
      <c r="M45" s="306">
        <f t="shared" ca="1" si="16"/>
        <v>1.481220874464322</v>
      </c>
      <c r="N45" s="304">
        <f t="shared" ca="1" si="17"/>
        <v>84.867704633482788</v>
      </c>
      <c r="P45" s="310">
        <f t="shared" ca="1" si="18"/>
        <v>2</v>
      </c>
      <c r="Q45" s="304">
        <f t="shared" ca="1" si="19"/>
        <v>818.05555555555554</v>
      </c>
      <c r="R45" s="306">
        <f t="shared" ca="1" si="20"/>
        <v>0.41054396871742632</v>
      </c>
      <c r="S45" s="307">
        <f t="shared" ca="1" si="21"/>
        <v>8.8463256435917739</v>
      </c>
      <c r="T45" s="304">
        <f t="shared" ca="1" si="1"/>
        <v>86.782454563635312</v>
      </c>
      <c r="U45" s="311">
        <f t="shared" ca="1" si="2"/>
        <v>0</v>
      </c>
      <c r="V45" s="306">
        <f t="shared" ca="1" si="3"/>
        <v>1.2242202099702935</v>
      </c>
      <c r="W45" s="304">
        <f t="shared" ca="1" si="4"/>
        <v>4.0525954005320965</v>
      </c>
      <c r="Y45" s="314" t="str">
        <f t="shared" ca="1" si="22"/>
        <v/>
      </c>
      <c r="Z45" s="315" t="str">
        <f t="shared" ca="1" si="23"/>
        <v/>
      </c>
      <c r="AA45" s="316" t="str">
        <f t="shared" ca="1" si="24"/>
        <v/>
      </c>
      <c r="AC45" s="310" t="e">
        <f t="shared" ca="1" si="25"/>
        <v>#N/A</v>
      </c>
      <c r="AD45" s="323" t="e">
        <f t="shared" ca="1" si="26"/>
        <v>#N/A</v>
      </c>
      <c r="AE45" s="324">
        <f t="shared" ca="1" si="5"/>
        <v>6.3676596047381508</v>
      </c>
      <c r="AG45" s="306">
        <f t="shared" ca="1" si="27"/>
        <v>82.267634368559598</v>
      </c>
      <c r="AH45" s="304">
        <f t="shared" ca="1" si="28"/>
        <v>92.038537041593585</v>
      </c>
    </row>
    <row r="46" spans="1:34" x14ac:dyDescent="0.2">
      <c r="A46" s="347">
        <f t="shared" ca="1" si="6"/>
        <v>0.01</v>
      </c>
      <c r="B46" s="304">
        <f t="shared" ca="1" si="7"/>
        <v>0.42000000000000021</v>
      </c>
      <c r="D46" s="306">
        <f t="shared" ca="1" si="8"/>
        <v>8.2138054110255663</v>
      </c>
      <c r="E46" s="307">
        <f t="shared" ca="1" si="9"/>
        <v>81.641674522072321</v>
      </c>
      <c r="F46" s="304">
        <f t="shared" ca="1" si="10"/>
        <v>82.053821471630357</v>
      </c>
      <c r="G46" s="306">
        <f t="shared" ca="1" si="11"/>
        <v>3.0267885843421953</v>
      </c>
      <c r="H46" s="307">
        <f t="shared" ca="1" si="12"/>
        <v>33.601856428335296</v>
      </c>
      <c r="I46" s="304">
        <f t="shared" ca="1" si="13"/>
        <v>33.737904566892745</v>
      </c>
      <c r="J46" s="306">
        <f t="shared" ca="1" si="14"/>
        <v>0.58986907020980117</v>
      </c>
      <c r="K46" s="307">
        <f t="shared" ca="1" si="15"/>
        <v>6.6995960852954006</v>
      </c>
      <c r="L46" s="304">
        <f t="shared" ca="1" si="0"/>
        <v>6.7255136031455347</v>
      </c>
      <c r="M46" s="306">
        <f t="shared" ca="1" si="16"/>
        <v>1.4809607633065811</v>
      </c>
      <c r="N46" s="304">
        <f t="shared" ca="1" si="17"/>
        <v>84.852801361939967</v>
      </c>
      <c r="P46" s="310">
        <f t="shared" ca="1" si="18"/>
        <v>2</v>
      </c>
      <c r="Q46" s="304">
        <f t="shared" ca="1" si="19"/>
        <v>815.94444444444434</v>
      </c>
      <c r="R46" s="306">
        <f t="shared" ca="1" si="20"/>
        <v>0.40948450041105872</v>
      </c>
      <c r="S46" s="307">
        <f t="shared" ca="1" si="21"/>
        <v>8.8422307985876625</v>
      </c>
      <c r="T46" s="304">
        <f t="shared" ca="1" si="1"/>
        <v>86.742284134144967</v>
      </c>
      <c r="U46" s="311">
        <f t="shared" ca="1" si="2"/>
        <v>0</v>
      </c>
      <c r="V46" s="306">
        <f t="shared" ca="1" si="3"/>
        <v>1.2241795743055901</v>
      </c>
      <c r="W46" s="304">
        <f t="shared" ca="1" si="4"/>
        <v>4.2570002150034725</v>
      </c>
      <c r="Y46" s="314" t="str">
        <f t="shared" ca="1" si="22"/>
        <v/>
      </c>
      <c r="Z46" s="315" t="str">
        <f t="shared" ca="1" si="23"/>
        <v/>
      </c>
      <c r="AA46" s="316" t="str">
        <f t="shared" ca="1" si="24"/>
        <v/>
      </c>
      <c r="AC46" s="310" t="e">
        <f t="shared" ca="1" si="25"/>
        <v>#N/A</v>
      </c>
      <c r="AD46" s="323" t="e">
        <f t="shared" ca="1" si="26"/>
        <v>#N/A</v>
      </c>
      <c r="AE46" s="324">
        <f t="shared" ca="1" si="5"/>
        <v>6.6995960852954006</v>
      </c>
      <c r="AG46" s="306">
        <f t="shared" ca="1" si="27"/>
        <v>82.049128609701071</v>
      </c>
      <c r="AH46" s="304">
        <f t="shared" ca="1" si="28"/>
        <v>91.819798367352362</v>
      </c>
    </row>
    <row r="47" spans="1:34" x14ac:dyDescent="0.2">
      <c r="A47" s="347">
        <f t="shared" ca="1" si="6"/>
        <v>0.01</v>
      </c>
      <c r="B47" s="304">
        <f t="shared" ca="1" si="7"/>
        <v>0.43000000000000022</v>
      </c>
      <c r="D47" s="306">
        <f t="shared" ca="1" si="8"/>
        <v>8.2178949834976294</v>
      </c>
      <c r="E47" s="307">
        <f t="shared" ca="1" si="9"/>
        <v>81.420860591684246</v>
      </c>
      <c r="F47" s="304">
        <f t="shared" ca="1" si="10"/>
        <v>81.834530226856415</v>
      </c>
      <c r="G47" s="306">
        <f t="shared" ca="1" si="11"/>
        <v>3.1089675341771716</v>
      </c>
      <c r="H47" s="307">
        <f t="shared" ca="1" si="12"/>
        <v>34.416065034252135</v>
      </c>
      <c r="I47" s="304">
        <f t="shared" ca="1" si="13"/>
        <v>34.556203662590605</v>
      </c>
      <c r="J47" s="306">
        <f t="shared" ca="1" si="14"/>
        <v>0.62054785080239805</v>
      </c>
      <c r="K47" s="307">
        <f t="shared" ca="1" si="15"/>
        <v>7.0396856926083373</v>
      </c>
      <c r="L47" s="304">
        <f t="shared" ca="1" si="0"/>
        <v>7.0669833936305526</v>
      </c>
      <c r="M47" s="306">
        <f t="shared" ca="1" si="16"/>
        <v>1.4807060761944248</v>
      </c>
      <c r="N47" s="304">
        <f t="shared" ca="1" si="17"/>
        <v>84.838208865317043</v>
      </c>
      <c r="P47" s="310">
        <f t="shared" ca="1" si="18"/>
        <v>2</v>
      </c>
      <c r="Q47" s="304">
        <f t="shared" ca="1" si="19"/>
        <v>813.83333333333326</v>
      </c>
      <c r="R47" s="306">
        <f t="shared" ca="1" si="20"/>
        <v>0.40842503210469117</v>
      </c>
      <c r="S47" s="307">
        <f t="shared" ca="1" si="21"/>
        <v>8.8381465482666162</v>
      </c>
      <c r="T47" s="304">
        <f t="shared" ca="1" si="1"/>
        <v>86.702217638495512</v>
      </c>
      <c r="U47" s="311">
        <f t="shared" ca="1" si="2"/>
        <v>0</v>
      </c>
      <c r="V47" s="306">
        <f t="shared" ca="1" si="3"/>
        <v>1.2241379419335474</v>
      </c>
      <c r="W47" s="304">
        <f t="shared" ca="1" si="4"/>
        <v>4.4658562666041117</v>
      </c>
      <c r="Y47" s="314" t="str">
        <f t="shared" ca="1" si="22"/>
        <v/>
      </c>
      <c r="Z47" s="315" t="str">
        <f t="shared" ca="1" si="23"/>
        <v/>
      </c>
      <c r="AA47" s="316" t="str">
        <f t="shared" ca="1" si="24"/>
        <v/>
      </c>
      <c r="AC47" s="310" t="e">
        <f t="shared" ca="1" si="25"/>
        <v>#N/A</v>
      </c>
      <c r="AD47" s="323" t="e">
        <f t="shared" ca="1" si="26"/>
        <v>#N/A</v>
      </c>
      <c r="AE47" s="324">
        <f t="shared" ca="1" si="5"/>
        <v>7.0396856926083373</v>
      </c>
      <c r="AG47" s="306">
        <f t="shared" ca="1" si="27"/>
        <v>81.829797494471876</v>
      </c>
      <c r="AH47" s="304">
        <f t="shared" ca="1" si="28"/>
        <v>91.600238658308754</v>
      </c>
    </row>
    <row r="48" spans="1:34" x14ac:dyDescent="0.2">
      <c r="A48" s="347">
        <f t="shared" ca="1" si="6"/>
        <v>0.01</v>
      </c>
      <c r="B48" s="304">
        <f t="shared" ca="1" si="7"/>
        <v>0.44000000000000022</v>
      </c>
      <c r="D48" s="306">
        <f t="shared" ca="1" si="8"/>
        <v>8.2213031403202397</v>
      </c>
      <c r="E48" s="307">
        <f t="shared" ca="1" si="9"/>
        <v>81.199282159791792</v>
      </c>
      <c r="F48" s="304">
        <f t="shared" ca="1" si="10"/>
        <v>81.614418141591386</v>
      </c>
      <c r="G48" s="306">
        <f t="shared" ca="1" si="11"/>
        <v>3.1911805655803742</v>
      </c>
      <c r="H48" s="307">
        <f t="shared" ca="1" si="12"/>
        <v>35.228057855850054</v>
      </c>
      <c r="I48" s="304">
        <f t="shared" ca="1" si="13"/>
        <v>35.37230122139718</v>
      </c>
      <c r="J48" s="306">
        <f t="shared" ca="1" si="14"/>
        <v>0.65204859130118575</v>
      </c>
      <c r="K48" s="307">
        <f t="shared" ca="1" si="15"/>
        <v>7.3879063070588487</v>
      </c>
      <c r="L48" s="304">
        <f t="shared" ca="1" si="0"/>
        <v>7.4166250388770347</v>
      </c>
      <c r="M48" s="306">
        <f t="shared" ca="1" si="16"/>
        <v>1.4804565616539989</v>
      </c>
      <c r="N48" s="304">
        <f t="shared" ca="1" si="17"/>
        <v>84.823912735223487</v>
      </c>
      <c r="P48" s="310">
        <f t="shared" ca="1" si="18"/>
        <v>2</v>
      </c>
      <c r="Q48" s="304">
        <f t="shared" ca="1" si="19"/>
        <v>811.72222222222217</v>
      </c>
      <c r="R48" s="306">
        <f t="shared" ca="1" si="20"/>
        <v>0.40736556379832362</v>
      </c>
      <c r="S48" s="307">
        <f t="shared" ca="1" si="21"/>
        <v>8.8340728926286332</v>
      </c>
      <c r="T48" s="304">
        <f t="shared" ca="1" si="1"/>
        <v>86.66225507668689</v>
      </c>
      <c r="U48" s="311">
        <f t="shared" ca="1" si="2"/>
        <v>0</v>
      </c>
      <c r="V48" s="306">
        <f t="shared" ca="1" si="3"/>
        <v>1.224095315663541</v>
      </c>
      <c r="W48" s="304">
        <f t="shared" ca="1" si="4"/>
        <v>4.6791201566691649</v>
      </c>
      <c r="Y48" s="314" t="str">
        <f t="shared" ca="1" si="22"/>
        <v/>
      </c>
      <c r="Z48" s="315" t="str">
        <f t="shared" ca="1" si="23"/>
        <v/>
      </c>
      <c r="AA48" s="316" t="str">
        <f t="shared" ca="1" si="24"/>
        <v/>
      </c>
      <c r="AC48" s="310" t="e">
        <f t="shared" ca="1" si="25"/>
        <v>#N/A</v>
      </c>
      <c r="AD48" s="323" t="e">
        <f t="shared" ca="1" si="26"/>
        <v>#N/A</v>
      </c>
      <c r="AE48" s="324">
        <f t="shared" ca="1" si="5"/>
        <v>7.3879063070588487</v>
      </c>
      <c r="AG48" s="306">
        <f t="shared" ca="1" si="27"/>
        <v>81.60964577109597</v>
      </c>
      <c r="AH48" s="304">
        <f t="shared" ca="1" si="28"/>
        <v>91.37986246742571</v>
      </c>
    </row>
    <row r="49" spans="1:34" x14ac:dyDescent="0.2">
      <c r="A49" s="347">
        <f t="shared" ca="1" si="6"/>
        <v>0.01</v>
      </c>
      <c r="B49" s="304">
        <f t="shared" ca="1" si="7"/>
        <v>0.45000000000000023</v>
      </c>
      <c r="D49" s="306">
        <f t="shared" ca="1" si="8"/>
        <v>8.2240561116412945</v>
      </c>
      <c r="E49" s="307">
        <f t="shared" ca="1" si="9"/>
        <v>80.976941872080062</v>
      </c>
      <c r="F49" s="304">
        <f t="shared" ca="1" si="10"/>
        <v>81.393489996938072</v>
      </c>
      <c r="G49" s="306">
        <f t="shared" ca="1" si="11"/>
        <v>3.2734211266967872</v>
      </c>
      <c r="H49" s="307">
        <f t="shared" ca="1" si="12"/>
        <v>36.037827274570851</v>
      </c>
      <c r="I49" s="304">
        <f t="shared" ca="1" si="13"/>
        <v>36.186189085678912</v>
      </c>
      <c r="J49" s="306">
        <f t="shared" ca="1" si="14"/>
        <v>0.68437159976257156</v>
      </c>
      <c r="K49" s="307">
        <f t="shared" ca="1" si="15"/>
        <v>7.744235732710953</v>
      </c>
      <c r="L49" s="304">
        <f t="shared" ca="1" si="0"/>
        <v>7.7744164778045386</v>
      </c>
      <c r="M49" s="306">
        <f t="shared" ca="1" si="16"/>
        <v>1.4802119854347382</v>
      </c>
      <c r="N49" s="304">
        <f t="shared" ca="1" si="17"/>
        <v>84.809899550090577</v>
      </c>
      <c r="P49" s="310">
        <f t="shared" ca="1" si="18"/>
        <v>2</v>
      </c>
      <c r="Q49" s="304">
        <f t="shared" ca="1" si="19"/>
        <v>809.61111111111109</v>
      </c>
      <c r="R49" s="306">
        <f t="shared" ca="1" si="20"/>
        <v>0.40630609549195612</v>
      </c>
      <c r="S49" s="307">
        <f t="shared" ca="1" si="21"/>
        <v>8.8300098316737134</v>
      </c>
      <c r="T49" s="304">
        <f t="shared" ca="1" si="1"/>
        <v>86.62239644871913</v>
      </c>
      <c r="U49" s="311">
        <f t="shared" ca="1" si="2"/>
        <v>0</v>
      </c>
      <c r="V49" s="306">
        <f t="shared" ca="1" si="3"/>
        <v>1.2240516983163319</v>
      </c>
      <c r="W49" s="304">
        <f t="shared" ca="1" si="4"/>
        <v>4.8967483938177869</v>
      </c>
      <c r="Y49" s="314" t="str">
        <f t="shared" ca="1" si="22"/>
        <v/>
      </c>
      <c r="Z49" s="315" t="str">
        <f t="shared" ca="1" si="23"/>
        <v/>
      </c>
      <c r="AA49" s="316" t="str">
        <f t="shared" ca="1" si="24"/>
        <v/>
      </c>
      <c r="AC49" s="310" t="e">
        <f t="shared" ca="1" si="25"/>
        <v>#N/A</v>
      </c>
      <c r="AD49" s="323" t="e">
        <f t="shared" ca="1" si="26"/>
        <v>#N/A</v>
      </c>
      <c r="AE49" s="324">
        <f t="shared" ca="1" si="5"/>
        <v>7.744235732710953</v>
      </c>
      <c r="AG49" s="306">
        <f t="shared" ca="1" si="27"/>
        <v>81.388678199756683</v>
      </c>
      <c r="AH49" s="304">
        <f t="shared" ca="1" si="28"/>
        <v>91.158674372831186</v>
      </c>
    </row>
    <row r="50" spans="1:34" x14ac:dyDescent="0.2">
      <c r="A50" s="347">
        <f t="shared" ca="1" si="6"/>
        <v>0.01</v>
      </c>
      <c r="B50" s="304">
        <f t="shared" ca="1" si="7"/>
        <v>0.46000000000000024</v>
      </c>
      <c r="D50" s="306">
        <f t="shared" ca="1" si="8"/>
        <v>8.2261783757225313</v>
      </c>
      <c r="E50" s="307">
        <f t="shared" ca="1" si="9"/>
        <v>80.753842524365311</v>
      </c>
      <c r="F50" s="304">
        <f t="shared" ca="1" si="10"/>
        <v>81.171750585528187</v>
      </c>
      <c r="G50" s="306">
        <f t="shared" ca="1" si="11"/>
        <v>3.3556829104540125</v>
      </c>
      <c r="H50" s="307">
        <f t="shared" ca="1" si="12"/>
        <v>36.845365699814508</v>
      </c>
      <c r="I50" s="304">
        <f t="shared" ca="1" si="13"/>
        <v>36.997859145477328</v>
      </c>
      <c r="J50" s="306">
        <f t="shared" ca="1" si="14"/>
        <v>0.71751711994832557</v>
      </c>
      <c r="K50" s="307">
        <f t="shared" ca="1" si="15"/>
        <v>8.1086516975828804</v>
      </c>
      <c r="L50" s="304">
        <f t="shared" ca="1" si="0"/>
        <v>8.1403355686441241</v>
      </c>
      <c r="M50" s="306">
        <f t="shared" ca="1" si="16"/>
        <v>1.47997212895817</v>
      </c>
      <c r="N50" s="304">
        <f t="shared" ca="1" si="17"/>
        <v>84.796156786294347</v>
      </c>
      <c r="P50" s="310">
        <f t="shared" ca="1" si="18"/>
        <v>2</v>
      </c>
      <c r="Q50" s="304">
        <f t="shared" ca="1" si="19"/>
        <v>807.5</v>
      </c>
      <c r="R50" s="306">
        <f t="shared" ca="1" si="20"/>
        <v>0.40524662718558857</v>
      </c>
      <c r="S50" s="307">
        <f t="shared" ca="1" si="21"/>
        <v>8.825957365401857</v>
      </c>
      <c r="T50" s="304">
        <f t="shared" ca="1" si="1"/>
        <v>86.582641754592217</v>
      </c>
      <c r="U50" s="311">
        <f t="shared" ca="1" si="2"/>
        <v>0</v>
      </c>
      <c r="V50" s="306">
        <f t="shared" ca="1" si="3"/>
        <v>1.2240070927240099</v>
      </c>
      <c r="W50" s="304">
        <f t="shared" ca="1" si="4"/>
        <v>5.1186973972561134</v>
      </c>
      <c r="Y50" s="314" t="str">
        <f t="shared" ca="1" si="22"/>
        <v/>
      </c>
      <c r="Z50" s="315" t="str">
        <f t="shared" ca="1" si="23"/>
        <v/>
      </c>
      <c r="AA50" s="316" t="str">
        <f t="shared" ca="1" si="24"/>
        <v/>
      </c>
      <c r="AC50" s="310" t="e">
        <f t="shared" ca="1" si="25"/>
        <v>#N/A</v>
      </c>
      <c r="AD50" s="323" t="e">
        <f t="shared" ca="1" si="26"/>
        <v>#N/A</v>
      </c>
      <c r="AE50" s="324">
        <f t="shared" ca="1" si="5"/>
        <v>8.1086516975828804</v>
      </c>
      <c r="AG50" s="306">
        <f t="shared" ca="1" si="27"/>
        <v>81.166899553411014</v>
      </c>
      <c r="AH50" s="304">
        <f t="shared" ca="1" si="28"/>
        <v>90.936678977446959</v>
      </c>
    </row>
    <row r="51" spans="1:34" x14ac:dyDescent="0.2">
      <c r="A51" s="347">
        <f t="shared" ca="1" si="6"/>
        <v>0.01</v>
      </c>
      <c r="B51" s="304">
        <f t="shared" ca="1" si="7"/>
        <v>0.47000000000000025</v>
      </c>
      <c r="D51" s="306">
        <f t="shared" ca="1" si="8"/>
        <v>8.2276928161994558</v>
      </c>
      <c r="E51" s="307">
        <f t="shared" ca="1" si="9"/>
        <v>80.529987051276606</v>
      </c>
      <c r="F51" s="304">
        <f t="shared" ca="1" si="10"/>
        <v>80.949204712316458</v>
      </c>
      <c r="G51" s="306">
        <f t="shared" ca="1" si="11"/>
        <v>3.4379598386160071</v>
      </c>
      <c r="H51" s="307">
        <f t="shared" ca="1" si="12"/>
        <v>37.650665570327277</v>
      </c>
      <c r="I51" s="304">
        <f t="shared" ca="1" si="13"/>
        <v>37.807303338648268</v>
      </c>
      <c r="J51" s="306">
        <f t="shared" ca="1" si="14"/>
        <v>0.75148533369367565</v>
      </c>
      <c r="K51" s="307">
        <f t="shared" ca="1" si="15"/>
        <v>8.48113185393359</v>
      </c>
      <c r="L51" s="304">
        <f t="shared" ca="1" si="0"/>
        <v>8.5143600893175595</v>
      </c>
      <c r="M51" s="306">
        <f t="shared" ca="1" si="16"/>
        <v>1.4797367879383214</v>
      </c>
      <c r="N51" s="304">
        <f t="shared" ca="1" si="17"/>
        <v>84.782672739110723</v>
      </c>
      <c r="P51" s="310">
        <f t="shared" ca="1" si="18"/>
        <v>2</v>
      </c>
      <c r="Q51" s="304">
        <f t="shared" ca="1" si="19"/>
        <v>805.3888888888888</v>
      </c>
      <c r="R51" s="306">
        <f t="shared" ca="1" si="20"/>
        <v>0.40418715887922096</v>
      </c>
      <c r="S51" s="307">
        <f t="shared" ca="1" si="21"/>
        <v>8.8219154938130657</v>
      </c>
      <c r="T51" s="304">
        <f t="shared" ca="1" si="1"/>
        <v>86.54299099430618</v>
      </c>
      <c r="U51" s="311">
        <f t="shared" ca="1" si="2"/>
        <v>0</v>
      </c>
      <c r="V51" s="306">
        <f t="shared" ca="1" si="3"/>
        <v>1.2239615017299312</v>
      </c>
      <c r="W51" s="304">
        <f t="shared" ca="1" si="4"/>
        <v>5.3449235000789033</v>
      </c>
      <c r="Y51" s="314" t="str">
        <f t="shared" ca="1" si="22"/>
        <v/>
      </c>
      <c r="Z51" s="315" t="str">
        <f t="shared" ca="1" si="23"/>
        <v/>
      </c>
      <c r="AA51" s="316" t="str">
        <f t="shared" ca="1" si="24"/>
        <v/>
      </c>
      <c r="AC51" s="310" t="e">
        <f t="shared" ca="1" si="25"/>
        <v>#N/A</v>
      </c>
      <c r="AD51" s="323" t="e">
        <f t="shared" ca="1" si="26"/>
        <v>#N/A</v>
      </c>
      <c r="AE51" s="324">
        <f t="shared" ca="1" si="5"/>
        <v>8.48113185393359</v>
      </c>
      <c r="AG51" s="306">
        <f t="shared" ca="1" si="27"/>
        <v>80.944314618471196</v>
      </c>
      <c r="AH51" s="304">
        <f t="shared" ca="1" si="28"/>
        <v>90.713880908615991</v>
      </c>
    </row>
    <row r="52" spans="1:34" x14ac:dyDescent="0.2">
      <c r="A52" s="347">
        <f t="shared" ca="1" si="6"/>
        <v>0.01</v>
      </c>
      <c r="B52" s="304">
        <f t="shared" ca="1" si="7"/>
        <v>0.48000000000000026</v>
      </c>
      <c r="D52" s="306">
        <f t="shared" ca="1" si="8"/>
        <v>8.2286208619976495</v>
      </c>
      <c r="E52" s="307">
        <f t="shared" ca="1" si="9"/>
        <v>80.305378516117557</v>
      </c>
      <c r="F52" s="304">
        <f t="shared" ca="1" si="10"/>
        <v>80.725857195247045</v>
      </c>
      <c r="G52" s="306">
        <f t="shared" ca="1" si="11"/>
        <v>3.5202460472359838</v>
      </c>
      <c r="H52" s="307">
        <f t="shared" ca="1" si="12"/>
        <v>38.453719355488452</v>
      </c>
      <c r="I52" s="304">
        <f t="shared" ca="1" si="13"/>
        <v>38.614513651006249</v>
      </c>
      <c r="J52" s="306">
        <f t="shared" ca="1" si="14"/>
        <v>0.78627636312293558</v>
      </c>
      <c r="K52" s="307">
        <f t="shared" ca="1" si="15"/>
        <v>8.861653778562669</v>
      </c>
      <c r="L52" s="304">
        <f t="shared" ca="1" si="0"/>
        <v>8.8964677378339232</v>
      </c>
      <c r="M52" s="306">
        <f t="shared" ca="1" si="16"/>
        <v>1.4795057711513793</v>
      </c>
      <c r="N52" s="304">
        <f t="shared" ca="1" si="17"/>
        <v>84.769436452222266</v>
      </c>
      <c r="P52" s="310">
        <f t="shared" ca="1" si="18"/>
        <v>2</v>
      </c>
      <c r="Q52" s="304">
        <f t="shared" ca="1" si="19"/>
        <v>803.27777777777771</v>
      </c>
      <c r="R52" s="306">
        <f t="shared" ca="1" si="20"/>
        <v>0.40312769057285341</v>
      </c>
      <c r="S52" s="307">
        <f t="shared" ca="1" si="21"/>
        <v>8.8178842169073377</v>
      </c>
      <c r="T52" s="304">
        <f t="shared" ca="1" si="1"/>
        <v>86.503444167860991</v>
      </c>
      <c r="U52" s="311">
        <f t="shared" ca="1" si="2"/>
        <v>0</v>
      </c>
      <c r="V52" s="306">
        <f t="shared" ca="1" si="3"/>
        <v>1.2239149281886619</v>
      </c>
      <c r="W52" s="304">
        <f t="shared" ca="1" si="4"/>
        <v>5.5753829525695746</v>
      </c>
      <c r="Y52" s="314" t="str">
        <f t="shared" ca="1" si="22"/>
        <v/>
      </c>
      <c r="Z52" s="315" t="str">
        <f t="shared" ca="1" si="23"/>
        <v/>
      </c>
      <c r="AA52" s="316" t="str">
        <f t="shared" ca="1" si="24"/>
        <v/>
      </c>
      <c r="AC52" s="310" t="e">
        <f t="shared" ca="1" si="25"/>
        <v>#N/A</v>
      </c>
      <c r="AD52" s="323" t="e">
        <f t="shared" ca="1" si="26"/>
        <v>#N/A</v>
      </c>
      <c r="AE52" s="324">
        <f t="shared" ca="1" si="5"/>
        <v>8.861653778562669</v>
      </c>
      <c r="AG52" s="306">
        <f t="shared" ca="1" si="27"/>
        <v>80.720928195370888</v>
      </c>
      <c r="AH52" s="304">
        <f t="shared" ca="1" si="28"/>
        <v>90.490284817728607</v>
      </c>
    </row>
    <row r="53" spans="1:34" x14ac:dyDescent="0.2">
      <c r="A53" s="347">
        <f t="shared" ca="1" si="6"/>
        <v>0.01</v>
      </c>
      <c r="B53" s="304">
        <f t="shared" ca="1" si="7"/>
        <v>0.49000000000000027</v>
      </c>
      <c r="D53" s="306">
        <f t="shared" ca="1" si="8"/>
        <v>8.2289826121594398</v>
      </c>
      <c r="E53" s="307">
        <f t="shared" ca="1" si="9"/>
        <v>80.080020101757128</v>
      </c>
      <c r="F53" s="304">
        <f t="shared" ca="1" si="10"/>
        <v>80.501712865808315</v>
      </c>
      <c r="G53" s="306">
        <f t="shared" ca="1" si="11"/>
        <v>3.6025358733575783</v>
      </c>
      <c r="H53" s="307">
        <f t="shared" ca="1" si="12"/>
        <v>39.254519556506025</v>
      </c>
      <c r="I53" s="304">
        <f t="shared" ca="1" si="13"/>
        <v>39.419482116473098</v>
      </c>
      <c r="J53" s="306">
        <f t="shared" ca="1" si="14"/>
        <v>0.82189027272590343</v>
      </c>
      <c r="K53" s="307">
        <f t="shared" ca="1" si="15"/>
        <v>9.2501949731226407</v>
      </c>
      <c r="L53" s="304">
        <f t="shared" ca="1" si="0"/>
        <v>9.2866361327008402</v>
      </c>
      <c r="M53" s="306">
        <f t="shared" ca="1" si="16"/>
        <v>1.4792788993355732</v>
      </c>
      <c r="N53" s="304">
        <f t="shared" ca="1" si="17"/>
        <v>84.75643765468611</v>
      </c>
      <c r="P53" s="310">
        <f t="shared" ca="1" si="18"/>
        <v>2</v>
      </c>
      <c r="Q53" s="304">
        <f t="shared" ca="1" si="19"/>
        <v>801.16666666666663</v>
      </c>
      <c r="R53" s="306">
        <f t="shared" ca="1" si="20"/>
        <v>0.40206822226648586</v>
      </c>
      <c r="S53" s="307">
        <f t="shared" ca="1" si="21"/>
        <v>8.813863534684673</v>
      </c>
      <c r="T53" s="304">
        <f t="shared" ca="1" si="1"/>
        <v>86.464001275256649</v>
      </c>
      <c r="U53" s="311">
        <f t="shared" ca="1" si="2"/>
        <v>0</v>
      </c>
      <c r="V53" s="306">
        <f t="shared" ca="1" si="3"/>
        <v>1.2238673749659124</v>
      </c>
      <c r="W53" s="304">
        <f t="shared" ca="1" si="4"/>
        <v>5.8100319254983503</v>
      </c>
      <c r="Y53" s="314" t="str">
        <f t="shared" ca="1" si="22"/>
        <v/>
      </c>
      <c r="Z53" s="315" t="str">
        <f t="shared" ca="1" si="23"/>
        <v/>
      </c>
      <c r="AA53" s="316" t="str">
        <f t="shared" ca="1" si="24"/>
        <v/>
      </c>
      <c r="AC53" s="310" t="e">
        <f t="shared" ca="1" si="25"/>
        <v>#N/A</v>
      </c>
      <c r="AD53" s="323" t="e">
        <f t="shared" ca="1" si="26"/>
        <v>#N/A</v>
      </c>
      <c r="AE53" s="324">
        <f t="shared" ca="1" si="5"/>
        <v>9.2501949731226407</v>
      </c>
      <c r="AG53" s="306">
        <f t="shared" ca="1" si="27"/>
        <v>80.49674509903015</v>
      </c>
      <c r="AH53" s="304">
        <f t="shared" ca="1" si="28"/>
        <v>90.265895379847208</v>
      </c>
    </row>
    <row r="54" spans="1:34" x14ac:dyDescent="0.2">
      <c r="A54" s="347">
        <f t="shared" ca="1" si="6"/>
        <v>0.01</v>
      </c>
      <c r="B54" s="304">
        <f t="shared" ca="1" si="7"/>
        <v>0.50000000000000022</v>
      </c>
      <c r="D54" s="306">
        <f t="shared" ca="1" si="8"/>
        <v>8.2287969475001148</v>
      </c>
      <c r="E54" s="307">
        <f t="shared" ca="1" si="9"/>
        <v>79.853915102421041</v>
      </c>
      <c r="F54" s="304">
        <f t="shared" ca="1" si="10"/>
        <v>80.276776569490224</v>
      </c>
      <c r="G54" s="306">
        <f t="shared" ca="1" si="11"/>
        <v>3.6848238428325795</v>
      </c>
      <c r="H54" s="307">
        <f t="shared" ca="1" si="12"/>
        <v>40.053058707530234</v>
      </c>
      <c r="I54" s="304">
        <f t="shared" ca="1" si="13"/>
        <v>40.222200817229918</v>
      </c>
      <c r="J54" s="306">
        <f t="shared" ca="1" si="14"/>
        <v>0.85832707130685426</v>
      </c>
      <c r="K54" s="307">
        <f t="shared" ca="1" si="15"/>
        <v>9.6467328644428214</v>
      </c>
      <c r="L54" s="304">
        <f t="shared" ca="1" si="0"/>
        <v>9.6848428133480517</v>
      </c>
      <c r="M54" s="306">
        <f t="shared" ca="1" si="16"/>
        <v>1.4790560042050349</v>
      </c>
      <c r="N54" s="304">
        <f t="shared" ca="1" si="17"/>
        <v>84.743666704432243</v>
      </c>
      <c r="P54" s="310">
        <f t="shared" ca="1" si="18"/>
        <v>2</v>
      </c>
      <c r="Q54" s="304">
        <f t="shared" ca="1" si="19"/>
        <v>799.05555555555554</v>
      </c>
      <c r="R54" s="306">
        <f t="shared" ca="1" si="20"/>
        <v>0.40100875396011837</v>
      </c>
      <c r="S54" s="307">
        <f t="shared" ca="1" si="21"/>
        <v>8.8098534471450716</v>
      </c>
      <c r="T54" s="304">
        <f t="shared" ca="1" si="1"/>
        <v>86.424662316493155</v>
      </c>
      <c r="U54" s="311">
        <f t="shared" ca="1" si="2"/>
        <v>0</v>
      </c>
      <c r="V54" s="306">
        <f t="shared" ca="1" si="3"/>
        <v>1.2238188449384735</v>
      </c>
      <c r="W54" s="304">
        <f t="shared" ca="1" si="4"/>
        <v>6.0488265134181916</v>
      </c>
      <c r="Y54" s="314" t="str">
        <f t="shared" ca="1" si="22"/>
        <v/>
      </c>
      <c r="Z54" s="315" t="str">
        <f t="shared" ca="1" si="23"/>
        <v/>
      </c>
      <c r="AA54" s="316" t="str">
        <f t="shared" ca="1" si="24"/>
        <v/>
      </c>
      <c r="AC54" s="310" t="e">
        <f t="shared" ca="1" si="25"/>
        <v>#N/A</v>
      </c>
      <c r="AD54" s="323" t="e">
        <f t="shared" ca="1" si="26"/>
        <v>#N/A</v>
      </c>
      <c r="AE54" s="324">
        <f t="shared" ca="1" si="5"/>
        <v>9.6467328644428214</v>
      </c>
      <c r="AG54" s="306">
        <f t="shared" ca="1" si="27"/>
        <v>80.271770159232474</v>
      </c>
      <c r="AH54" s="304">
        <f t="shared" ca="1" si="28"/>
        <v>90.040717293329891</v>
      </c>
    </row>
    <row r="55" spans="1:34" x14ac:dyDescent="0.2">
      <c r="A55" s="347">
        <f t="shared" ca="1" si="6"/>
        <v>0.01</v>
      </c>
      <c r="B55" s="304">
        <f t="shared" ca="1" si="7"/>
        <v>0.51000000000000023</v>
      </c>
      <c r="D55" s="306">
        <f t="shared" ca="1" si="8"/>
        <v>8.2329272218025586</v>
      </c>
      <c r="E55" s="307">
        <f t="shared" ca="1" si="9"/>
        <v>79.679737207137379</v>
      </c>
      <c r="F55" s="304">
        <f t="shared" ca="1" si="10"/>
        <v>80.103942549901817</v>
      </c>
      <c r="G55" s="306">
        <f t="shared" ca="1" si="11"/>
        <v>3.767153115050605</v>
      </c>
      <c r="H55" s="307">
        <f t="shared" ca="1" si="12"/>
        <v>40.849856079601608</v>
      </c>
      <c r="I55" s="304">
        <f t="shared" ca="1" si="13"/>
        <v>41.023190811008348</v>
      </c>
      <c r="J55" s="306">
        <f t="shared" ca="1" si="14"/>
        <v>0.89558695609627015</v>
      </c>
      <c r="K55" s="307">
        <f t="shared" ca="1" si="15"/>
        <v>10.05124743837848</v>
      </c>
      <c r="L55" s="304">
        <f t="shared" ca="1" si="0"/>
        <v>10.091067885186371</v>
      </c>
      <c r="M55" s="306">
        <f t="shared" ca="1" si="16"/>
        <v>1.4788369303883411</v>
      </c>
      <c r="N55" s="304">
        <f t="shared" ca="1" si="17"/>
        <v>84.731114699333858</v>
      </c>
      <c r="P55" s="310">
        <f t="shared" ca="1" si="18"/>
        <v>3</v>
      </c>
      <c r="Q55" s="304">
        <f t="shared" ca="1" si="19"/>
        <v>797.41</v>
      </c>
      <c r="R55" s="306">
        <f t="shared" ca="1" si="20"/>
        <v>0.40018292629604973</v>
      </c>
      <c r="S55" s="307">
        <f t="shared" ca="1" si="21"/>
        <v>8.8058516178821105</v>
      </c>
      <c r="T55" s="304">
        <f t="shared" ca="1" si="1"/>
        <v>86.385404371423505</v>
      </c>
      <c r="U55" s="311">
        <f t="shared" ca="1" si="2"/>
        <v>0</v>
      </c>
      <c r="V55" s="306">
        <f t="shared" ca="1" si="3"/>
        <v>1.2237693406718695</v>
      </c>
      <c r="W55" s="304">
        <f t="shared" ca="1" si="4"/>
        <v>6.2918849824449037</v>
      </c>
      <c r="Y55" s="314" t="str">
        <f t="shared" ca="1" si="22"/>
        <v/>
      </c>
      <c r="Z55" s="315" t="str">
        <f t="shared" ca="1" si="23"/>
        <v/>
      </c>
      <c r="AA55" s="316" t="str">
        <f t="shared" ca="1" si="24"/>
        <v/>
      </c>
      <c r="AC55" s="310" t="e">
        <f t="shared" ca="1" si="25"/>
        <v>#N/A</v>
      </c>
      <c r="AD55" s="323" t="e">
        <f t="shared" ca="1" si="26"/>
        <v>#N/A</v>
      </c>
      <c r="AE55" s="324">
        <f t="shared" ca="1" si="5"/>
        <v>10.05124743837848</v>
      </c>
      <c r="AG55" s="306">
        <f t="shared" ca="1" si="27"/>
        <v>80.098900935852342</v>
      </c>
      <c r="AH55" s="304">
        <f t="shared" ca="1" si="28"/>
        <v>89.867647994381201</v>
      </c>
    </row>
    <row r="56" spans="1:34" x14ac:dyDescent="0.2">
      <c r="A56" s="347">
        <f t="shared" ca="1" si="6"/>
        <v>0.01</v>
      </c>
      <c r="B56" s="304">
        <f t="shared" ca="1" si="7"/>
        <v>0.52000000000000024</v>
      </c>
      <c r="D56" s="306">
        <f t="shared" ca="1" si="8"/>
        <v>8.24143162307168</v>
      </c>
      <c r="E56" s="307">
        <f t="shared" ca="1" si="9"/>
        <v>79.557563624456733</v>
      </c>
      <c r="F56" s="304">
        <f t="shared" ca="1" si="10"/>
        <v>79.983292787039261</v>
      </c>
      <c r="G56" s="306">
        <f t="shared" ca="1" si="11"/>
        <v>3.8495674312813217</v>
      </c>
      <c r="H56" s="307">
        <f t="shared" ca="1" si="12"/>
        <v>41.645431715846172</v>
      </c>
      <c r="I56" s="304">
        <f t="shared" ca="1" si="13"/>
        <v>41.822973976119734</v>
      </c>
      <c r="J56" s="306">
        <f t="shared" ca="1" si="14"/>
        <v>0.93367055882792982</v>
      </c>
      <c r="K56" s="307">
        <f t="shared" ca="1" si="15"/>
        <v>10.463723877355719</v>
      </c>
      <c r="L56" s="304">
        <f t="shared" ca="1" si="0"/>
        <v>10.505296668536603</v>
      </c>
      <c r="M56" s="306">
        <f t="shared" ca="1" si="16"/>
        <v>1.478621534239372</v>
      </c>
      <c r="N56" s="304">
        <f t="shared" ca="1" si="17"/>
        <v>84.718773409074558</v>
      </c>
      <c r="P56" s="310">
        <f t="shared" ca="1" si="18"/>
        <v>3</v>
      </c>
      <c r="Q56" s="304">
        <f t="shared" ca="1" si="19"/>
        <v>796.23</v>
      </c>
      <c r="R56" s="306">
        <f t="shared" ca="1" si="20"/>
        <v>0.39959073927428013</v>
      </c>
      <c r="S56" s="307">
        <f t="shared" ca="1" si="21"/>
        <v>8.8018557104893684</v>
      </c>
      <c r="T56" s="304">
        <f t="shared" ca="1" si="1"/>
        <v>86.346204519900709</v>
      </c>
      <c r="U56" s="311">
        <f t="shared" ca="1" si="2"/>
        <v>0</v>
      </c>
      <c r="V56" s="306">
        <f t="shared" ca="1" si="3"/>
        <v>1.2237188640976409</v>
      </c>
      <c r="W56" s="304">
        <f t="shared" ca="1" si="4"/>
        <v>6.5393383795262805</v>
      </c>
      <c r="Y56" s="314" t="str">
        <f t="shared" ca="1" si="22"/>
        <v/>
      </c>
      <c r="Z56" s="315" t="str">
        <f t="shared" ca="1" si="23"/>
        <v/>
      </c>
      <c r="AA56" s="316" t="str">
        <f t="shared" ca="1" si="24"/>
        <v/>
      </c>
      <c r="AC56" s="310" t="e">
        <f t="shared" ca="1" si="25"/>
        <v>#N/A</v>
      </c>
      <c r="AD56" s="323" t="e">
        <f t="shared" ca="1" si="26"/>
        <v>#N/A</v>
      </c>
      <c r="AE56" s="324">
        <f t="shared" ca="1" si="5"/>
        <v>10.463723877355719</v>
      </c>
      <c r="AG56" s="306">
        <f t="shared" ca="1" si="27"/>
        <v>79.978219491247089</v>
      </c>
      <c r="AH56" s="304">
        <f t="shared" ca="1" si="28"/>
        <v>89.746769431378908</v>
      </c>
    </row>
    <row r="57" spans="1:34" x14ac:dyDescent="0.2">
      <c r="A57" s="347">
        <f t="shared" ca="1" si="6"/>
        <v>0.01</v>
      </c>
      <c r="B57" s="304">
        <f t="shared" ca="1" si="7"/>
        <v>0.53000000000000025</v>
      </c>
      <c r="D57" s="306">
        <f t="shared" ca="1" si="8"/>
        <v>8.2494930351039937</v>
      </c>
      <c r="E57" s="307">
        <f t="shared" ca="1" si="9"/>
        <v>79.434754122782167</v>
      </c>
      <c r="F57" s="304">
        <f t="shared" ca="1" si="10"/>
        <v>79.861970285506288</v>
      </c>
      <c r="G57" s="306">
        <f t="shared" ca="1" si="11"/>
        <v>3.9320623616323616</v>
      </c>
      <c r="H57" s="307">
        <f t="shared" ca="1" si="12"/>
        <v>42.439779257073994</v>
      </c>
      <c r="I57" s="304">
        <f t="shared" ca="1" si="13"/>
        <v>42.621543587778866</v>
      </c>
      <c r="J57" s="306">
        <f t="shared" ca="1" si="14"/>
        <v>0.97257870779249822</v>
      </c>
      <c r="K57" s="307">
        <f t="shared" ca="1" si="15"/>
        <v>10.884149932220319</v>
      </c>
      <c r="L57" s="304">
        <f t="shared" ca="1" si="0"/>
        <v>10.927517059693978</v>
      </c>
      <c r="M57" s="306">
        <f t="shared" ca="1" si="16"/>
        <v>1.4784096801477102</v>
      </c>
      <c r="N57" s="304">
        <f t="shared" ca="1" si="17"/>
        <v>84.706635063749772</v>
      </c>
      <c r="P57" s="310">
        <f t="shared" ca="1" si="18"/>
        <v>3</v>
      </c>
      <c r="Q57" s="304">
        <f t="shared" ca="1" si="19"/>
        <v>795.05</v>
      </c>
      <c r="R57" s="306">
        <f t="shared" ca="1" si="20"/>
        <v>0.39899855225251041</v>
      </c>
      <c r="S57" s="307">
        <f t="shared" ca="1" si="21"/>
        <v>8.7978657249668437</v>
      </c>
      <c r="T57" s="304">
        <f t="shared" ca="1" si="1"/>
        <v>86.30706276192474</v>
      </c>
      <c r="U57" s="311">
        <f t="shared" ca="1" si="2"/>
        <v>0</v>
      </c>
      <c r="V57" s="306">
        <f t="shared" ca="1" si="3"/>
        <v>1.2236674168350514</v>
      </c>
      <c r="W57" s="304">
        <f t="shared" ca="1" si="4"/>
        <v>6.7911617834020275</v>
      </c>
      <c r="Y57" s="314" t="str">
        <f t="shared" ca="1" si="22"/>
        <v/>
      </c>
      <c r="Z57" s="315" t="str">
        <f t="shared" ca="1" si="23"/>
        <v/>
      </c>
      <c r="AA57" s="316" t="str">
        <f t="shared" ca="1" si="24"/>
        <v/>
      </c>
      <c r="AC57" s="310" t="e">
        <f t="shared" ca="1" si="25"/>
        <v>#N/A</v>
      </c>
      <c r="AD57" s="323" t="e">
        <f t="shared" ca="1" si="26"/>
        <v>#N/A</v>
      </c>
      <c r="AE57" s="324">
        <f t="shared" ca="1" si="5"/>
        <v>10.884149932220319</v>
      </c>
      <c r="AG57" s="306">
        <f t="shared" ca="1" si="27"/>
        <v>79.856865518575432</v>
      </c>
      <c r="AH57" s="304">
        <f t="shared" ca="1" si="28"/>
        <v>89.625221192318818</v>
      </c>
    </row>
    <row r="58" spans="1:34" x14ac:dyDescent="0.2">
      <c r="A58" s="347">
        <f t="shared" ca="1" si="6"/>
        <v>0.01</v>
      </c>
      <c r="B58" s="304">
        <f t="shared" ca="1" si="7"/>
        <v>0.54000000000000026</v>
      </c>
      <c r="D58" s="306">
        <f t="shared" ca="1" si="8"/>
        <v>8.2571246683975907</v>
      </c>
      <c r="E58" s="307">
        <f t="shared" ca="1" si="9"/>
        <v>79.311309886716998</v>
      </c>
      <c r="F58" s="304">
        <f t="shared" ca="1" si="10"/>
        <v>79.739977324653864</v>
      </c>
      <c r="G58" s="306">
        <f t="shared" ca="1" si="11"/>
        <v>4.0146336083163376</v>
      </c>
      <c r="H58" s="307">
        <f t="shared" ca="1" si="12"/>
        <v>43.232892355941161</v>
      </c>
      <c r="I58" s="304">
        <f t="shared" ca="1" si="13"/>
        <v>43.418892943848981</v>
      </c>
      <c r="J58" s="306">
        <f t="shared" ca="1" si="14"/>
        <v>1.0123121876422416</v>
      </c>
      <c r="K58" s="307">
        <f t="shared" ca="1" si="15"/>
        <v>11.312513290285395</v>
      </c>
      <c r="L58" s="304">
        <f t="shared" ca="1" si="0"/>
        <v>11.357716888007586</v>
      </c>
      <c r="M58" s="306">
        <f t="shared" ca="1" si="16"/>
        <v>1.4782012399447297</v>
      </c>
      <c r="N58" s="304">
        <f t="shared" ca="1" si="17"/>
        <v>84.69469231983814</v>
      </c>
      <c r="P58" s="310">
        <f t="shared" ca="1" si="18"/>
        <v>3</v>
      </c>
      <c r="Q58" s="304">
        <f t="shared" ca="1" si="19"/>
        <v>793.87</v>
      </c>
      <c r="R58" s="306">
        <f t="shared" ca="1" si="20"/>
        <v>0.3984063652307408</v>
      </c>
      <c r="S58" s="307">
        <f t="shared" ca="1" si="21"/>
        <v>8.7938816613145363</v>
      </c>
      <c r="T58" s="304">
        <f t="shared" ca="1" si="1"/>
        <v>86.267979097495612</v>
      </c>
      <c r="U58" s="311">
        <f t="shared" ca="1" si="2"/>
        <v>0</v>
      </c>
      <c r="V58" s="306">
        <f t="shared" ca="1" si="3"/>
        <v>1.2236150005131952</v>
      </c>
      <c r="W58" s="304">
        <f t="shared" ca="1" si="4"/>
        <v>7.0473301368940433</v>
      </c>
      <c r="Y58" s="314" t="str">
        <f t="shared" ca="1" si="22"/>
        <v/>
      </c>
      <c r="Z58" s="315" t="str">
        <f t="shared" ca="1" si="23"/>
        <v/>
      </c>
      <c r="AA58" s="316" t="str">
        <f t="shared" ca="1" si="24"/>
        <v/>
      </c>
      <c r="AC58" s="310" t="e">
        <f t="shared" ca="1" si="25"/>
        <v>#N/A</v>
      </c>
      <c r="AD58" s="323" t="e">
        <f t="shared" ca="1" si="26"/>
        <v>#N/A</v>
      </c>
      <c r="AE58" s="324">
        <f t="shared" ca="1" si="5"/>
        <v>11.312513290285395</v>
      </c>
      <c r="AG58" s="306">
        <f t="shared" ca="1" si="27"/>
        <v>79.734841285288937</v>
      </c>
      <c r="AH58" s="304">
        <f t="shared" ca="1" si="28"/>
        <v>89.503005445145263</v>
      </c>
    </row>
    <row r="59" spans="1:34" x14ac:dyDescent="0.2">
      <c r="A59" s="347">
        <f t="shared" ca="1" si="6"/>
        <v>0.01</v>
      </c>
      <c r="B59" s="304">
        <f t="shared" ca="1" si="7"/>
        <v>0.55000000000000027</v>
      </c>
      <c r="D59" s="306">
        <f t="shared" ca="1" si="8"/>
        <v>8.2643390220722797</v>
      </c>
      <c r="E59" s="307">
        <f t="shared" ca="1" si="9"/>
        <v>79.187232174344288</v>
      </c>
      <c r="F59" s="304">
        <f t="shared" ca="1" si="10"/>
        <v>79.617316200090883</v>
      </c>
      <c r="G59" s="306">
        <f t="shared" ca="1" si="11"/>
        <v>4.0972769985370601</v>
      </c>
      <c r="H59" s="307">
        <f t="shared" ca="1" si="12"/>
        <v>44.024764677684601</v>
      </c>
      <c r="I59" s="304">
        <f t="shared" ca="1" si="13"/>
        <v>44.215015365011993</v>
      </c>
      <c r="J59" s="306">
        <f t="shared" ca="1" si="14"/>
        <v>1.0528717406765087</v>
      </c>
      <c r="K59" s="307">
        <f t="shared" ca="1" si="15"/>
        <v>11.748801575453523</v>
      </c>
      <c r="L59" s="304">
        <f t="shared" ca="1" si="0"/>
        <v>11.795883916082524</v>
      </c>
      <c r="M59" s="306">
        <f t="shared" ca="1" si="16"/>
        <v>1.4779960923638444</v>
      </c>
      <c r="N59" s="304">
        <f t="shared" ca="1" si="17"/>
        <v>84.68293822927609</v>
      </c>
      <c r="P59" s="310">
        <f t="shared" ca="1" si="18"/>
        <v>3</v>
      </c>
      <c r="Q59" s="304">
        <f t="shared" ca="1" si="19"/>
        <v>792.68999999999994</v>
      </c>
      <c r="R59" s="306">
        <f t="shared" ca="1" si="20"/>
        <v>0.39781417820897108</v>
      </c>
      <c r="S59" s="307">
        <f t="shared" ca="1" si="21"/>
        <v>8.7899035195324462</v>
      </c>
      <c r="T59" s="304">
        <f t="shared" ca="1" si="1"/>
        <v>86.228953526613296</v>
      </c>
      <c r="U59" s="311">
        <f t="shared" ca="1" si="2"/>
        <v>0</v>
      </c>
      <c r="V59" s="306">
        <f t="shared" ca="1" si="3"/>
        <v>1.2235616167709644</v>
      </c>
      <c r="W59" s="304">
        <f t="shared" ca="1" si="4"/>
        <v>7.3078182485316558</v>
      </c>
      <c r="Y59" s="314" t="str">
        <f t="shared" ca="1" si="22"/>
        <v/>
      </c>
      <c r="Z59" s="315" t="str">
        <f t="shared" ca="1" si="23"/>
        <v/>
      </c>
      <c r="AA59" s="316" t="str">
        <f t="shared" ca="1" si="24"/>
        <v/>
      </c>
      <c r="AC59" s="310" t="e">
        <f t="shared" ca="1" si="25"/>
        <v>#N/A</v>
      </c>
      <c r="AD59" s="323" t="e">
        <f t="shared" ca="1" si="26"/>
        <v>#N/A</v>
      </c>
      <c r="AE59" s="324">
        <f t="shared" ca="1" si="5"/>
        <v>11.748801575453523</v>
      </c>
      <c r="AG59" s="306">
        <f t="shared" ca="1" si="27"/>
        <v>79.612149075684215</v>
      </c>
      <c r="AH59" s="304">
        <f t="shared" ca="1" si="28"/>
        <v>89.380124379897168</v>
      </c>
    </row>
    <row r="60" spans="1:34" x14ac:dyDescent="0.2">
      <c r="A60" s="347">
        <f t="shared" ca="1" si="6"/>
        <v>0.01</v>
      </c>
      <c r="B60" s="304">
        <f t="shared" ca="1" si="7"/>
        <v>0.56000000000000028</v>
      </c>
      <c r="D60" s="306">
        <f t="shared" ca="1" si="8"/>
        <v>8.2711479355494237</v>
      </c>
      <c r="E60" s="307">
        <f t="shared" ca="1" si="9"/>
        <v>79.062522313452376</v>
      </c>
      <c r="F60" s="304">
        <f t="shared" ca="1" si="10"/>
        <v>79.493989223946343</v>
      </c>
      <c r="G60" s="306">
        <f t="shared" ca="1" si="11"/>
        <v>4.1799884778925547</v>
      </c>
      <c r="H60" s="307">
        <f t="shared" ca="1" si="12"/>
        <v>44.815389900819127</v>
      </c>
      <c r="I60" s="304">
        <f t="shared" ca="1" si="13"/>
        <v>45.009904194940866</v>
      </c>
      <c r="J60" s="306">
        <f t="shared" ca="1" si="14"/>
        <v>1.0942580680586567</v>
      </c>
      <c r="K60" s="307">
        <f t="shared" ca="1" si="15"/>
        <v>12.193002348346042</v>
      </c>
      <c r="L60" s="304">
        <f t="shared" ca="1" si="0"/>
        <v>12.242005839987316</v>
      </c>
      <c r="M60" s="306">
        <f t="shared" ca="1" si="16"/>
        <v>1.4777941225490727</v>
      </c>
      <c r="N60" s="304">
        <f t="shared" ca="1" si="17"/>
        <v>84.671366211300622</v>
      </c>
      <c r="P60" s="310">
        <f t="shared" ca="1" si="18"/>
        <v>3</v>
      </c>
      <c r="Q60" s="304">
        <f t="shared" ca="1" si="19"/>
        <v>791.51</v>
      </c>
      <c r="R60" s="306">
        <f t="shared" ca="1" si="20"/>
        <v>0.39722199118720147</v>
      </c>
      <c r="S60" s="307">
        <f t="shared" ca="1" si="21"/>
        <v>8.7859312996205734</v>
      </c>
      <c r="T60" s="304">
        <f t="shared" ca="1" si="1"/>
        <v>86.189986049277834</v>
      </c>
      <c r="U60" s="311">
        <f t="shared" ca="1" si="2"/>
        <v>0</v>
      </c>
      <c r="V60" s="306">
        <f t="shared" ca="1" si="3"/>
        <v>1.2235072672570195</v>
      </c>
      <c r="W60" s="304">
        <f t="shared" ca="1" si="4"/>
        <v>7.5726007941848001</v>
      </c>
      <c r="Y60" s="314" t="str">
        <f t="shared" ca="1" si="22"/>
        <v/>
      </c>
      <c r="Z60" s="315" t="str">
        <f t="shared" ca="1" si="23"/>
        <v/>
      </c>
      <c r="AA60" s="316" t="str">
        <f t="shared" ca="1" si="24"/>
        <v/>
      </c>
      <c r="AC60" s="310" t="e">
        <f t="shared" ca="1" si="25"/>
        <v>#N/A</v>
      </c>
      <c r="AD60" s="323" t="e">
        <f t="shared" ca="1" si="26"/>
        <v>#N/A</v>
      </c>
      <c r="AE60" s="324">
        <f t="shared" ca="1" si="5"/>
        <v>12.193002348346042</v>
      </c>
      <c r="AG60" s="306">
        <f t="shared" ca="1" si="27"/>
        <v>79.48879119112344</v>
      </c>
      <c r="AH60" s="304">
        <f t="shared" ca="1" si="28"/>
        <v>89.256580208558489</v>
      </c>
    </row>
    <row r="61" spans="1:34" x14ac:dyDescent="0.2">
      <c r="A61" s="347">
        <f t="shared" ca="1" si="6"/>
        <v>0.01</v>
      </c>
      <c r="B61" s="304">
        <f t="shared" ca="1" si="7"/>
        <v>0.57000000000000028</v>
      </c>
      <c r="D61" s="306">
        <f t="shared" ca="1" si="8"/>
        <v>8.2775626356117602</v>
      </c>
      <c r="E61" s="307">
        <f t="shared" ca="1" si="9"/>
        <v>78.937181698075634</v>
      </c>
      <c r="F61" s="304">
        <f t="shared" ca="1" si="10"/>
        <v>79.369998725094376</v>
      </c>
      <c r="G61" s="306">
        <f t="shared" ca="1" si="11"/>
        <v>4.2627641042486726</v>
      </c>
      <c r="H61" s="307">
        <f t="shared" ca="1" si="12"/>
        <v>45.604761717799882</v>
      </c>
      <c r="I61" s="304">
        <f t="shared" ca="1" si="13"/>
        <v>45.803552800473639</v>
      </c>
      <c r="J61" s="306">
        <f t="shared" ca="1" si="14"/>
        <v>1.1364718309693629</v>
      </c>
      <c r="K61" s="307">
        <f t="shared" ca="1" si="15"/>
        <v>12.645103106439137</v>
      </c>
      <c r="L61" s="304">
        <f t="shared" ca="1" si="0"/>
        <v>12.696070289466089</v>
      </c>
      <c r="M61" s="306">
        <f t="shared" ca="1" si="16"/>
        <v>1.4775952216068042</v>
      </c>
      <c r="N61" s="304">
        <f t="shared" ca="1" si="17"/>
        <v>84.659970026767468</v>
      </c>
      <c r="P61" s="310">
        <f t="shared" ca="1" si="18"/>
        <v>3</v>
      </c>
      <c r="Q61" s="304">
        <f t="shared" ca="1" si="19"/>
        <v>790.32999999999993</v>
      </c>
      <c r="R61" s="306">
        <f t="shared" ca="1" si="20"/>
        <v>0.39662980416543181</v>
      </c>
      <c r="S61" s="307">
        <f t="shared" ca="1" si="21"/>
        <v>8.7819650015789197</v>
      </c>
      <c r="T61" s="304">
        <f t="shared" ca="1" si="1"/>
        <v>86.1510766654892</v>
      </c>
      <c r="U61" s="311">
        <f t="shared" ca="1" si="2"/>
        <v>0</v>
      </c>
      <c r="V61" s="306">
        <f t="shared" ca="1" si="3"/>
        <v>1.2234519536297597</v>
      </c>
      <c r="W61" s="304">
        <f t="shared" ca="1" si="4"/>
        <v>7.841652318704984</v>
      </c>
      <c r="Y61" s="314" t="str">
        <f t="shared" ca="1" si="22"/>
        <v/>
      </c>
      <c r="Z61" s="315" t="str">
        <f t="shared" ca="1" si="23"/>
        <v/>
      </c>
      <c r="AA61" s="316" t="str">
        <f t="shared" ca="1" si="24"/>
        <v/>
      </c>
      <c r="AC61" s="310" t="e">
        <f t="shared" ca="1" si="25"/>
        <v>#N/A</v>
      </c>
      <c r="AD61" s="323" t="e">
        <f t="shared" ca="1" si="26"/>
        <v>#N/A</v>
      </c>
      <c r="AE61" s="324">
        <f t="shared" ca="1" si="5"/>
        <v>12.645103106439137</v>
      </c>
      <c r="AG61" s="306">
        <f t="shared" ca="1" si="27"/>
        <v>79.364769950220662</v>
      </c>
      <c r="AH61" s="304">
        <f t="shared" ca="1" si="28"/>
        <v>89.132375164906975</v>
      </c>
    </row>
    <row r="62" spans="1:34" x14ac:dyDescent="0.2">
      <c r="A62" s="347">
        <f t="shared" ca="1" si="6"/>
        <v>0.01</v>
      </c>
      <c r="B62" s="304">
        <f t="shared" ca="1" si="7"/>
        <v>0.58000000000000029</v>
      </c>
      <c r="D62" s="306">
        <f t="shared" ca="1" si="8"/>
        <v>8.2835937793316727</v>
      </c>
      <c r="E62" s="307">
        <f t="shared" ca="1" si="9"/>
        <v>78.811211785317312</v>
      </c>
      <c r="F62" s="304">
        <f t="shared" ca="1" si="10"/>
        <v>79.245347049344929</v>
      </c>
      <c r="G62" s="306">
        <f t="shared" ca="1" si="11"/>
        <v>4.3456000420419896</v>
      </c>
      <c r="H62" s="307">
        <f t="shared" ca="1" si="12"/>
        <v>46.392873835653056</v>
      </c>
      <c r="I62" s="304">
        <f t="shared" ca="1" si="13"/>
        <v>46.595954571788923</v>
      </c>
      <c r="J62" s="306">
        <f t="shared" ca="1" si="14"/>
        <v>1.1795136517008162</v>
      </c>
      <c r="K62" s="307">
        <f t="shared" ca="1" si="15"/>
        <v>13.105091284206402</v>
      </c>
      <c r="L62" s="304">
        <f t="shared" ca="1" si="0"/>
        <v>13.158064828155059</v>
      </c>
      <c r="M62" s="306">
        <f t="shared" ca="1" si="16"/>
        <v>1.4773992861962741</v>
      </c>
      <c r="N62" s="304">
        <f t="shared" ca="1" si="17"/>
        <v>84.648743754686933</v>
      </c>
      <c r="P62" s="310">
        <f t="shared" ca="1" si="18"/>
        <v>3</v>
      </c>
      <c r="Q62" s="304">
        <f t="shared" ca="1" si="19"/>
        <v>789.15</v>
      </c>
      <c r="R62" s="306">
        <f t="shared" ca="1" si="20"/>
        <v>0.39603761714366215</v>
      </c>
      <c r="S62" s="307">
        <f t="shared" ca="1" si="21"/>
        <v>8.7780046254074833</v>
      </c>
      <c r="T62" s="304">
        <f t="shared" ca="1" si="1"/>
        <v>86.112225375247419</v>
      </c>
      <c r="U62" s="311">
        <f t="shared" ca="1" si="2"/>
        <v>0</v>
      </c>
      <c r="V62" s="306">
        <f t="shared" ca="1" si="3"/>
        <v>1.2233956775572876</v>
      </c>
      <c r="W62" s="304">
        <f t="shared" ca="1" si="4"/>
        <v>8.1149472375738672</v>
      </c>
      <c r="Y62" s="314" t="str">
        <f t="shared" ca="1" si="22"/>
        <v/>
      </c>
      <c r="Z62" s="315" t="str">
        <f t="shared" ca="1" si="23"/>
        <v/>
      </c>
      <c r="AA62" s="316" t="str">
        <f t="shared" ca="1" si="24"/>
        <v/>
      </c>
      <c r="AC62" s="310" t="e">
        <f t="shared" ca="1" si="25"/>
        <v>#N/A</v>
      </c>
      <c r="AD62" s="323" t="e">
        <f t="shared" ca="1" si="26"/>
        <v>#N/A</v>
      </c>
      <c r="AE62" s="324">
        <f t="shared" ca="1" si="5"/>
        <v>13.105091284206402</v>
      </c>
      <c r="AG62" s="306">
        <f t="shared" ca="1" si="27"/>
        <v>79.240087688997761</v>
      </c>
      <c r="AH62" s="304">
        <f t="shared" ca="1" si="28"/>
        <v>89.007511504361503</v>
      </c>
    </row>
    <row r="63" spans="1:34" x14ac:dyDescent="0.2">
      <c r="A63" s="347">
        <f t="shared" ca="1" si="6"/>
        <v>0.01</v>
      </c>
      <c r="B63" s="304">
        <f t="shared" ca="1" si="7"/>
        <v>0.5900000000000003</v>
      </c>
      <c r="D63" s="306">
        <f t="shared" ca="1" si="8"/>
        <v>8.289251493297197</v>
      </c>
      <c r="E63" s="307">
        <f t="shared" ca="1" si="9"/>
        <v>78.684614092425932</v>
      </c>
      <c r="F63" s="304">
        <f t="shared" ca="1" si="10"/>
        <v>79.120036559604316</v>
      </c>
      <c r="G63" s="306">
        <f t="shared" ca="1" si="11"/>
        <v>4.4284925569749616</v>
      </c>
      <c r="H63" s="307">
        <f t="shared" ca="1" si="12"/>
        <v>47.179719976577317</v>
      </c>
      <c r="I63" s="304">
        <f t="shared" ca="1" si="13"/>
        <v>47.38710292258255</v>
      </c>
      <c r="J63" s="306">
        <f t="shared" ca="1" si="14"/>
        <v>1.223384114695901</v>
      </c>
      <c r="K63" s="307">
        <f t="shared" ca="1" si="15"/>
        <v>13.572954253267554</v>
      </c>
      <c r="L63" s="304">
        <f t="shared" ca="1" si="0"/>
        <v>13.627976953802939</v>
      </c>
      <c r="M63" s="306">
        <f t="shared" ca="1" si="16"/>
        <v>1.4772062181547858</v>
      </c>
      <c r="N63" s="304">
        <f t="shared" ca="1" si="17"/>
        <v>84.637681770750788</v>
      </c>
      <c r="P63" s="310">
        <f t="shared" ca="1" si="18"/>
        <v>3</v>
      </c>
      <c r="Q63" s="304">
        <f t="shared" ca="1" si="19"/>
        <v>787.96999999999991</v>
      </c>
      <c r="R63" s="306">
        <f t="shared" ca="1" si="20"/>
        <v>0.39544543012189248</v>
      </c>
      <c r="S63" s="307">
        <f t="shared" ca="1" si="21"/>
        <v>8.7740501711062642</v>
      </c>
      <c r="T63" s="304">
        <f t="shared" ca="1" si="1"/>
        <v>86.073432178552451</v>
      </c>
      <c r="U63" s="311">
        <f t="shared" ca="1" si="2"/>
        <v>0</v>
      </c>
      <c r="V63" s="306">
        <f t="shared" ca="1" si="3"/>
        <v>1.2233384407173813</v>
      </c>
      <c r="W63" s="304">
        <f t="shared" ca="1" si="4"/>
        <v>8.3924598385593772</v>
      </c>
      <c r="Y63" s="314" t="str">
        <f t="shared" ca="1" si="22"/>
        <v/>
      </c>
      <c r="Z63" s="315" t="str">
        <f t="shared" ca="1" si="23"/>
        <v/>
      </c>
      <c r="AA63" s="316" t="str">
        <f t="shared" ca="1" si="24"/>
        <v/>
      </c>
      <c r="AC63" s="310" t="e">
        <f t="shared" ca="1" si="25"/>
        <v>#N/A</v>
      </c>
      <c r="AD63" s="323" t="e">
        <f t="shared" ca="1" si="26"/>
        <v>#N/A</v>
      </c>
      <c r="AE63" s="324">
        <f t="shared" ca="1" si="5"/>
        <v>13.572954253267554</v>
      </c>
      <c r="AG63" s="306">
        <f t="shared" ca="1" si="27"/>
        <v>79.114746761012725</v>
      </c>
      <c r="AH63" s="304">
        <f t="shared" ca="1" si="28"/>
        <v>88.88199150382782</v>
      </c>
    </row>
    <row r="64" spans="1:34" x14ac:dyDescent="0.2">
      <c r="A64" s="347">
        <f t="shared" ca="1" si="6"/>
        <v>0.01</v>
      </c>
      <c r="B64" s="304">
        <f t="shared" ca="1" si="7"/>
        <v>0.60000000000000031</v>
      </c>
      <c r="D64" s="306">
        <f t="shared" ca="1" si="8"/>
        <v>8.2945454095139262</v>
      </c>
      <c r="E64" s="307">
        <f t="shared" ca="1" si="9"/>
        <v>78.557390194099597</v>
      </c>
      <c r="F64" s="304">
        <f t="shared" ca="1" si="10"/>
        <v>78.994069636008149</v>
      </c>
      <c r="G64" s="306">
        <f t="shared" ca="1" si="11"/>
        <v>4.5114380110701005</v>
      </c>
      <c r="H64" s="307">
        <f t="shared" ca="1" si="12"/>
        <v>47.96529387851831</v>
      </c>
      <c r="I64" s="304">
        <f t="shared" ca="1" si="13"/>
        <v>48.17699129024512</v>
      </c>
      <c r="J64" s="306">
        <f t="shared" ca="1" si="14"/>
        <v>1.2680837675361263</v>
      </c>
      <c r="K64" s="307">
        <f t="shared" ca="1" si="15"/>
        <v>14.048679322543032</v>
      </c>
      <c r="L64" s="304">
        <f t="shared" ca="1" si="0"/>
        <v>14.105794098495014</v>
      </c>
      <c r="M64" s="306">
        <f t="shared" ca="1" si="16"/>
        <v>1.4770159241541947</v>
      </c>
      <c r="N64" s="304">
        <f t="shared" ca="1" si="17"/>
        <v>84.626778727650262</v>
      </c>
      <c r="P64" s="310">
        <f t="shared" ca="1" si="18"/>
        <v>3</v>
      </c>
      <c r="Q64" s="304">
        <f t="shared" ca="1" si="19"/>
        <v>786.79</v>
      </c>
      <c r="R64" s="306">
        <f t="shared" ca="1" si="20"/>
        <v>0.39485324310012287</v>
      </c>
      <c r="S64" s="307">
        <f t="shared" ca="1" si="21"/>
        <v>8.7701016386752624</v>
      </c>
      <c r="T64" s="304">
        <f t="shared" ca="1" si="1"/>
        <v>86.034697075404324</v>
      </c>
      <c r="U64" s="311">
        <f t="shared" ca="1" si="2"/>
        <v>0</v>
      </c>
      <c r="V64" s="306">
        <f t="shared" ca="1" si="3"/>
        <v>1.2232802447974562</v>
      </c>
      <c r="W64" s="304">
        <f t="shared" ca="1" si="4"/>
        <v>8.6741642833790955</v>
      </c>
      <c r="Y64" s="314" t="str">
        <f t="shared" ca="1" si="22"/>
        <v/>
      </c>
      <c r="Z64" s="315" t="str">
        <f t="shared" ca="1" si="23"/>
        <v/>
      </c>
      <c r="AA64" s="316" t="str">
        <f t="shared" ca="1" si="24"/>
        <v/>
      </c>
      <c r="AC64" s="310" t="e">
        <f t="shared" ca="1" si="25"/>
        <v>#N/A</v>
      </c>
      <c r="AD64" s="323" t="e">
        <f t="shared" ca="1" si="26"/>
        <v>#N/A</v>
      </c>
      <c r="AE64" s="324">
        <f t="shared" ca="1" si="5"/>
        <v>14.048679322543032</v>
      </c>
      <c r="AG64" s="306">
        <f t="shared" ca="1" si="27"/>
        <v>78.988749537463207</v>
      </c>
      <c r="AH64" s="304">
        <f t="shared" ca="1" si="28"/>
        <v>88.755817461542989</v>
      </c>
    </row>
    <row r="65" spans="1:34" x14ac:dyDescent="0.2">
      <c r="A65" s="347">
        <f t="shared" ca="1" si="6"/>
        <v>0.01</v>
      </c>
      <c r="B65" s="304">
        <f t="shared" ca="1" si="7"/>
        <v>0.61000000000000032</v>
      </c>
      <c r="D65" s="306">
        <f t="shared" ca="1" si="8"/>
        <v>8.2994846983159825</v>
      </c>
      <c r="E65" s="307">
        <f t="shared" ca="1" si="9"/>
        <v>78.429541719995214</v>
      </c>
      <c r="F65" s="304">
        <f t="shared" ca="1" si="10"/>
        <v>78.867448676028886</v>
      </c>
      <c r="G65" s="306">
        <f t="shared" ca="1" si="11"/>
        <v>4.5944328580532598</v>
      </c>
      <c r="H65" s="307">
        <f t="shared" ca="1" si="12"/>
        <v>48.749589295718259</v>
      </c>
      <c r="I65" s="304">
        <f t="shared" ca="1" si="13"/>
        <v>48.965613136040353</v>
      </c>
      <c r="J65" s="306">
        <f t="shared" ca="1" si="14"/>
        <v>1.3136131218817431</v>
      </c>
      <c r="K65" s="307">
        <f t="shared" ca="1" si="15"/>
        <v>14.532253738414216</v>
      </c>
      <c r="L65" s="304">
        <f t="shared" ca="1" si="0"/>
        <v>14.591503628880536</v>
      </c>
      <c r="M65" s="306">
        <f t="shared" ca="1" si="16"/>
        <v>1.4768283153855617</v>
      </c>
      <c r="N65" s="304">
        <f t="shared" ca="1" si="17"/>
        <v>84.616029537007947</v>
      </c>
      <c r="P65" s="310">
        <f t="shared" ca="1" si="18"/>
        <v>3</v>
      </c>
      <c r="Q65" s="304">
        <f t="shared" ca="1" si="19"/>
        <v>785.61</v>
      </c>
      <c r="R65" s="306">
        <f t="shared" ca="1" si="20"/>
        <v>0.39426105607835321</v>
      </c>
      <c r="S65" s="307">
        <f t="shared" ca="1" si="21"/>
        <v>8.7661590281144797</v>
      </c>
      <c r="T65" s="304">
        <f t="shared" ca="1" si="1"/>
        <v>85.996020065803052</v>
      </c>
      <c r="U65" s="311">
        <f t="shared" ca="1" si="2"/>
        <v>0</v>
      </c>
      <c r="V65" s="306">
        <f t="shared" ca="1" si="3"/>
        <v>1.2232210914945334</v>
      </c>
      <c r="W65" s="304">
        <f t="shared" ca="1" si="4"/>
        <v>8.9600346093709113</v>
      </c>
      <c r="Y65" s="314" t="str">
        <f t="shared" ca="1" si="22"/>
        <v/>
      </c>
      <c r="Z65" s="315" t="str">
        <f t="shared" ca="1" si="23"/>
        <v/>
      </c>
      <c r="AA65" s="316" t="str">
        <f t="shared" ca="1" si="24"/>
        <v/>
      </c>
      <c r="AC65" s="310" t="e">
        <f t="shared" ca="1" si="25"/>
        <v>#N/A</v>
      </c>
      <c r="AD65" s="323" t="e">
        <f t="shared" ca="1" si="26"/>
        <v>#N/A</v>
      </c>
      <c r="AE65" s="324">
        <f t="shared" ca="1" si="5"/>
        <v>14.532253738414216</v>
      </c>
      <c r="AG65" s="306">
        <f t="shared" ca="1" si="27"/>
        <v>78.862098407267098</v>
      </c>
      <c r="AH65" s="304">
        <f t="shared" ca="1" si="28"/>
        <v>88.628991696917993</v>
      </c>
    </row>
    <row r="66" spans="1:34" x14ac:dyDescent="0.2">
      <c r="A66" s="347">
        <f t="shared" ca="1" si="6"/>
        <v>0.01</v>
      </c>
      <c r="B66" s="304">
        <f t="shared" ca="1" si="7"/>
        <v>0.62000000000000033</v>
      </c>
      <c r="D66" s="306">
        <f t="shared" ca="1" si="8"/>
        <v>8.3040780985814884</v>
      </c>
      <c r="E66" s="307">
        <f t="shared" ca="1" si="9"/>
        <v>78.301070352423508</v>
      </c>
      <c r="F66" s="304">
        <f t="shared" ca="1" si="10"/>
        <v>78.740176094561264</v>
      </c>
      <c r="G66" s="306">
        <f t="shared" ca="1" si="11"/>
        <v>4.677473639039075</v>
      </c>
      <c r="H66" s="307">
        <f t="shared" ca="1" si="12"/>
        <v>49.532599999242493</v>
      </c>
      <c r="I66" s="304">
        <f t="shared" ca="1" si="13"/>
        <v>49.75296194528385</v>
      </c>
      <c r="J66" s="306">
        <f t="shared" ca="1" si="14"/>
        <v>1.3599726543672048</v>
      </c>
      <c r="K66" s="307">
        <f t="shared" ca="1" si="15"/>
        <v>15.02366468488902</v>
      </c>
      <c r="L66" s="304">
        <f t="shared" ca="1" si="0"/>
        <v>15.085092846403303</v>
      </c>
      <c r="M66" s="306">
        <f t="shared" ca="1" si="16"/>
        <v>1.4766433072692404</v>
      </c>
      <c r="N66" s="304">
        <f t="shared" ca="1" si="17"/>
        <v>84.605429352767075</v>
      </c>
      <c r="P66" s="310">
        <f t="shared" ca="1" si="18"/>
        <v>3</v>
      </c>
      <c r="Q66" s="304">
        <f t="shared" ca="1" si="19"/>
        <v>784.43</v>
      </c>
      <c r="R66" s="306">
        <f t="shared" ca="1" si="20"/>
        <v>0.39366886905658355</v>
      </c>
      <c r="S66" s="307">
        <f t="shared" ca="1" si="21"/>
        <v>8.7622223394239143</v>
      </c>
      <c r="T66" s="304">
        <f t="shared" ca="1" si="1"/>
        <v>85.957401149748605</v>
      </c>
      <c r="U66" s="311">
        <f t="shared" ca="1" si="2"/>
        <v>0</v>
      </c>
      <c r="V66" s="306">
        <f t="shared" ca="1" si="3"/>
        <v>1.2231609825152032</v>
      </c>
      <c r="W66" s="304">
        <f t="shared" ca="1" si="4"/>
        <v>9.2500447311706058</v>
      </c>
      <c r="Y66" s="314" t="str">
        <f t="shared" ca="1" si="22"/>
        <v/>
      </c>
      <c r="Z66" s="315" t="str">
        <f t="shared" ca="1" si="23"/>
        <v/>
      </c>
      <c r="AA66" s="316" t="str">
        <f t="shared" ca="1" si="24"/>
        <v/>
      </c>
      <c r="AC66" s="310" t="e">
        <f t="shared" ca="1" si="25"/>
        <v>#N/A</v>
      </c>
      <c r="AD66" s="323" t="e">
        <f t="shared" ca="1" si="26"/>
        <v>#N/A</v>
      </c>
      <c r="AE66" s="324">
        <f t="shared" ca="1" si="5"/>
        <v>15.02366468488902</v>
      </c>
      <c r="AG66" s="306">
        <f t="shared" ca="1" si="27"/>
        <v>78.73479577712304</v>
      </c>
      <c r="AH66" s="304">
        <f t="shared" ca="1" si="28"/>
        <v>88.501516550379321</v>
      </c>
    </row>
    <row r="67" spans="1:34" x14ac:dyDescent="0.2">
      <c r="A67" s="347">
        <f t="shared" ca="1" si="6"/>
        <v>0.01</v>
      </c>
      <c r="B67" s="304">
        <f t="shared" ca="1" si="7"/>
        <v>0.63000000000000034</v>
      </c>
      <c r="D67" s="306">
        <f t="shared" ca="1" si="8"/>
        <v>8.3083339455139065</v>
      </c>
      <c r="E67" s="307">
        <f t="shared" ca="1" si="9"/>
        <v>78.171977824211197</v>
      </c>
      <c r="F67" s="304">
        <f t="shared" ca="1" si="10"/>
        <v>78.612254323986576</v>
      </c>
      <c r="G67" s="306">
        <f t="shared" ca="1" si="11"/>
        <v>4.7605569784942139</v>
      </c>
      <c r="H67" s="307">
        <f t="shared" ca="1" si="12"/>
        <v>50.314319777484606</v>
      </c>
      <c r="I67" s="304">
        <f t="shared" ca="1" si="13"/>
        <v>50.539031227522244</v>
      </c>
      <c r="J67" s="306">
        <f t="shared" ca="1" si="14"/>
        <v>1.4071628074548712</v>
      </c>
      <c r="K67" s="307">
        <f t="shared" ca="1" si="15"/>
        <v>15.522899283772656</v>
      </c>
      <c r="L67" s="304">
        <f t="shared" ca="1" si="0"/>
        <v>15.586548987535178</v>
      </c>
      <c r="M67" s="306">
        <f t="shared" ca="1" si="16"/>
        <v>1.4764608191879682</v>
      </c>
      <c r="N67" s="304">
        <f t="shared" ca="1" si="17"/>
        <v>84.594973555898733</v>
      </c>
      <c r="P67" s="310">
        <f t="shared" ca="1" si="18"/>
        <v>3</v>
      </c>
      <c r="Q67" s="304">
        <f t="shared" ca="1" si="19"/>
        <v>783.25</v>
      </c>
      <c r="R67" s="306">
        <f t="shared" ca="1" si="20"/>
        <v>0.39307668203481394</v>
      </c>
      <c r="S67" s="307">
        <f t="shared" ca="1" si="21"/>
        <v>8.7582915726035662</v>
      </c>
      <c r="T67" s="304">
        <f t="shared" ca="1" si="1"/>
        <v>85.918840327240986</v>
      </c>
      <c r="U67" s="311">
        <f t="shared" ca="1" si="2"/>
        <v>0</v>
      </c>
      <c r="V67" s="306">
        <f t="shared" ca="1" si="3"/>
        <v>1.2230999195755909</v>
      </c>
      <c r="W67" s="304">
        <f t="shared" ca="1" si="4"/>
        <v>9.5441684423963729</v>
      </c>
      <c r="Y67" s="314" t="str">
        <f t="shared" ca="1" si="22"/>
        <v/>
      </c>
      <c r="Z67" s="315" t="str">
        <f t="shared" ca="1" si="23"/>
        <v/>
      </c>
      <c r="AA67" s="316" t="str">
        <f t="shared" ca="1" si="24"/>
        <v/>
      </c>
      <c r="AC67" s="310" t="e">
        <f t="shared" ca="1" si="25"/>
        <v>#N/A</v>
      </c>
      <c r="AD67" s="323" t="e">
        <f t="shared" ca="1" si="26"/>
        <v>#N/A</v>
      </c>
      <c r="AE67" s="324">
        <f t="shared" ca="1" si="5"/>
        <v>15.522899283772656</v>
      </c>
      <c r="AG67" s="306">
        <f t="shared" ca="1" si="27"/>
        <v>78.60684407155189</v>
      </c>
      <c r="AH67" s="304">
        <f t="shared" ca="1" si="28"/>
        <v>88.373394383208847</v>
      </c>
    </row>
    <row r="68" spans="1:34" x14ac:dyDescent="0.2">
      <c r="A68" s="347">
        <f t="shared" ca="1" si="6"/>
        <v>0.01</v>
      </c>
      <c r="B68" s="304">
        <f t="shared" ca="1" si="7"/>
        <v>0.64000000000000035</v>
      </c>
      <c r="D68" s="306">
        <f t="shared" ca="1" si="8"/>
        <v>8.3122601962215228</v>
      </c>
      <c r="E68" s="307">
        <f t="shared" ca="1" si="9"/>
        <v>78.042265916714953</v>
      </c>
      <c r="F68" s="304">
        <f t="shared" ca="1" si="10"/>
        <v>78.483685814218333</v>
      </c>
      <c r="G68" s="306">
        <f t="shared" ca="1" si="11"/>
        <v>4.8436795804564294</v>
      </c>
      <c r="H68" s="307">
        <f t="shared" ca="1" si="12"/>
        <v>51.094742436651757</v>
      </c>
      <c r="I68" s="304">
        <f t="shared" ca="1" si="13"/>
        <v>51.323814516712538</v>
      </c>
      <c r="J68" s="306">
        <f t="shared" ca="1" si="14"/>
        <v>1.4551839902496244</v>
      </c>
      <c r="K68" s="307">
        <f t="shared" ca="1" si="15"/>
        <v>16.029944594843336</v>
      </c>
      <c r="L68" s="304">
        <f t="shared" ref="L68:L131" ca="1" si="29">SQRT(pos_x^2+pos_z^2)</f>
        <v>16.095859224012425</v>
      </c>
      <c r="M68" s="306">
        <f t="shared" ca="1" si="16"/>
        <v>1.4762807742407946</v>
      </c>
      <c r="N68" s="304">
        <f t="shared" ca="1" si="17"/>
        <v>84.58465774030303</v>
      </c>
      <c r="P68" s="310">
        <f t="shared" ca="1" si="18"/>
        <v>3</v>
      </c>
      <c r="Q68" s="304">
        <f t="shared" ca="1" si="19"/>
        <v>782.06999999999994</v>
      </c>
      <c r="R68" s="306">
        <f t="shared" ca="1" si="20"/>
        <v>0.39248449501304422</v>
      </c>
      <c r="S68" s="307">
        <f t="shared" ca="1" si="21"/>
        <v>8.7543667276534354</v>
      </c>
      <c r="T68" s="304">
        <f t="shared" ref="T68:T131" ca="1" si="30">m*g</f>
        <v>85.880337598280207</v>
      </c>
      <c r="U68" s="311">
        <f t="shared" ref="U68:U131" ca="1" si="31">IF(pos_xz&lt;L_rampe,Poids*COS(Beta),0)</f>
        <v>0</v>
      </c>
      <c r="V68" s="306">
        <f t="shared" ref="V68:V131" ca="1" si="32">Rho_moyen*(20000-Alt_rampe-pos_z)/(20000+Alt_rampe+pos_z)</f>
        <v>1.2230379044013184</v>
      </c>
      <c r="W68" s="304">
        <f t="shared" ref="W68:W131" ca="1" si="33">1/2*Rho*Sref*Cx*vit_xz^2</f>
        <v>9.8423794173399735</v>
      </c>
      <c r="Y68" s="314" t="str">
        <f t="shared" ca="1" si="22"/>
        <v/>
      </c>
      <c r="Z68" s="315" t="str">
        <f t="shared" ca="1" si="23"/>
        <v/>
      </c>
      <c r="AA68" s="316" t="str">
        <f t="shared" ca="1" si="24"/>
        <v/>
      </c>
      <c r="AC68" s="310" t="e">
        <f t="shared" ca="1" si="25"/>
        <v>#N/A</v>
      </c>
      <c r="AD68" s="323" t="e">
        <f t="shared" ca="1" si="26"/>
        <v>#N/A</v>
      </c>
      <c r="AE68" s="324">
        <f t="shared" ref="AE68:AE131" ca="1" si="34">IF(t&lt;T_para, pos_z, NA())</f>
        <v>16.029944594843336</v>
      </c>
      <c r="AG68" s="306">
        <f t="shared" ca="1" si="27"/>
        <v>78.478245732921138</v>
      </c>
      <c r="AH68" s="304">
        <f t="shared" ca="1" si="28"/>
        <v>88.244627577382204</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8.315864453302142</v>
      </c>
      <c r="E69" s="307">
        <f t="shared" ref="E69:E132" ca="1" si="38">IF(AND(L68&lt;L_rampe,Poussee&lt;Poids*SIN(M68)),0,(-W68+Poussee)/m*SIN(M68)+U68/m*COS(M68)-Poids/m)</f>
        <v>77.911936457973113</v>
      </c>
      <c r="F69" s="304">
        <f t="shared" ref="F69:F132" ca="1" si="39">SQRT(acc_x^2+acc_z^2)</f>
        <v>78.35447303273078</v>
      </c>
      <c r="G69" s="306">
        <f t="shared" ref="G69:G132" ca="1" si="40">G68+acc_x*pas</f>
        <v>4.9268382249894511</v>
      </c>
      <c r="H69" s="307">
        <f t="shared" ref="H69:H132" ca="1" si="41">H68+acc_z*pas</f>
        <v>51.873861801231484</v>
      </c>
      <c r="I69" s="304">
        <f t="shared" ref="I69:I132" ca="1" si="42">SQRT(vit_x^2+vit_z^2)</f>
        <v>52.107305371401431</v>
      </c>
      <c r="J69" s="306">
        <f t="shared" ref="J69:J132" ca="1" si="43">J68+0.5*(vit_x+G68)*pas*(K68&gt;=0)</f>
        <v>1.5040365792768537</v>
      </c>
      <c r="K69" s="307">
        <f t="shared" ref="K69:K132" ca="1" si="44">K68+0.5*(vit_z+H68)*pas</f>
        <v>16.544787616032753</v>
      </c>
      <c r="L69" s="304">
        <f t="shared" ca="1" si="29"/>
        <v>16.613010663074697</v>
      </c>
      <c r="M69" s="306">
        <f t="shared" ref="M69:M132" ca="1" si="45">IF(AND(L68&gt;L_rampe,G69&gt;0),ATAN2(G69,H69),$M$4)</f>
        <v>1.4761030990159221</v>
      </c>
      <c r="N69" s="304">
        <f t="shared" ref="N69:N132" ca="1" si="46">DEGREES(Beta)</f>
        <v>84.574477699793789</v>
      </c>
      <c r="P69" s="310">
        <f t="shared" ref="P69:P132" ca="1" si="47">MATCH(t-pas/2-T_ini,CdP_t)</f>
        <v>3</v>
      </c>
      <c r="Q69" s="304">
        <f t="shared" ref="Q69:Q132" ca="1" si="48">(INDEX(CdP,2,i_P+1)-INDEX(CdP,2,i_P+0))/(INDEX(CdP,1,i_P+1)-INDEX(CdP,1,i_P+0))*(t-pas/2-T_ini-INDEX(CdP,1,i_P+0))+INDEX(CdP,2,i_P+0)</f>
        <v>780.89</v>
      </c>
      <c r="R69" s="306">
        <f t="shared" ref="R69:R132" ca="1" si="49">Poussee/(g*ISP)</f>
        <v>0.39189230799127461</v>
      </c>
      <c r="S69" s="307">
        <f t="shared" ref="S69:S132" ca="1" si="50">S68-Débit*pas</f>
        <v>8.7504478045735219</v>
      </c>
      <c r="T69" s="304">
        <f t="shared" ca="1" si="30"/>
        <v>85.841892962866254</v>
      </c>
      <c r="U69" s="311">
        <f t="shared" ca="1" si="31"/>
        <v>0</v>
      </c>
      <c r="V69" s="306">
        <f t="shared" ca="1" si="32"/>
        <v>1.2229749387274693</v>
      </c>
      <c r="W69" s="304">
        <f t="shared" ca="1" si="33"/>
        <v>10.144651212664458</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16.544787616032753</v>
      </c>
      <c r="AG69" s="306">
        <f t="shared" ref="AG69:AG132" ca="1" si="56">IF(AND(L68&lt;L_rampe,Poussee&lt;Poids*SIN(M68)),0,(-W68+Poussee)/m-Poids*SIN(M68)/m)</f>
        <v>78.349003221453984</v>
      </c>
      <c r="AH69" s="304">
        <f t="shared" ref="AH69:AH132" ca="1" si="57">IF(AND(L68&lt;L_rampe,Poussee&lt;Poids*SIN(M68)), g*SIN(M68), (-W68+Poussee)/m)</f>
        <v>88.115218535406058</v>
      </c>
    </row>
    <row r="70" spans="1:34" x14ac:dyDescent="0.2">
      <c r="A70" s="347">
        <f t="shared" ca="1" si="35"/>
        <v>0.01</v>
      </c>
      <c r="B70" s="304">
        <f t="shared" ca="1" si="36"/>
        <v>0.66000000000000036</v>
      </c>
      <c r="D70" s="306">
        <f t="shared" ca="1" si="37"/>
        <v>8.3191539866170121</v>
      </c>
      <c r="E70" s="307">
        <f t="shared" ca="1" si="38"/>
        <v>77.780991320982181</v>
      </c>
      <c r="F70" s="304">
        <f t="shared" ca="1" si="39"/>
        <v>78.224618464571307</v>
      </c>
      <c r="G70" s="306">
        <f t="shared" ca="1" si="40"/>
        <v>5.0100297648556209</v>
      </c>
      <c r="H70" s="307">
        <f t="shared" ca="1" si="41"/>
        <v>52.651671714441306</v>
      </c>
      <c r="I70" s="304">
        <f t="shared" ca="1" si="42"/>
        <v>52.889497374904572</v>
      </c>
      <c r="J70" s="306">
        <f t="shared" ca="1" si="43"/>
        <v>1.553720919226079</v>
      </c>
      <c r="K70" s="307">
        <f t="shared" ca="1" si="44"/>
        <v>17.067415283611115</v>
      </c>
      <c r="L70" s="304">
        <f t="shared" ca="1" si="29"/>
        <v>17.137990347706555</v>
      </c>
      <c r="M70" s="306">
        <f t="shared" ca="1" si="45"/>
        <v>1.4759277233807324</v>
      </c>
      <c r="N70" s="304">
        <f t="shared" ca="1" si="46"/>
        <v>84.564429416068009</v>
      </c>
      <c r="P70" s="310">
        <f t="shared" ca="1" si="47"/>
        <v>3</v>
      </c>
      <c r="Q70" s="304">
        <f t="shared" ca="1" si="48"/>
        <v>779.70999999999992</v>
      </c>
      <c r="R70" s="306">
        <f t="shared" ca="1" si="49"/>
        <v>0.39130012096950489</v>
      </c>
      <c r="S70" s="307">
        <f t="shared" ca="1" si="50"/>
        <v>8.7465348033638275</v>
      </c>
      <c r="T70" s="304">
        <f t="shared" ca="1" si="30"/>
        <v>85.803506420999156</v>
      </c>
      <c r="U70" s="311">
        <f t="shared" ca="1" si="31"/>
        <v>0</v>
      </c>
      <c r="V70" s="306">
        <f t="shared" ca="1" si="32"/>
        <v>1.2229110242985484</v>
      </c>
      <c r="W70" s="304">
        <f t="shared" ca="1" si="33"/>
        <v>10.450957269108196</v>
      </c>
      <c r="Y70" s="314" t="str">
        <f t="shared" ca="1" si="51"/>
        <v/>
      </c>
      <c r="Z70" s="315" t="str">
        <f t="shared" ca="1" si="52"/>
        <v/>
      </c>
      <c r="AA70" s="316" t="str">
        <f t="shared" ca="1" si="53"/>
        <v/>
      </c>
      <c r="AC70" s="310" t="e">
        <f t="shared" ca="1" si="54"/>
        <v>#N/A</v>
      </c>
      <c r="AD70" s="323" t="e">
        <f t="shared" ca="1" si="55"/>
        <v>#N/A</v>
      </c>
      <c r="AE70" s="324">
        <f t="shared" ca="1" si="34"/>
        <v>17.067415283611115</v>
      </c>
      <c r="AG70" s="306">
        <f t="shared" ca="1" si="56"/>
        <v>78.219119015223711</v>
      </c>
      <c r="AH70" s="304">
        <f t="shared" ca="1" si="57"/>
        <v>87.985169680153618</v>
      </c>
    </row>
    <row r="71" spans="1:34" x14ac:dyDescent="0.2">
      <c r="A71" s="347">
        <f t="shared" ca="1" si="35"/>
        <v>0.01</v>
      </c>
      <c r="B71" s="304">
        <f t="shared" ca="1" si="36"/>
        <v>0.67000000000000037</v>
      </c>
      <c r="D71" s="306">
        <f t="shared" ca="1" si="37"/>
        <v>8.3221357534190918</v>
      </c>
      <c r="E71" s="307">
        <f t="shared" ca="1" si="38"/>
        <v>77.649432422087429</v>
      </c>
      <c r="F71" s="304">
        <f t="shared" ca="1" si="39"/>
        <v>78.094124612359025</v>
      </c>
      <c r="G71" s="306">
        <f t="shared" ca="1" si="40"/>
        <v>5.0932511223898116</v>
      </c>
      <c r="H71" s="307">
        <f t="shared" ca="1" si="41"/>
        <v>53.428166038662184</v>
      </c>
      <c r="I71" s="304">
        <f t="shared" ca="1" si="42"/>
        <v>53.670384135485563</v>
      </c>
      <c r="J71" s="306">
        <f t="shared" ca="1" si="43"/>
        <v>1.6042373236623062</v>
      </c>
      <c r="K71" s="307">
        <f t="shared" ca="1" si="44"/>
        <v>17.597814472376633</v>
      </c>
      <c r="L71" s="304">
        <f t="shared" ca="1" si="29"/>
        <v>17.670785256881473</v>
      </c>
      <c r="M71" s="306">
        <f t="shared" ca="1" si="45"/>
        <v>1.4757545802874563</v>
      </c>
      <c r="N71" s="304">
        <f t="shared" ca="1" si="46"/>
        <v>84.554509047571443</v>
      </c>
      <c r="P71" s="310">
        <f t="shared" ca="1" si="47"/>
        <v>3</v>
      </c>
      <c r="Q71" s="304">
        <f t="shared" ca="1" si="48"/>
        <v>778.53</v>
      </c>
      <c r="R71" s="306">
        <f t="shared" ca="1" si="49"/>
        <v>0.39070793394773529</v>
      </c>
      <c r="S71" s="307">
        <f t="shared" ca="1" si="50"/>
        <v>8.7426277240243504</v>
      </c>
      <c r="T71" s="304">
        <f t="shared" ca="1" si="30"/>
        <v>85.765177972678885</v>
      </c>
      <c r="U71" s="311">
        <f t="shared" ca="1" si="31"/>
        <v>0</v>
      </c>
      <c r="V71" s="306">
        <f t="shared" ca="1" si="32"/>
        <v>1.2228461628684459</v>
      </c>
      <c r="W71" s="304">
        <f t="shared" ca="1" si="33"/>
        <v>10.761270913195139</v>
      </c>
      <c r="Y71" s="314" t="str">
        <f t="shared" ca="1" si="51"/>
        <v/>
      </c>
      <c r="Z71" s="315" t="str">
        <f t="shared" ca="1" si="52"/>
        <v/>
      </c>
      <c r="AA71" s="316" t="str">
        <f t="shared" ca="1" si="53"/>
        <v/>
      </c>
      <c r="AC71" s="310" t="e">
        <f t="shared" ca="1" si="54"/>
        <v>#N/A</v>
      </c>
      <c r="AD71" s="323" t="e">
        <f t="shared" ca="1" si="55"/>
        <v>#N/A</v>
      </c>
      <c r="AE71" s="324">
        <f t="shared" ca="1" si="34"/>
        <v>17.597814472376633</v>
      </c>
      <c r="AG71" s="306">
        <f t="shared" ca="1" si="56"/>
        <v>78.0885956101354</v>
      </c>
      <c r="AH71" s="304">
        <f t="shared" ca="1" si="57"/>
        <v>87.854483454699192</v>
      </c>
    </row>
    <row r="72" spans="1:34" x14ac:dyDescent="0.2">
      <c r="A72" s="347">
        <f t="shared" ca="1" si="35"/>
        <v>0.01</v>
      </c>
      <c r="B72" s="304">
        <f t="shared" ca="1" si="36"/>
        <v>0.68000000000000038</v>
      </c>
      <c r="D72" s="306">
        <f t="shared" ca="1" si="37"/>
        <v>8.3248164169830901</v>
      </c>
      <c r="E72" s="307">
        <f t="shared" ca="1" si="38"/>
        <v>77.517261719476622</v>
      </c>
      <c r="F72" s="304">
        <f t="shared" ca="1" si="39"/>
        <v>77.962993996269191</v>
      </c>
      <c r="G72" s="306">
        <f t="shared" ca="1" si="40"/>
        <v>5.1764992865596424</v>
      </c>
      <c r="H72" s="307">
        <f t="shared" ca="1" si="41"/>
        <v>54.203338655856953</v>
      </c>
      <c r="I72" s="304">
        <f t="shared" ca="1" si="42"/>
        <v>54.449959286534543</v>
      </c>
      <c r="J72" s="306">
        <f t="shared" ca="1" si="43"/>
        <v>1.6555860757070535</v>
      </c>
      <c r="K72" s="307">
        <f t="shared" ca="1" si="44"/>
        <v>18.135971995849228</v>
      </c>
      <c r="L72" s="304">
        <f t="shared" ca="1" si="29"/>
        <v>18.211382305808161</v>
      </c>
      <c r="M72" s="306">
        <f t="shared" ca="1" si="45"/>
        <v>1.4755836055931064</v>
      </c>
      <c r="N72" s="304">
        <f t="shared" ca="1" si="46"/>
        <v>84.544712919181649</v>
      </c>
      <c r="P72" s="310">
        <f t="shared" ca="1" si="47"/>
        <v>3</v>
      </c>
      <c r="Q72" s="304">
        <f t="shared" ca="1" si="48"/>
        <v>777.34999999999991</v>
      </c>
      <c r="R72" s="306">
        <f t="shared" ca="1" si="49"/>
        <v>0.39011574692596562</v>
      </c>
      <c r="S72" s="307">
        <f t="shared" ca="1" si="50"/>
        <v>8.7387265665550906</v>
      </c>
      <c r="T72" s="304">
        <f t="shared" ca="1" si="30"/>
        <v>85.726907617905439</v>
      </c>
      <c r="U72" s="311">
        <f t="shared" ca="1" si="31"/>
        <v>0</v>
      </c>
      <c r="V72" s="306">
        <f t="shared" ca="1" si="32"/>
        <v>1.222780356200398</v>
      </c>
      <c r="W72" s="304">
        <f t="shared" ca="1" si="33"/>
        <v>11.075565358951026</v>
      </c>
      <c r="Y72" s="314" t="str">
        <f t="shared" ca="1" si="51"/>
        <v/>
      </c>
      <c r="Z72" s="315" t="str">
        <f t="shared" ca="1" si="52"/>
        <v/>
      </c>
      <c r="AA72" s="316" t="str">
        <f t="shared" ca="1" si="53"/>
        <v/>
      </c>
      <c r="AC72" s="310" t="e">
        <f t="shared" ca="1" si="54"/>
        <v>#N/A</v>
      </c>
      <c r="AD72" s="323" t="e">
        <f t="shared" ca="1" si="55"/>
        <v>#N/A</v>
      </c>
      <c r="AE72" s="324">
        <f t="shared" ca="1" si="34"/>
        <v>18.135971995849228</v>
      </c>
      <c r="AG72" s="306">
        <f t="shared" ca="1" si="56"/>
        <v>77.957435519895114</v>
      </c>
      <c r="AH72" s="304">
        <f t="shared" ca="1" si="57"/>
        <v>87.723162322150912</v>
      </c>
    </row>
    <row r="73" spans="1:34" x14ac:dyDescent="0.2">
      <c r="A73" s="347">
        <f t="shared" ca="1" si="35"/>
        <v>0.01</v>
      </c>
      <c r="B73" s="304">
        <f t="shared" ca="1" si="36"/>
        <v>0.69000000000000039</v>
      </c>
      <c r="D73" s="306">
        <f t="shared" ca="1" si="37"/>
        <v>8.3272023638692882</v>
      </c>
      <c r="E73" s="307">
        <f t="shared" ca="1" si="38"/>
        <v>77.384481211768858</v>
      </c>
      <c r="F73" s="304">
        <f t="shared" ca="1" si="39"/>
        <v>77.83122915400628</v>
      </c>
      <c r="G73" s="306">
        <f t="shared" ca="1" si="40"/>
        <v>5.2597713101983352</v>
      </c>
      <c r="H73" s="307">
        <f t="shared" ca="1" si="41"/>
        <v>54.977183467974641</v>
      </c>
      <c r="I73" s="304">
        <f t="shared" ca="1" si="42"/>
        <v>55.228216486746426</v>
      </c>
      <c r="J73" s="306">
        <f t="shared" ca="1" si="43"/>
        <v>1.7077674286908433</v>
      </c>
      <c r="K73" s="307">
        <f t="shared" ca="1" si="44"/>
        <v>18.681874606468387</v>
      </c>
      <c r="L73" s="304">
        <f t="shared" ca="1" si="29"/>
        <v>18.759768346179165</v>
      </c>
      <c r="M73" s="306">
        <f t="shared" ca="1" si="45"/>
        <v>1.4754147378924267</v>
      </c>
      <c r="N73" s="304">
        <f t="shared" ca="1" si="46"/>
        <v>84.535037512636634</v>
      </c>
      <c r="P73" s="310">
        <f t="shared" ca="1" si="47"/>
        <v>3</v>
      </c>
      <c r="Q73" s="304">
        <f t="shared" ca="1" si="48"/>
        <v>776.17</v>
      </c>
      <c r="R73" s="306">
        <f t="shared" ca="1" si="49"/>
        <v>0.38952355990419596</v>
      </c>
      <c r="S73" s="307">
        <f t="shared" ca="1" si="50"/>
        <v>8.7348313309560481</v>
      </c>
      <c r="T73" s="304">
        <f t="shared" ca="1" si="30"/>
        <v>85.688695356678835</v>
      </c>
      <c r="U73" s="311">
        <f t="shared" ca="1" si="31"/>
        <v>0</v>
      </c>
      <c r="V73" s="306">
        <f t="shared" ca="1" si="32"/>
        <v>1.2227136060669457</v>
      </c>
      <c r="W73" s="304">
        <f t="shared" ca="1" si="33"/>
        <v>11.393813709625448</v>
      </c>
      <c r="Y73" s="314" t="str">
        <f t="shared" ca="1" si="51"/>
        <v/>
      </c>
      <c r="Z73" s="315" t="str">
        <f t="shared" ca="1" si="52"/>
        <v/>
      </c>
      <c r="AA73" s="316" t="str">
        <f t="shared" ca="1" si="53"/>
        <v/>
      </c>
      <c r="AC73" s="310" t="e">
        <f t="shared" ca="1" si="54"/>
        <v>#N/A</v>
      </c>
      <c r="AD73" s="323" t="e">
        <f t="shared" ca="1" si="55"/>
        <v>#N/A</v>
      </c>
      <c r="AE73" s="324">
        <f t="shared" ca="1" si="34"/>
        <v>18.681874606468387</v>
      </c>
      <c r="AG73" s="306">
        <f t="shared" ca="1" si="56"/>
        <v>77.82564127596828</v>
      </c>
      <c r="AH73" s="304">
        <f t="shared" ca="1" si="57"/>
        <v>87.591208765482534</v>
      </c>
    </row>
    <row r="74" spans="1:34" x14ac:dyDescent="0.2">
      <c r="A74" s="347">
        <f t="shared" ca="1" si="35"/>
        <v>0.01</v>
      </c>
      <c r="B74" s="304">
        <f t="shared" ca="1" si="36"/>
        <v>0.7000000000000004</v>
      </c>
      <c r="D74" s="306">
        <f t="shared" ca="1" si="37"/>
        <v>8.3292997199403533</v>
      </c>
      <c r="E74" s="307">
        <f t="shared" ca="1" si="38"/>
        <v>77.251092936689474</v>
      </c>
      <c r="F74" s="304">
        <f t="shared" ca="1" si="39"/>
        <v>77.698832640765161</v>
      </c>
      <c r="G74" s="306">
        <f t="shared" ca="1" si="40"/>
        <v>5.3430643073977384</v>
      </c>
      <c r="H74" s="307">
        <f t="shared" ca="1" si="41"/>
        <v>55.749694397341536</v>
      </c>
      <c r="I74" s="304">
        <f t="shared" ca="1" si="42"/>
        <v>56.005149420298508</v>
      </c>
      <c r="J74" s="306">
        <f t="shared" ca="1" si="43"/>
        <v>1.7607816067788238</v>
      </c>
      <c r="K74" s="307">
        <f t="shared" ca="1" si="44"/>
        <v>19.235508995794969</v>
      </c>
      <c r="L74" s="304">
        <f t="shared" ca="1" si="29"/>
        <v>19.315930166421701</v>
      </c>
      <c r="M74" s="306">
        <f t="shared" ca="1" si="45"/>
        <v>1.4752479183627463</v>
      </c>
      <c r="N74" s="304">
        <f t="shared" ca="1" si="46"/>
        <v>84.525479457645588</v>
      </c>
      <c r="P74" s="310">
        <f t="shared" ca="1" si="47"/>
        <v>3</v>
      </c>
      <c r="Q74" s="304">
        <f t="shared" ca="1" si="48"/>
        <v>774.99</v>
      </c>
      <c r="R74" s="306">
        <f t="shared" ca="1" si="49"/>
        <v>0.38893137288242635</v>
      </c>
      <c r="S74" s="307">
        <f t="shared" ca="1" si="50"/>
        <v>8.7309420172272247</v>
      </c>
      <c r="T74" s="304">
        <f t="shared" ca="1" si="30"/>
        <v>85.650541188999085</v>
      </c>
      <c r="U74" s="311">
        <f t="shared" ca="1" si="31"/>
        <v>0</v>
      </c>
      <c r="V74" s="306">
        <f t="shared" ca="1" si="32"/>
        <v>1.2226459142498962</v>
      </c>
      <c r="W74" s="304">
        <f t="shared" ca="1" si="33"/>
        <v>11.715988959419565</v>
      </c>
      <c r="Y74" s="314" t="str">
        <f t="shared" ca="1" si="51"/>
        <v/>
      </c>
      <c r="Z74" s="315" t="str">
        <f t="shared" ca="1" si="52"/>
        <v/>
      </c>
      <c r="AA74" s="316" t="str">
        <f t="shared" ca="1" si="53"/>
        <v/>
      </c>
      <c r="AC74" s="310" t="e">
        <f t="shared" ca="1" si="54"/>
        <v>#N/A</v>
      </c>
      <c r="AD74" s="323" t="e">
        <f t="shared" ca="1" si="55"/>
        <v>#N/A</v>
      </c>
      <c r="AE74" s="324">
        <f t="shared" ca="1" si="34"/>
        <v>19.235508995794969</v>
      </c>
      <c r="AG74" s="306">
        <f t="shared" ca="1" si="56"/>
        <v>77.693215427527619</v>
      </c>
      <c r="AH74" s="304">
        <f t="shared" ca="1" si="57"/>
        <v>87.458625287363631</v>
      </c>
    </row>
    <row r="75" spans="1:34" x14ac:dyDescent="0.2">
      <c r="A75" s="347">
        <f t="shared" ca="1" si="35"/>
        <v>0.01</v>
      </c>
      <c r="B75" s="304">
        <f t="shared" ca="1" si="36"/>
        <v>0.71000000000000041</v>
      </c>
      <c r="D75" s="306">
        <f t="shared" ca="1" si="37"/>
        <v>8.3311143652375854</v>
      </c>
      <c r="E75" s="307">
        <f t="shared" ca="1" si="38"/>
        <v>77.117098969824042</v>
      </c>
      <c r="F75" s="304">
        <f t="shared" ca="1" si="39"/>
        <v>77.565807029182025</v>
      </c>
      <c r="G75" s="306">
        <f t="shared" ca="1" si="40"/>
        <v>5.4263754510501139</v>
      </c>
      <c r="H75" s="307">
        <f t="shared" ca="1" si="41"/>
        <v>56.520865387039777</v>
      </c>
      <c r="I75" s="304">
        <f t="shared" ca="1" si="42"/>
        <v>56.780751797027399</v>
      </c>
      <c r="J75" s="306">
        <f t="shared" ca="1" si="43"/>
        <v>1.8146288055710631</v>
      </c>
      <c r="K75" s="307">
        <f t="shared" ca="1" si="44"/>
        <v>19.796861794716875</v>
      </c>
      <c r="L75" s="304">
        <f t="shared" ca="1" si="29"/>
        <v>19.87985449195061</v>
      </c>
      <c r="M75" s="306">
        <f t="shared" ca="1" si="45"/>
        <v>1.475083090619725</v>
      </c>
      <c r="N75" s="304">
        <f t="shared" ca="1" si="46"/>
        <v>84.516035523623799</v>
      </c>
      <c r="P75" s="310">
        <f t="shared" ca="1" si="47"/>
        <v>3</v>
      </c>
      <c r="Q75" s="304">
        <f t="shared" ca="1" si="48"/>
        <v>773.81</v>
      </c>
      <c r="R75" s="306">
        <f t="shared" ca="1" si="49"/>
        <v>0.38833918586065669</v>
      </c>
      <c r="S75" s="307">
        <f t="shared" ca="1" si="50"/>
        <v>8.7270586253686186</v>
      </c>
      <c r="T75" s="304">
        <f t="shared" ca="1" si="30"/>
        <v>85.612445114866148</v>
      </c>
      <c r="U75" s="311">
        <f t="shared" ca="1" si="31"/>
        <v>0</v>
      </c>
      <c r="V75" s="306">
        <f t="shared" ca="1" si="32"/>
        <v>1.2225772825402834</v>
      </c>
      <c r="W75" s="304">
        <f t="shared" ca="1" si="33"/>
        <v>12.042063995219271</v>
      </c>
      <c r="Y75" s="314" t="str">
        <f t="shared" ca="1" si="51"/>
        <v/>
      </c>
      <c r="Z75" s="315" t="str">
        <f t="shared" ca="1" si="52"/>
        <v/>
      </c>
      <c r="AA75" s="316" t="str">
        <f t="shared" ca="1" si="53"/>
        <v/>
      </c>
      <c r="AC75" s="310" t="e">
        <f t="shared" ca="1" si="54"/>
        <v>#N/A</v>
      </c>
      <c r="AD75" s="323" t="e">
        <f t="shared" ca="1" si="55"/>
        <v>#N/A</v>
      </c>
      <c r="AE75" s="324">
        <f t="shared" ca="1" si="34"/>
        <v>19.796861794716875</v>
      </c>
      <c r="AG75" s="306">
        <f t="shared" ca="1" si="56"/>
        <v>77.560160541391681</v>
      </c>
      <c r="AH75" s="304">
        <f t="shared" ca="1" si="57"/>
        <v>87.325414409988639</v>
      </c>
    </row>
    <row r="76" spans="1:34" x14ac:dyDescent="0.2">
      <c r="A76" s="347">
        <f t="shared" ca="1" si="35"/>
        <v>0.01</v>
      </c>
      <c r="B76" s="304">
        <f t="shared" ca="1" si="36"/>
        <v>0.72000000000000042</v>
      </c>
      <c r="D76" s="306">
        <f t="shared" ca="1" si="37"/>
        <v>8.3326519478133569</v>
      </c>
      <c r="E76" s="307">
        <f t="shared" ca="1" si="38"/>
        <v>76.982501423444916</v>
      </c>
      <c r="F76" s="304">
        <f t="shared" ca="1" si="39"/>
        <v>77.43215490927588</v>
      </c>
      <c r="G76" s="306">
        <f t="shared" ca="1" si="40"/>
        <v>5.5097019705282477</v>
      </c>
      <c r="H76" s="307">
        <f t="shared" ca="1" si="41"/>
        <v>57.290690401274226</v>
      </c>
      <c r="I76" s="304">
        <f t="shared" ca="1" si="42"/>
        <v>57.555017352605304</v>
      </c>
      <c r="J76" s="306">
        <f t="shared" ca="1" si="43"/>
        <v>1.8693091926789549</v>
      </c>
      <c r="K76" s="307">
        <f t="shared" ca="1" si="44"/>
        <v>20.365919573658445</v>
      </c>
      <c r="L76" s="304">
        <f t="shared" ca="1" si="29"/>
        <v>20.451527985423443</v>
      </c>
      <c r="M76" s="306">
        <f t="shared" ca="1" si="45"/>
        <v>1.4749202005830886</v>
      </c>
      <c r="N76" s="304">
        <f t="shared" ca="1" si="46"/>
        <v>84.506702611999799</v>
      </c>
      <c r="P76" s="310">
        <f t="shared" ca="1" si="47"/>
        <v>3</v>
      </c>
      <c r="Q76" s="304">
        <f t="shared" ca="1" si="48"/>
        <v>772.63</v>
      </c>
      <c r="R76" s="306">
        <f t="shared" ca="1" si="49"/>
        <v>0.38774699883888702</v>
      </c>
      <c r="S76" s="307">
        <f t="shared" ca="1" si="50"/>
        <v>8.7231811553802299</v>
      </c>
      <c r="T76" s="304">
        <f t="shared" ca="1" si="30"/>
        <v>85.574407134280065</v>
      </c>
      <c r="U76" s="311">
        <f t="shared" ca="1" si="31"/>
        <v>0</v>
      </c>
      <c r="V76" s="306">
        <f t="shared" ca="1" si="32"/>
        <v>1.2225077127383233</v>
      </c>
      <c r="W76" s="304">
        <f t="shared" ca="1" si="33"/>
        <v>12.372011598333621</v>
      </c>
      <c r="Y76" s="314" t="str">
        <f t="shared" ca="1" si="51"/>
        <v/>
      </c>
      <c r="Z76" s="315" t="str">
        <f t="shared" ca="1" si="52"/>
        <v/>
      </c>
      <c r="AA76" s="316" t="str">
        <f t="shared" ca="1" si="53"/>
        <v/>
      </c>
      <c r="AC76" s="310" t="e">
        <f t="shared" ca="1" si="54"/>
        <v>#N/A</v>
      </c>
      <c r="AD76" s="323" t="e">
        <f t="shared" ca="1" si="55"/>
        <v>#N/A</v>
      </c>
      <c r="AE76" s="324">
        <f t="shared" ca="1" si="34"/>
        <v>20.365919573658445</v>
      </c>
      <c r="AG76" s="306">
        <f t="shared" ca="1" si="56"/>
        <v>77.426479201954578</v>
      </c>
      <c r="AH76" s="304">
        <f t="shared" ca="1" si="57"/>
        <v>87.191578674904633</v>
      </c>
    </row>
    <row r="77" spans="1:34" x14ac:dyDescent="0.2">
      <c r="A77" s="347">
        <f t="shared" ca="1" si="35"/>
        <v>0.01</v>
      </c>
      <c r="B77" s="304">
        <f t="shared" ca="1" si="36"/>
        <v>0.73000000000000043</v>
      </c>
      <c r="D77" s="306">
        <f t="shared" ca="1" si="37"/>
        <v>8.3339178966061951</v>
      </c>
      <c r="E77" s="307">
        <f t="shared" ca="1" si="38"/>
        <v>76.847302445403955</v>
      </c>
      <c r="F77" s="304">
        <f t="shared" ca="1" si="39"/>
        <v>77.297878888380637</v>
      </c>
      <c r="G77" s="306">
        <f t="shared" ca="1" si="40"/>
        <v>5.5930411494943097</v>
      </c>
      <c r="H77" s="307">
        <f t="shared" ca="1" si="41"/>
        <v>58.059163425728265</v>
      </c>
      <c r="I77" s="304">
        <f t="shared" ca="1" si="42"/>
        <v>58.327939848715374</v>
      </c>
      <c r="J77" s="306">
        <f t="shared" ca="1" si="43"/>
        <v>1.9248229082790678</v>
      </c>
      <c r="K77" s="307">
        <f t="shared" ca="1" si="44"/>
        <v>20.942668842793459</v>
      </c>
      <c r="L77" s="304">
        <f t="shared" ca="1" si="29"/>
        <v>21.030937246997524</v>
      </c>
      <c r="M77" s="306">
        <f t="shared" ca="1" si="45"/>
        <v>1.4747591963515261</v>
      </c>
      <c r="N77" s="304">
        <f t="shared" ca="1" si="46"/>
        <v>84.497477749047519</v>
      </c>
      <c r="P77" s="310">
        <f t="shared" ca="1" si="47"/>
        <v>3</v>
      </c>
      <c r="Q77" s="304">
        <f t="shared" ca="1" si="48"/>
        <v>771.44999999999993</v>
      </c>
      <c r="R77" s="306">
        <f t="shared" ca="1" si="49"/>
        <v>0.38715481181711736</v>
      </c>
      <c r="S77" s="307">
        <f t="shared" ca="1" si="50"/>
        <v>8.7193096072620584</v>
      </c>
      <c r="T77" s="304">
        <f t="shared" ca="1" si="30"/>
        <v>85.536427247240795</v>
      </c>
      <c r="U77" s="311">
        <f t="shared" ca="1" si="31"/>
        <v>0</v>
      </c>
      <c r="V77" s="306">
        <f t="shared" ca="1" si="32"/>
        <v>1.2224372066533766</v>
      </c>
      <c r="W77" s="304">
        <f t="shared" ca="1" si="33"/>
        <v>12.705804446238401</v>
      </c>
      <c r="Y77" s="314" t="str">
        <f t="shared" ca="1" si="51"/>
        <v/>
      </c>
      <c r="Z77" s="315" t="str">
        <f t="shared" ca="1" si="52"/>
        <v/>
      </c>
      <c r="AA77" s="316" t="str">
        <f t="shared" ca="1" si="53"/>
        <v/>
      </c>
      <c r="AC77" s="310" t="e">
        <f t="shared" ca="1" si="54"/>
        <v>#N/A</v>
      </c>
      <c r="AD77" s="323" t="e">
        <f t="shared" ca="1" si="55"/>
        <v>#N/A</v>
      </c>
      <c r="AE77" s="324">
        <f t="shared" ca="1" si="34"/>
        <v>20.942668842793459</v>
      </c>
      <c r="AG77" s="306">
        <f t="shared" ca="1" si="56"/>
        <v>77.292174011107377</v>
      </c>
      <c r="AH77" s="304">
        <f t="shared" ca="1" si="57"/>
        <v>87.057120642837646</v>
      </c>
    </row>
    <row r="78" spans="1:34" x14ac:dyDescent="0.2">
      <c r="A78" s="347">
        <f t="shared" ca="1" si="35"/>
        <v>0.01</v>
      </c>
      <c r="B78" s="304">
        <f t="shared" ca="1" si="36"/>
        <v>0.74000000000000044</v>
      </c>
      <c r="D78" s="306">
        <f t="shared" ca="1" si="37"/>
        <v>8.3349174334375764</v>
      </c>
      <c r="E78" s="307">
        <f t="shared" ca="1" si="38"/>
        <v>76.711504218086546</v>
      </c>
      <c r="F78" s="304">
        <f t="shared" ca="1" si="39"/>
        <v>77.16298159106951</v>
      </c>
      <c r="G78" s="306">
        <f t="shared" ca="1" si="40"/>
        <v>5.6763903238286852</v>
      </c>
      <c r="H78" s="307">
        <f t="shared" ca="1" si="41"/>
        <v>58.826278467909134</v>
      </c>
      <c r="I78" s="304">
        <f t="shared" ca="1" si="42"/>
        <v>59.099513073226291</v>
      </c>
      <c r="J78" s="306">
        <f t="shared" ca="1" si="43"/>
        <v>1.9811700656456828</v>
      </c>
      <c r="K78" s="307">
        <f t="shared" ca="1" si="44"/>
        <v>21.527096052261648</v>
      </c>
      <c r="L78" s="304">
        <f t="shared" ca="1" si="29"/>
        <v>21.618068814589094</v>
      </c>
      <c r="M78" s="306">
        <f t="shared" ca="1" si="45"/>
        <v>1.4746000280860119</v>
      </c>
      <c r="N78" s="304">
        <f t="shared" ca="1" si="46"/>
        <v>84.488358079201134</v>
      </c>
      <c r="P78" s="310">
        <f t="shared" ca="1" si="47"/>
        <v>3</v>
      </c>
      <c r="Q78" s="304">
        <f t="shared" ca="1" si="48"/>
        <v>770.27</v>
      </c>
      <c r="R78" s="306">
        <f t="shared" ca="1" si="49"/>
        <v>0.38656262479534775</v>
      </c>
      <c r="S78" s="307">
        <f t="shared" ca="1" si="50"/>
        <v>8.7154439810141042</v>
      </c>
      <c r="T78" s="304">
        <f t="shared" ca="1" si="30"/>
        <v>85.498505453748365</v>
      </c>
      <c r="U78" s="311">
        <f t="shared" ca="1" si="31"/>
        <v>0</v>
      </c>
      <c r="V78" s="306">
        <f t="shared" ca="1" si="32"/>
        <v>1.2223657661039034</v>
      </c>
      <c r="W78" s="304">
        <f t="shared" ca="1" si="33"/>
        <v>13.043415114324583</v>
      </c>
      <c r="Y78" s="314" t="str">
        <f t="shared" ca="1" si="51"/>
        <v/>
      </c>
      <c r="Z78" s="315" t="str">
        <f t="shared" ca="1" si="52"/>
        <v/>
      </c>
      <c r="AA78" s="316" t="str">
        <f t="shared" ca="1" si="53"/>
        <v/>
      </c>
      <c r="AC78" s="310" t="e">
        <f t="shared" ca="1" si="54"/>
        <v>#N/A</v>
      </c>
      <c r="AD78" s="323" t="e">
        <f t="shared" ca="1" si="55"/>
        <v>#N/A</v>
      </c>
      <c r="AE78" s="324">
        <f t="shared" ca="1" si="34"/>
        <v>21.527096052261648</v>
      </c>
      <c r="AG78" s="306">
        <f t="shared" ca="1" si="56"/>
        <v>77.157247588152245</v>
      </c>
      <c r="AH78" s="304">
        <f t="shared" ca="1" si="57"/>
        <v>86.922042893518039</v>
      </c>
    </row>
    <row r="79" spans="1:34" x14ac:dyDescent="0.2">
      <c r="A79" s="347">
        <f t="shared" ca="1" si="35"/>
        <v>0.01</v>
      </c>
      <c r="B79" s="304">
        <f t="shared" ca="1" si="36"/>
        <v>0.75000000000000044</v>
      </c>
      <c r="D79" s="306">
        <f t="shared" ca="1" si="37"/>
        <v>8.3356555842010458</v>
      </c>
      <c r="E79" s="307">
        <f t="shared" ca="1" si="38"/>
        <v>76.575108957421222</v>
      </c>
      <c r="F79" s="304">
        <f t="shared" ca="1" si="39"/>
        <v>77.027465659070941</v>
      </c>
      <c r="G79" s="306">
        <f t="shared" ca="1" si="40"/>
        <v>5.7597468796706961</v>
      </c>
      <c r="H79" s="307">
        <f t="shared" ca="1" si="41"/>
        <v>59.592029557483343</v>
      </c>
      <c r="I79" s="304">
        <f t="shared" ca="1" si="42"/>
        <v>59.869730840365776</v>
      </c>
      <c r="J79" s="306">
        <f t="shared" ca="1" si="43"/>
        <v>2.0383507516631796</v>
      </c>
      <c r="K79" s="307">
        <f t="shared" ca="1" si="44"/>
        <v>22.119187592388609</v>
      </c>
      <c r="L79" s="304">
        <f t="shared" ca="1" si="29"/>
        <v>22.212909164134356</v>
      </c>
      <c r="M79" s="306">
        <f t="shared" ca="1" si="45"/>
        <v>1.474442647900873</v>
      </c>
      <c r="N79" s="304">
        <f t="shared" ca="1" si="46"/>
        <v>84.479340858813686</v>
      </c>
      <c r="P79" s="310">
        <f t="shared" ca="1" si="47"/>
        <v>3</v>
      </c>
      <c r="Q79" s="304">
        <f t="shared" ca="1" si="48"/>
        <v>769.08999999999992</v>
      </c>
      <c r="R79" s="306">
        <f t="shared" ca="1" si="49"/>
        <v>0.38597043777357803</v>
      </c>
      <c r="S79" s="307">
        <f t="shared" ca="1" si="50"/>
        <v>8.7115842766363691</v>
      </c>
      <c r="T79" s="304">
        <f t="shared" ca="1" si="30"/>
        <v>85.46064175380279</v>
      </c>
      <c r="U79" s="311">
        <f t="shared" ca="1" si="31"/>
        <v>0</v>
      </c>
      <c r="V79" s="306">
        <f t="shared" ca="1" si="32"/>
        <v>1.2222933929174227</v>
      </c>
      <c r="W79" s="304">
        <f t="shared" ca="1" si="33"/>
        <v>13.384816077651502</v>
      </c>
      <c r="Y79" s="314" t="str">
        <f t="shared" ca="1" si="51"/>
        <v/>
      </c>
      <c r="Z79" s="315" t="str">
        <f t="shared" ca="1" si="52"/>
        <v/>
      </c>
      <c r="AA79" s="316" t="str">
        <f t="shared" ca="1" si="53"/>
        <v/>
      </c>
      <c r="AC79" s="310" t="e">
        <f t="shared" ca="1" si="54"/>
        <v>#N/A</v>
      </c>
      <c r="AD79" s="323" t="e">
        <f t="shared" ca="1" si="55"/>
        <v>#N/A</v>
      </c>
      <c r="AE79" s="324">
        <f t="shared" ca="1" si="34"/>
        <v>22.119187592388609</v>
      </c>
      <c r="AG79" s="306">
        <f t="shared" ca="1" si="56"/>
        <v>77.02170256970912</v>
      </c>
      <c r="AH79" s="304">
        <f t="shared" ca="1" si="57"/>
        <v>86.786348025504324</v>
      </c>
    </row>
    <row r="80" spans="1:34" x14ac:dyDescent="0.2">
      <c r="A80" s="347">
        <f t="shared" ca="1" si="35"/>
        <v>0.01</v>
      </c>
      <c r="B80" s="304">
        <f t="shared" ca="1" si="36"/>
        <v>0.76000000000000045</v>
      </c>
      <c r="D80" s="306">
        <f t="shared" ca="1" si="37"/>
        <v>8.3361371893087206</v>
      </c>
      <c r="E80" s="307">
        <f t="shared" ca="1" si="38"/>
        <v>76.438118911941388</v>
      </c>
      <c r="F80" s="304">
        <f t="shared" ca="1" si="39"/>
        <v>76.891333751178152</v>
      </c>
      <c r="G80" s="306">
        <f t="shared" ca="1" si="40"/>
        <v>5.8431082515637831</v>
      </c>
      <c r="H80" s="307">
        <f t="shared" ca="1" si="41"/>
        <v>60.356410746602755</v>
      </c>
      <c r="I80" s="304">
        <f t="shared" ca="1" si="42"/>
        <v>60.63858699089316</v>
      </c>
      <c r="J80" s="306">
        <f t="shared" ca="1" si="43"/>
        <v>2.0963650273193521</v>
      </c>
      <c r="K80" s="307">
        <f t="shared" ca="1" si="44"/>
        <v>22.718929793909041</v>
      </c>
      <c r="L80" s="304">
        <f t="shared" ca="1" si="29"/>
        <v>22.815444709852482</v>
      </c>
      <c r="M80" s="306">
        <f t="shared" ca="1" si="45"/>
        <v>1.4742870097619953</v>
      </c>
      <c r="N80" s="304">
        <f t="shared" ca="1" si="46"/>
        <v>84.470423450324731</v>
      </c>
      <c r="P80" s="310">
        <f t="shared" ca="1" si="47"/>
        <v>3</v>
      </c>
      <c r="Q80" s="304">
        <f t="shared" ca="1" si="48"/>
        <v>767.91</v>
      </c>
      <c r="R80" s="306">
        <f t="shared" ca="1" si="49"/>
        <v>0.38537825075180843</v>
      </c>
      <c r="S80" s="307">
        <f t="shared" ca="1" si="50"/>
        <v>8.7077304941288514</v>
      </c>
      <c r="T80" s="304">
        <f t="shared" ca="1" si="30"/>
        <v>85.422836147404041</v>
      </c>
      <c r="U80" s="311">
        <f t="shared" ca="1" si="31"/>
        <v>0</v>
      </c>
      <c r="V80" s="306">
        <f t="shared" ca="1" si="32"/>
        <v>1.2222200889304675</v>
      </c>
      <c r="W80" s="304">
        <f t="shared" ca="1" si="33"/>
        <v>13.729979712704573</v>
      </c>
      <c r="Y80" s="314" t="str">
        <f t="shared" ca="1" si="51"/>
        <v/>
      </c>
      <c r="Z80" s="315" t="str">
        <f t="shared" ca="1" si="52"/>
        <v/>
      </c>
      <c r="AA80" s="316" t="str">
        <f t="shared" ca="1" si="53"/>
        <v/>
      </c>
      <c r="AC80" s="310" t="e">
        <f t="shared" ca="1" si="54"/>
        <v>#N/A</v>
      </c>
      <c r="AD80" s="323" t="e">
        <f t="shared" ca="1" si="55"/>
        <v>#N/A</v>
      </c>
      <c r="AE80" s="324">
        <f t="shared" ca="1" si="34"/>
        <v>22.718929793909041</v>
      </c>
      <c r="AG80" s="306">
        <f t="shared" ca="1" si="56"/>
        <v>76.885541609616212</v>
      </c>
      <c r="AH80" s="304">
        <f t="shared" ca="1" si="57"/>
        <v>86.650038656006146</v>
      </c>
    </row>
    <row r="81" spans="1:34" x14ac:dyDescent="0.2">
      <c r="A81" s="347">
        <f t="shared" ca="1" si="35"/>
        <v>0.01</v>
      </c>
      <c r="B81" s="304">
        <f t="shared" ca="1" si="36"/>
        <v>0.77000000000000046</v>
      </c>
      <c r="D81" s="306">
        <f t="shared" ca="1" si="37"/>
        <v>8.336366913453146</v>
      </c>
      <c r="E81" s="307">
        <f t="shared" ca="1" si="38"/>
        <v>76.300536361894103</v>
      </c>
      <c r="F81" s="304">
        <f t="shared" ca="1" si="39"/>
        <v>76.754588543151215</v>
      </c>
      <c r="G81" s="306">
        <f t="shared" ca="1" si="40"/>
        <v>5.9264719206983143</v>
      </c>
      <c r="H81" s="307">
        <f t="shared" ca="1" si="41"/>
        <v>61.1194161102217</v>
      </c>
      <c r="I81" s="304">
        <f t="shared" ca="1" si="42"/>
        <v>61.406075392270864</v>
      </c>
      <c r="J81" s="306">
        <f t="shared" ca="1" si="43"/>
        <v>2.1552129281806627</v>
      </c>
      <c r="K81" s="307">
        <f t="shared" ca="1" si="44"/>
        <v>23.326308928193164</v>
      </c>
      <c r="L81" s="304">
        <f t="shared" ca="1" si="29"/>
        <v>23.425661804510479</v>
      </c>
      <c r="M81" s="306">
        <f t="shared" ca="1" si="45"/>
        <v>1.4741330693916106</v>
      </c>
      <c r="N81" s="304">
        <f t="shared" ca="1" si="46"/>
        <v>84.461603316805011</v>
      </c>
      <c r="P81" s="310">
        <f t="shared" ca="1" si="47"/>
        <v>3</v>
      </c>
      <c r="Q81" s="304">
        <f t="shared" ca="1" si="48"/>
        <v>766.7299999999999</v>
      </c>
      <c r="R81" s="306">
        <f t="shared" ca="1" si="49"/>
        <v>0.38478606373003871</v>
      </c>
      <c r="S81" s="307">
        <f t="shared" ca="1" si="50"/>
        <v>8.7038826334915509</v>
      </c>
      <c r="T81" s="304">
        <f t="shared" ca="1" si="30"/>
        <v>85.385088634552119</v>
      </c>
      <c r="U81" s="311">
        <f t="shared" ca="1" si="31"/>
        <v>0</v>
      </c>
      <c r="V81" s="306">
        <f t="shared" ca="1" si="32"/>
        <v>1.2221458559885432</v>
      </c>
      <c r="W81" s="304">
        <f t="shared" ca="1" si="33"/>
        <v>14.078878299157388</v>
      </c>
      <c r="Y81" s="314" t="str">
        <f t="shared" ca="1" si="51"/>
        <v/>
      </c>
      <c r="Z81" s="315" t="str">
        <f t="shared" ca="1" si="52"/>
        <v/>
      </c>
      <c r="AA81" s="316" t="str">
        <f t="shared" ca="1" si="53"/>
        <v/>
      </c>
      <c r="AC81" s="310" t="e">
        <f t="shared" ca="1" si="54"/>
        <v>#N/A</v>
      </c>
      <c r="AD81" s="323" t="e">
        <f t="shared" ca="1" si="55"/>
        <v>#N/A</v>
      </c>
      <c r="AE81" s="324">
        <f t="shared" ca="1" si="34"/>
        <v>23.326308928193164</v>
      </c>
      <c r="AG81" s="306">
        <f t="shared" ca="1" si="56"/>
        <v>76.748767378823985</v>
      </c>
      <c r="AH81" s="304">
        <f t="shared" ca="1" si="57"/>
        <v>86.513117420705655</v>
      </c>
    </row>
    <row r="82" spans="1:34" x14ac:dyDescent="0.2">
      <c r="A82" s="347">
        <f t="shared" ca="1" si="35"/>
        <v>0.01</v>
      </c>
      <c r="B82" s="304">
        <f t="shared" ca="1" si="36"/>
        <v>0.78000000000000047</v>
      </c>
      <c r="D82" s="306">
        <f t="shared" ca="1" si="37"/>
        <v>8.3363492547380513</v>
      </c>
      <c r="E82" s="307">
        <f t="shared" ca="1" si="38"/>
        <v>76.162363618393044</v>
      </c>
      <c r="F82" s="304">
        <f t="shared" ca="1" si="39"/>
        <v>76.617232727613512</v>
      </c>
      <c r="G82" s="306">
        <f t="shared" ca="1" si="40"/>
        <v>6.0098354132456944</v>
      </c>
      <c r="H82" s="307">
        <f t="shared" ca="1" si="41"/>
        <v>61.881039746405627</v>
      </c>
      <c r="I82" s="304">
        <f t="shared" ca="1" si="42"/>
        <v>62.17218993883467</v>
      </c>
      <c r="J82" s="306">
        <f t="shared" ca="1" si="43"/>
        <v>2.2148944648503828</v>
      </c>
      <c r="K82" s="307">
        <f t="shared" ca="1" si="44"/>
        <v>23.9413112074763</v>
      </c>
      <c r="L82" s="304">
        <f t="shared" ca="1" si="29"/>
        <v>24.043546739689951</v>
      </c>
      <c r="M82" s="306">
        <f t="shared" ca="1" si="45"/>
        <v>1.4739807841791563</v>
      </c>
      <c r="N82" s="304">
        <f t="shared" ca="1" si="46"/>
        <v>84.452878016849127</v>
      </c>
      <c r="P82" s="310">
        <f t="shared" ca="1" si="47"/>
        <v>3</v>
      </c>
      <c r="Q82" s="304">
        <f t="shared" ca="1" si="48"/>
        <v>765.55</v>
      </c>
      <c r="R82" s="306">
        <f t="shared" ca="1" si="49"/>
        <v>0.3841938767082691</v>
      </c>
      <c r="S82" s="307">
        <f t="shared" ca="1" si="50"/>
        <v>8.7000406947244677</v>
      </c>
      <c r="T82" s="304">
        <f t="shared" ca="1" si="30"/>
        <v>85.347399215247037</v>
      </c>
      <c r="U82" s="311">
        <f t="shared" ca="1" si="31"/>
        <v>0</v>
      </c>
      <c r="V82" s="306">
        <f t="shared" ca="1" si="32"/>
        <v>1.222070695946083</v>
      </c>
      <c r="W82" s="304">
        <f t="shared" ca="1" si="33"/>
        <v>14.431484021637937</v>
      </c>
      <c r="Y82" s="314" t="str">
        <f t="shared" ca="1" si="51"/>
        <v/>
      </c>
      <c r="Z82" s="315" t="str">
        <f t="shared" ca="1" si="52"/>
        <v/>
      </c>
      <c r="AA82" s="316" t="str">
        <f t="shared" ca="1" si="53"/>
        <v/>
      </c>
      <c r="AC82" s="310" t="e">
        <f t="shared" ca="1" si="54"/>
        <v>#N/A</v>
      </c>
      <c r="AD82" s="323" t="e">
        <f t="shared" ca="1" si="55"/>
        <v>#N/A</v>
      </c>
      <c r="AE82" s="324">
        <f t="shared" ca="1" si="34"/>
        <v>23.9413112074763</v>
      </c>
      <c r="AG82" s="306">
        <f t="shared" ca="1" si="56"/>
        <v>76.611382565283662</v>
      </c>
      <c r="AH82" s="304">
        <f t="shared" ca="1" si="57"/>
        <v>86.375586973578152</v>
      </c>
    </row>
    <row r="83" spans="1:34" x14ac:dyDescent="0.2">
      <c r="A83" s="347">
        <f t="shared" ca="1" si="35"/>
        <v>0.01</v>
      </c>
      <c r="B83" s="304">
        <f t="shared" ca="1" si="36"/>
        <v>0.79000000000000048</v>
      </c>
      <c r="D83" s="306">
        <f t="shared" ca="1" si="37"/>
        <v>8.3360885532264675</v>
      </c>
      <c r="E83" s="307">
        <f t="shared" ca="1" si="38"/>
        <v>76.023603022611638</v>
      </c>
      <c r="F83" s="304">
        <f t="shared" ca="1" si="39"/>
        <v>76.479269013941803</v>
      </c>
      <c r="G83" s="306">
        <f t="shared" ca="1" si="40"/>
        <v>6.0931962987779587</v>
      </c>
      <c r="H83" s="307">
        <f t="shared" ca="1" si="41"/>
        <v>62.641275776631744</v>
      </c>
      <c r="I83" s="304">
        <f t="shared" ca="1" si="42"/>
        <v>62.93692455196291</v>
      </c>
      <c r="J83" s="306">
        <f t="shared" ca="1" si="43"/>
        <v>2.2754096234105012</v>
      </c>
      <c r="K83" s="307">
        <f t="shared" ca="1" si="44"/>
        <v>24.563922785091489</v>
      </c>
      <c r="L83" s="304">
        <f t="shared" ca="1" si="29"/>
        <v>24.669085746055647</v>
      </c>
      <c r="M83" s="306">
        <f t="shared" ca="1" si="45"/>
        <v>1.4738301130977529</v>
      </c>
      <c r="N83" s="304">
        <f t="shared" ca="1" si="46"/>
        <v>84.444245199790032</v>
      </c>
      <c r="P83" s="310">
        <f t="shared" ca="1" si="47"/>
        <v>3</v>
      </c>
      <c r="Q83" s="304">
        <f t="shared" ca="1" si="48"/>
        <v>764.36999999999989</v>
      </c>
      <c r="R83" s="306">
        <f t="shared" ca="1" si="49"/>
        <v>0.38360168968649944</v>
      </c>
      <c r="S83" s="307">
        <f t="shared" ca="1" si="50"/>
        <v>8.6962046778276019</v>
      </c>
      <c r="T83" s="304">
        <f t="shared" ca="1" si="30"/>
        <v>85.309767889488782</v>
      </c>
      <c r="U83" s="311">
        <f t="shared" ca="1" si="31"/>
        <v>0</v>
      </c>
      <c r="V83" s="306">
        <f t="shared" ca="1" si="32"/>
        <v>1.2219946106664028</v>
      </c>
      <c r="W83" s="304">
        <f t="shared" ca="1" si="33"/>
        <v>14.787768971498815</v>
      </c>
      <c r="Y83" s="314" t="str">
        <f t="shared" ca="1" si="51"/>
        <v/>
      </c>
      <c r="Z83" s="315" t="str">
        <f t="shared" ca="1" si="52"/>
        <v/>
      </c>
      <c r="AA83" s="316" t="str">
        <f t="shared" ca="1" si="53"/>
        <v/>
      </c>
      <c r="AC83" s="310" t="e">
        <f t="shared" ca="1" si="54"/>
        <v>#N/A</v>
      </c>
      <c r="AD83" s="323" t="e">
        <f t="shared" ca="1" si="55"/>
        <v>#N/A</v>
      </c>
      <c r="AE83" s="324">
        <f t="shared" ca="1" si="34"/>
        <v>24.563922785091489</v>
      </c>
      <c r="AG83" s="306">
        <f t="shared" ca="1" si="56"/>
        <v>76.473389873830172</v>
      </c>
      <c r="AH83" s="304">
        <f t="shared" ca="1" si="57"/>
        <v>86.237449986711212</v>
      </c>
    </row>
    <row r="84" spans="1:34" x14ac:dyDescent="0.2">
      <c r="A84" s="347">
        <f t="shared" ca="1" si="35"/>
        <v>0.01</v>
      </c>
      <c r="B84" s="304">
        <f t="shared" ca="1" si="36"/>
        <v>0.80000000000000049</v>
      </c>
      <c r="D84" s="306">
        <f t="shared" ca="1" si="37"/>
        <v>8.3355889989500156</v>
      </c>
      <c r="E84" s="307">
        <f t="shared" ca="1" si="38"/>
        <v>75.88425694501386</v>
      </c>
      <c r="F84" s="304">
        <f t="shared" ca="1" si="39"/>
        <v>76.34070012815117</v>
      </c>
      <c r="G84" s="306">
        <f t="shared" ca="1" si="40"/>
        <v>6.1765521887674586</v>
      </c>
      <c r="H84" s="307">
        <f t="shared" ca="1" si="41"/>
        <v>63.400118346081882</v>
      </c>
      <c r="I84" s="304">
        <f t="shared" ca="1" si="42"/>
        <v>63.700273180244338</v>
      </c>
      <c r="J84" s="306">
        <f t="shared" ca="1" si="43"/>
        <v>2.3367583658482283</v>
      </c>
      <c r="K84" s="307">
        <f t="shared" ca="1" si="44"/>
        <v>25.194129755705056</v>
      </c>
      <c r="L84" s="304">
        <f t="shared" ca="1" si="29"/>
        <v>25.302264993625858</v>
      </c>
      <c r="M84" s="306">
        <f t="shared" ca="1" si="45"/>
        <v>1.473681016625872</v>
      </c>
      <c r="N84" s="304">
        <f t="shared" ca="1" si="46"/>
        <v>84.435702601210963</v>
      </c>
      <c r="P84" s="310">
        <f t="shared" ca="1" si="47"/>
        <v>3</v>
      </c>
      <c r="Q84" s="304">
        <f t="shared" ca="1" si="48"/>
        <v>763.18999999999994</v>
      </c>
      <c r="R84" s="306">
        <f t="shared" ca="1" si="49"/>
        <v>0.38300950266472977</v>
      </c>
      <c r="S84" s="307">
        <f t="shared" ca="1" si="50"/>
        <v>8.6923745828009551</v>
      </c>
      <c r="T84" s="304">
        <f t="shared" ca="1" si="30"/>
        <v>85.272194657277367</v>
      </c>
      <c r="U84" s="311">
        <f t="shared" ca="1" si="31"/>
        <v>0</v>
      </c>
      <c r="V84" s="306">
        <f t="shared" ca="1" si="32"/>
        <v>1.2219176020216573</v>
      </c>
      <c r="W84" s="304">
        <f t="shared" ca="1" si="33"/>
        <v>15.147705148591212</v>
      </c>
      <c r="Y84" s="314" t="str">
        <f t="shared" ca="1" si="51"/>
        <v/>
      </c>
      <c r="Z84" s="315" t="str">
        <f t="shared" ca="1" si="52"/>
        <v/>
      </c>
      <c r="AA84" s="316" t="str">
        <f t="shared" ca="1" si="53"/>
        <v/>
      </c>
      <c r="AC84" s="310" t="e">
        <f t="shared" ca="1" si="54"/>
        <v>#N/A</v>
      </c>
      <c r="AD84" s="323" t="e">
        <f t="shared" ca="1" si="55"/>
        <v>#N/A</v>
      </c>
      <c r="AE84" s="324">
        <f t="shared" ca="1" si="34"/>
        <v>25.194129755705056</v>
      </c>
      <c r="AG84" s="306">
        <f t="shared" ca="1" si="56"/>
        <v>76.334792026060214</v>
      </c>
      <c r="AH84" s="304">
        <f t="shared" ca="1" si="57"/>
        <v>86.098709150122986</v>
      </c>
    </row>
    <row r="85" spans="1:34" x14ac:dyDescent="0.2">
      <c r="A85" s="347">
        <f t="shared" ca="1" si="35"/>
        <v>0.01</v>
      </c>
      <c r="B85" s="304">
        <f t="shared" ca="1" si="36"/>
        <v>0.8100000000000005</v>
      </c>
      <c r="D85" s="306">
        <f t="shared" ca="1" si="37"/>
        <v>8.3348546394200298</v>
      </c>
      <c r="E85" s="307">
        <f t="shared" ca="1" si="38"/>
        <v>75.744327784619458</v>
      </c>
      <c r="F85" s="304">
        <f t="shared" ca="1" si="39"/>
        <v>76.201528812774725</v>
      </c>
      <c r="G85" s="306">
        <f t="shared" ca="1" si="40"/>
        <v>6.2599007351616587</v>
      </c>
      <c r="H85" s="307">
        <f t="shared" ca="1" si="41"/>
        <v>64.157561623928075</v>
      </c>
      <c r="I85" s="304">
        <f t="shared" ca="1" si="42"/>
        <v>64.462229799644732</v>
      </c>
      <c r="J85" s="306">
        <f t="shared" ca="1" si="43"/>
        <v>2.398940630467874</v>
      </c>
      <c r="K85" s="307">
        <f t="shared" ca="1" si="44"/>
        <v>25.831918155555105</v>
      </c>
      <c r="L85" s="304">
        <f t="shared" ca="1" si="29"/>
        <v>25.943070592044553</v>
      </c>
      <c r="M85" s="306">
        <f t="shared" ca="1" si="45"/>
        <v>1.4735334566738154</v>
      </c>
      <c r="N85" s="304">
        <f t="shared" ca="1" si="46"/>
        <v>84.427248038732969</v>
      </c>
      <c r="P85" s="310">
        <f t="shared" ca="1" si="47"/>
        <v>3</v>
      </c>
      <c r="Q85" s="304">
        <f t="shared" ca="1" si="48"/>
        <v>762.01</v>
      </c>
      <c r="R85" s="306">
        <f t="shared" ca="1" si="49"/>
        <v>0.38241731564296016</v>
      </c>
      <c r="S85" s="307">
        <f t="shared" ca="1" si="50"/>
        <v>8.6885504096445256</v>
      </c>
      <c r="T85" s="304">
        <f t="shared" ca="1" si="30"/>
        <v>85.234679518612808</v>
      </c>
      <c r="U85" s="311">
        <f t="shared" ca="1" si="31"/>
        <v>0</v>
      </c>
      <c r="V85" s="306">
        <f t="shared" ca="1" si="32"/>
        <v>1.2218396718927949</v>
      </c>
      <c r="W85" s="304">
        <f t="shared" ca="1" si="33"/>
        <v>15.511264463042492</v>
      </c>
      <c r="Y85" s="314" t="str">
        <f t="shared" ca="1" si="51"/>
        <v/>
      </c>
      <c r="Z85" s="315" t="str">
        <f t="shared" ca="1" si="52"/>
        <v/>
      </c>
      <c r="AA85" s="316" t="str">
        <f t="shared" ca="1" si="53"/>
        <v/>
      </c>
      <c r="AC85" s="310" t="e">
        <f t="shared" ca="1" si="54"/>
        <v>#N/A</v>
      </c>
      <c r="AD85" s="323" t="e">
        <f t="shared" ca="1" si="55"/>
        <v>#N/A</v>
      </c>
      <c r="AE85" s="324">
        <f t="shared" ca="1" si="34"/>
        <v>25.831918155555105</v>
      </c>
      <c r="AG85" s="306">
        <f t="shared" ca="1" si="56"/>
        <v>76.195591760205417</v>
      </c>
      <c r="AH85" s="304">
        <f t="shared" ca="1" si="57"/>
        <v>85.959367171579217</v>
      </c>
    </row>
    <row r="86" spans="1:34" x14ac:dyDescent="0.2">
      <c r="A86" s="347">
        <f t="shared" ca="1" si="35"/>
        <v>0.01</v>
      </c>
      <c r="B86" s="304">
        <f t="shared" ca="1" si="36"/>
        <v>0.82000000000000051</v>
      </c>
      <c r="D86" s="306">
        <f t="shared" ca="1" si="37"/>
        <v>8.3338893866770487</v>
      </c>
      <c r="E86" s="307">
        <f t="shared" ca="1" si="38"/>
        <v>75.603817968301186</v>
      </c>
      <c r="F86" s="304">
        <f t="shared" ca="1" si="39"/>
        <v>76.061757826738329</v>
      </c>
      <c r="G86" s="306">
        <f t="shared" ca="1" si="40"/>
        <v>6.343239629028429</v>
      </c>
      <c r="H86" s="307">
        <f t="shared" ca="1" si="41"/>
        <v>64.913599803611092</v>
      </c>
      <c r="I86" s="304">
        <f t="shared" ca="1" si="42"/>
        <v>65.222788413672205</v>
      </c>
      <c r="J86" s="306">
        <f t="shared" ca="1" si="43"/>
        <v>2.4619563322888243</v>
      </c>
      <c r="K86" s="307">
        <f t="shared" ca="1" si="44"/>
        <v>26.477273962692802</v>
      </c>
      <c r="L86" s="304">
        <f t="shared" ca="1" si="29"/>
        <v>26.591488590855295</v>
      </c>
      <c r="M86" s="306">
        <f t="shared" ca="1" si="45"/>
        <v>1.4733873965146524</v>
      </c>
      <c r="N86" s="304">
        <f t="shared" ca="1" si="46"/>
        <v>84.418879408057919</v>
      </c>
      <c r="P86" s="310">
        <f t="shared" ca="1" si="47"/>
        <v>3</v>
      </c>
      <c r="Q86" s="304">
        <f t="shared" ca="1" si="48"/>
        <v>760.82999999999993</v>
      </c>
      <c r="R86" s="306">
        <f t="shared" ca="1" si="49"/>
        <v>0.3818251286211905</v>
      </c>
      <c r="S86" s="307">
        <f t="shared" ca="1" si="50"/>
        <v>8.6847321583583135</v>
      </c>
      <c r="T86" s="304">
        <f t="shared" ca="1" si="30"/>
        <v>85.19722247349506</v>
      </c>
      <c r="U86" s="311">
        <f t="shared" ca="1" si="31"/>
        <v>0</v>
      </c>
      <c r="V86" s="306">
        <f t="shared" ca="1" si="32"/>
        <v>1.2217608221695118</v>
      </c>
      <c r="W86" s="304">
        <f t="shared" ca="1" si="33"/>
        <v>15.878418737037181</v>
      </c>
      <c r="Y86" s="314" t="str">
        <f t="shared" ca="1" si="51"/>
        <v/>
      </c>
      <c r="Z86" s="315" t="str">
        <f t="shared" ca="1" si="52"/>
        <v/>
      </c>
      <c r="AA86" s="316" t="str">
        <f t="shared" ca="1" si="53"/>
        <v/>
      </c>
      <c r="AC86" s="310" t="e">
        <f t="shared" ca="1" si="54"/>
        <v>#N/A</v>
      </c>
      <c r="AD86" s="323" t="e">
        <f t="shared" ca="1" si="55"/>
        <v>#N/A</v>
      </c>
      <c r="AE86" s="324">
        <f t="shared" ca="1" si="34"/>
        <v>26.477273962692802</v>
      </c>
      <c r="AG86" s="306">
        <f t="shared" ca="1" si="56"/>
        <v>76.055791831001159</v>
      </c>
      <c r="AH86" s="304">
        <f t="shared" ca="1" si="57"/>
        <v>85.819426776409188</v>
      </c>
    </row>
    <row r="87" spans="1:34" x14ac:dyDescent="0.2">
      <c r="A87" s="347">
        <f t="shared" ca="1" si="35"/>
        <v>0.01</v>
      </c>
      <c r="B87" s="304">
        <f t="shared" ca="1" si="36"/>
        <v>0.83000000000000052</v>
      </c>
      <c r="D87" s="306">
        <f t="shared" ca="1" si="37"/>
        <v>8.332697023912381</v>
      </c>
      <c r="E87" s="307">
        <f t="shared" ca="1" si="38"/>
        <v>75.46272995011185</v>
      </c>
      <c r="F87" s="304">
        <f t="shared" ca="1" si="39"/>
        <v>75.921389945231027</v>
      </c>
      <c r="G87" s="306">
        <f t="shared" ca="1" si="40"/>
        <v>6.4265665992675531</v>
      </c>
      <c r="H87" s="307">
        <f t="shared" ca="1" si="41"/>
        <v>65.668227103112216</v>
      </c>
      <c r="I87" s="304">
        <f t="shared" ca="1" si="42"/>
        <v>65.98194305354113</v>
      </c>
      <c r="J87" s="306">
        <f t="shared" ca="1" si="43"/>
        <v>2.5258053634303042</v>
      </c>
      <c r="K87" s="307">
        <f t="shared" ca="1" si="44"/>
        <v>27.130183097226418</v>
      </c>
      <c r="L87" s="304">
        <f t="shared" ca="1" si="29"/>
        <v>27.247504979776835</v>
      </c>
      <c r="M87" s="306">
        <f t="shared" ca="1" si="45"/>
        <v>1.473242800719293</v>
      </c>
      <c r="N87" s="304">
        <f t="shared" ca="1" si="46"/>
        <v>84.41059467924849</v>
      </c>
      <c r="P87" s="310">
        <f t="shared" ca="1" si="47"/>
        <v>3</v>
      </c>
      <c r="Q87" s="304">
        <f t="shared" ca="1" si="48"/>
        <v>759.65</v>
      </c>
      <c r="R87" s="306">
        <f t="shared" ca="1" si="49"/>
        <v>0.38123294159942084</v>
      </c>
      <c r="S87" s="307">
        <f t="shared" ca="1" si="50"/>
        <v>8.6809198289423186</v>
      </c>
      <c r="T87" s="304">
        <f t="shared" ca="1" si="30"/>
        <v>85.159823521924153</v>
      </c>
      <c r="U87" s="311">
        <f t="shared" ca="1" si="31"/>
        <v>0</v>
      </c>
      <c r="V87" s="306">
        <f t="shared" ca="1" si="32"/>
        <v>1.2216810547502057</v>
      </c>
      <c r="W87" s="304">
        <f t="shared" ca="1" si="33"/>
        <v>16.249139706601149</v>
      </c>
      <c r="Y87" s="314" t="str">
        <f t="shared" ca="1" si="51"/>
        <v/>
      </c>
      <c r="Z87" s="315" t="str">
        <f t="shared" ca="1" si="52"/>
        <v/>
      </c>
      <c r="AA87" s="316" t="str">
        <f t="shared" ca="1" si="53"/>
        <v/>
      </c>
      <c r="AC87" s="310" t="e">
        <f t="shared" ca="1" si="54"/>
        <v>#N/A</v>
      </c>
      <c r="AD87" s="323" t="e">
        <f t="shared" ca="1" si="55"/>
        <v>#N/A</v>
      </c>
      <c r="AE87" s="324">
        <f t="shared" ca="1" si="34"/>
        <v>27.130183097226418</v>
      </c>
      <c r="AG87" s="306">
        <f t="shared" ca="1" si="56"/>
        <v>75.915395009551204</v>
      </c>
      <c r="AH87" s="304">
        <f t="shared" ca="1" si="57"/>
        <v>85.678890707320789</v>
      </c>
    </row>
    <row r="88" spans="1:34" x14ac:dyDescent="0.2">
      <c r="A88" s="347">
        <f t="shared" ca="1" si="35"/>
        <v>0.01</v>
      </c>
      <c r="B88" s="304">
        <f t="shared" ca="1" si="36"/>
        <v>0.84000000000000052</v>
      </c>
      <c r="D88" s="306">
        <f t="shared" ca="1" si="37"/>
        <v>8.331281211692648</v>
      </c>
      <c r="E88" s="307">
        <f t="shared" ca="1" si="38"/>
        <v>75.321066210638676</v>
      </c>
      <c r="F88" s="304">
        <f t="shared" ca="1" si="39"/>
        <v>75.780427959570929</v>
      </c>
      <c r="G88" s="306">
        <f t="shared" ca="1" si="40"/>
        <v>6.50987941138448</v>
      </c>
      <c r="H88" s="307">
        <f t="shared" ca="1" si="41"/>
        <v>66.421437765218599</v>
      </c>
      <c r="I88" s="304">
        <f t="shared" ca="1" si="42"/>
        <v>66.739687778334527</v>
      </c>
      <c r="J88" s="306">
        <f t="shared" ca="1" si="43"/>
        <v>2.5904875934835645</v>
      </c>
      <c r="K88" s="307">
        <f t="shared" ca="1" si="44"/>
        <v>27.790631421568072</v>
      </c>
      <c r="L88" s="304">
        <f t="shared" ca="1" si="29"/>
        <v>27.911105688980488</v>
      </c>
      <c r="M88" s="306">
        <f t="shared" ca="1" si="45"/>
        <v>1.4730996350954022</v>
      </c>
      <c r="N88" s="304">
        <f t="shared" ca="1" si="46"/>
        <v>84.402391893228184</v>
      </c>
      <c r="P88" s="310">
        <f t="shared" ca="1" si="47"/>
        <v>3</v>
      </c>
      <c r="Q88" s="304">
        <f t="shared" ca="1" si="48"/>
        <v>758.46999999999991</v>
      </c>
      <c r="R88" s="306">
        <f t="shared" ca="1" si="49"/>
        <v>0.38064075457765117</v>
      </c>
      <c r="S88" s="307">
        <f t="shared" ca="1" si="50"/>
        <v>8.6771134213965428</v>
      </c>
      <c r="T88" s="304">
        <f t="shared" ca="1" si="30"/>
        <v>85.122482663900087</v>
      </c>
      <c r="U88" s="311">
        <f t="shared" ca="1" si="31"/>
        <v>0</v>
      </c>
      <c r="V88" s="306">
        <f t="shared" ca="1" si="32"/>
        <v>1.2216003715419304</v>
      </c>
      <c r="W88" s="304">
        <f t="shared" ca="1" si="33"/>
        <v>16.623399023388743</v>
      </c>
      <c r="Y88" s="314" t="str">
        <f t="shared" ca="1" si="51"/>
        <v/>
      </c>
      <c r="Z88" s="315" t="str">
        <f t="shared" ca="1" si="52"/>
        <v/>
      </c>
      <c r="AA88" s="316" t="str">
        <f t="shared" ca="1" si="53"/>
        <v/>
      </c>
      <c r="AC88" s="310" t="e">
        <f t="shared" ca="1" si="54"/>
        <v>#N/A</v>
      </c>
      <c r="AD88" s="323" t="e">
        <f t="shared" ca="1" si="55"/>
        <v>#N/A</v>
      </c>
      <c r="AE88" s="324">
        <f t="shared" ca="1" si="34"/>
        <v>27.790631421568072</v>
      </c>
      <c r="AG88" s="306">
        <f t="shared" ca="1" si="56"/>
        <v>75.774404083188273</v>
      </c>
      <c r="AH88" s="304">
        <f t="shared" ca="1" si="57"/>
        <v>85.537761724214235</v>
      </c>
    </row>
    <row r="89" spans="1:34" x14ac:dyDescent="0.2">
      <c r="A89" s="347">
        <f t="shared" ca="1" si="35"/>
        <v>0.01</v>
      </c>
      <c r="B89" s="304">
        <f t="shared" ca="1" si="36"/>
        <v>0.85000000000000053</v>
      </c>
      <c r="D89" s="306">
        <f t="shared" ca="1" si="37"/>
        <v>8.3296454938155282</v>
      </c>
      <c r="E89" s="307">
        <f t="shared" ca="1" si="38"/>
        <v>75.178829256383509</v>
      </c>
      <c r="F89" s="304">
        <f t="shared" ca="1" si="39"/>
        <v>75.638874677067392</v>
      </c>
      <c r="G89" s="306">
        <f t="shared" ca="1" si="40"/>
        <v>6.5931758663226354</v>
      </c>
      <c r="H89" s="307">
        <f t="shared" ca="1" si="41"/>
        <v>67.173226057782429</v>
      </c>
      <c r="I89" s="304">
        <f t="shared" ca="1" si="42"/>
        <v>67.49601667516535</v>
      </c>
      <c r="J89" s="306">
        <f t="shared" ca="1" si="43"/>
        <v>2.6560028698721001</v>
      </c>
      <c r="K89" s="307">
        <f t="shared" ca="1" si="44"/>
        <v>28.458604740683079</v>
      </c>
      <c r="L89" s="304">
        <f t="shared" ca="1" si="29"/>
        <v>28.582276589369123</v>
      </c>
      <c r="M89" s="306">
        <f t="shared" ca="1" si="45"/>
        <v>1.4729578666298875</v>
      </c>
      <c r="N89" s="304">
        <f t="shared" ca="1" si="46"/>
        <v>84.394269158486154</v>
      </c>
      <c r="P89" s="310">
        <f t="shared" ca="1" si="47"/>
        <v>3</v>
      </c>
      <c r="Q89" s="304">
        <f t="shared" ca="1" si="48"/>
        <v>757.29</v>
      </c>
      <c r="R89" s="306">
        <f t="shared" ca="1" si="49"/>
        <v>0.38004856755588157</v>
      </c>
      <c r="S89" s="307">
        <f t="shared" ca="1" si="50"/>
        <v>8.6733129357209844</v>
      </c>
      <c r="T89" s="304">
        <f t="shared" ca="1" si="30"/>
        <v>85.085199899422861</v>
      </c>
      <c r="U89" s="311">
        <f t="shared" ca="1" si="31"/>
        <v>0</v>
      </c>
      <c r="V89" s="306">
        <f t="shared" ca="1" si="32"/>
        <v>1.2215187744603486</v>
      </c>
      <c r="W89" s="304">
        <f t="shared" ca="1" si="33"/>
        <v>17.001168256472948</v>
      </c>
      <c r="Y89" s="314" t="str">
        <f t="shared" ca="1" si="51"/>
        <v/>
      </c>
      <c r="Z89" s="315" t="str">
        <f t="shared" ca="1" si="52"/>
        <v/>
      </c>
      <c r="AA89" s="316" t="str">
        <f t="shared" ca="1" si="53"/>
        <v/>
      </c>
      <c r="AC89" s="310" t="e">
        <f t="shared" ca="1" si="54"/>
        <v>#N/A</v>
      </c>
      <c r="AD89" s="323" t="e">
        <f t="shared" ca="1" si="55"/>
        <v>#N/A</v>
      </c>
      <c r="AE89" s="324">
        <f t="shared" ca="1" si="34"/>
        <v>28.458604740683079</v>
      </c>
      <c r="AG89" s="306">
        <f t="shared" ca="1" si="56"/>
        <v>75.632821855331102</v>
      </c>
      <c r="AH89" s="304">
        <f t="shared" ca="1" si="57"/>
        <v>85.396042603995127</v>
      </c>
    </row>
    <row r="90" spans="1:34" x14ac:dyDescent="0.2">
      <c r="A90" s="347">
        <f t="shared" ca="1" si="35"/>
        <v>0.01</v>
      </c>
      <c r="B90" s="304">
        <f t="shared" ca="1" si="36"/>
        <v>0.86000000000000054</v>
      </c>
      <c r="D90" s="306">
        <f t="shared" ca="1" si="37"/>
        <v>8.3277933028224194</v>
      </c>
      <c r="E90" s="307">
        <f t="shared" ca="1" si="38"/>
        <v>75.036021619166448</v>
      </c>
      <c r="F90" s="304">
        <f t="shared" ca="1" si="39"/>
        <v>75.496732920879097</v>
      </c>
      <c r="G90" s="306">
        <f t="shared" ca="1" si="40"/>
        <v>6.6764537993508597</v>
      </c>
      <c r="H90" s="307">
        <f t="shared" ca="1" si="41"/>
        <v>67.923586273974095</v>
      </c>
      <c r="I90" s="304">
        <f t="shared" ca="1" si="42"/>
        <v>68.250923859335913</v>
      </c>
      <c r="J90" s="306">
        <f t="shared" ca="1" si="43"/>
        <v>2.7223510182004675</v>
      </c>
      <c r="K90" s="307">
        <f t="shared" ca="1" si="44"/>
        <v>29.134088802341861</v>
      </c>
      <c r="L90" s="304">
        <f t="shared" ca="1" si="29"/>
        <v>29.261003492857835</v>
      </c>
      <c r="M90" s="306">
        <f t="shared" ca="1" si="45"/>
        <v>1.4728174634347073</v>
      </c>
      <c r="N90" s="304">
        <f t="shared" ca="1" si="46"/>
        <v>84.38622464797217</v>
      </c>
      <c r="P90" s="310">
        <f t="shared" ca="1" si="47"/>
        <v>3</v>
      </c>
      <c r="Q90" s="304">
        <f t="shared" ca="1" si="48"/>
        <v>756.1099999999999</v>
      </c>
      <c r="R90" s="306">
        <f t="shared" ca="1" si="49"/>
        <v>0.37945638053411185</v>
      </c>
      <c r="S90" s="307">
        <f t="shared" ca="1" si="50"/>
        <v>8.6695183719156432</v>
      </c>
      <c r="T90" s="304">
        <f t="shared" ca="1" si="30"/>
        <v>85.047975228492461</v>
      </c>
      <c r="U90" s="311">
        <f t="shared" ca="1" si="31"/>
        <v>0</v>
      </c>
      <c r="V90" s="306">
        <f t="shared" ca="1" si="32"/>
        <v>1.2214362654296853</v>
      </c>
      <c r="W90" s="304">
        <f t="shared" ca="1" si="33"/>
        <v>17.382418894137924</v>
      </c>
      <c r="Y90" s="314" t="str">
        <f t="shared" ca="1" si="51"/>
        <v/>
      </c>
      <c r="Z90" s="315" t="str">
        <f t="shared" ca="1" si="52"/>
        <v/>
      </c>
      <c r="AA90" s="316" t="str">
        <f t="shared" ca="1" si="53"/>
        <v/>
      </c>
      <c r="AC90" s="310" t="e">
        <f t="shared" ca="1" si="54"/>
        <v>#N/A</v>
      </c>
      <c r="AD90" s="323" t="e">
        <f t="shared" ca="1" si="55"/>
        <v>#N/A</v>
      </c>
      <c r="AE90" s="324">
        <f t="shared" ca="1" si="34"/>
        <v>29.134088802341861</v>
      </c>
      <c r="AG90" s="306">
        <f t="shared" ca="1" si="56"/>
        <v>75.490651145337779</v>
      </c>
      <c r="AH90" s="304">
        <f t="shared" ca="1" si="57"/>
        <v>85.253736140386209</v>
      </c>
    </row>
    <row r="91" spans="1:34" x14ac:dyDescent="0.2">
      <c r="A91" s="347">
        <f t="shared" ca="1" si="35"/>
        <v>0.01</v>
      </c>
      <c r="B91" s="304">
        <f t="shared" ca="1" si="36"/>
        <v>0.87000000000000055</v>
      </c>
      <c r="D91" s="306">
        <f t="shared" ca="1" si="37"/>
        <v>8.3257279651921703</v>
      </c>
      <c r="E91" s="307">
        <f t="shared" ca="1" si="38"/>
        <v>74.892645855551862</v>
      </c>
      <c r="F91" s="304">
        <f t="shared" ca="1" si="39"/>
        <v>75.354005529868758</v>
      </c>
      <c r="G91" s="306">
        <f t="shared" ca="1" si="40"/>
        <v>6.7597110790027815</v>
      </c>
      <c r="H91" s="307">
        <f t="shared" ca="1" si="41"/>
        <v>68.672512732529611</v>
      </c>
      <c r="I91" s="304">
        <f t="shared" ca="1" si="42"/>
        <v>69.004403474495987</v>
      </c>
      <c r="J91" s="306">
        <f t="shared" ca="1" si="43"/>
        <v>2.7895318425922357</v>
      </c>
      <c r="K91" s="307">
        <f t="shared" ca="1" si="44"/>
        <v>29.817069297374378</v>
      </c>
      <c r="L91" s="304">
        <f t="shared" ca="1" si="29"/>
        <v>29.947272152656272</v>
      </c>
      <c r="M91" s="306">
        <f t="shared" ca="1" si="45"/>
        <v>1.4726783946957733</v>
      </c>
      <c r="N91" s="304">
        <f t="shared" ca="1" si="46"/>
        <v>84.378256596169052</v>
      </c>
      <c r="P91" s="310">
        <f t="shared" ca="1" si="47"/>
        <v>3</v>
      </c>
      <c r="Q91" s="304">
        <f t="shared" ca="1" si="48"/>
        <v>754.93</v>
      </c>
      <c r="R91" s="306">
        <f t="shared" ca="1" si="49"/>
        <v>0.37886419351234224</v>
      </c>
      <c r="S91" s="307">
        <f t="shared" ca="1" si="50"/>
        <v>8.6657297299805194</v>
      </c>
      <c r="T91" s="304">
        <f t="shared" ca="1" si="30"/>
        <v>85.010808651108903</v>
      </c>
      <c r="U91" s="311">
        <f t="shared" ca="1" si="31"/>
        <v>0</v>
      </c>
      <c r="V91" s="306">
        <f t="shared" ca="1" si="32"/>
        <v>1.2213528463826793</v>
      </c>
      <c r="W91" s="304">
        <f t="shared" ca="1" si="33"/>
        <v>17.767122345674117</v>
      </c>
      <c r="Y91" s="314" t="str">
        <f t="shared" ca="1" si="51"/>
        <v/>
      </c>
      <c r="Z91" s="315" t="str">
        <f t="shared" ca="1" si="52"/>
        <v/>
      </c>
      <c r="AA91" s="316" t="str">
        <f t="shared" ca="1" si="53"/>
        <v/>
      </c>
      <c r="AC91" s="310" t="e">
        <f t="shared" ca="1" si="54"/>
        <v>#N/A</v>
      </c>
      <c r="AD91" s="323" t="e">
        <f t="shared" ca="1" si="55"/>
        <v>#N/A</v>
      </c>
      <c r="AE91" s="324">
        <f t="shared" ca="1" si="34"/>
        <v>29.817069297374378</v>
      </c>
      <c r="AG91" s="306">
        <f t="shared" ca="1" si="56"/>
        <v>75.34789478835593</v>
      </c>
      <c r="AH91" s="304">
        <f t="shared" ca="1" si="57"/>
        <v>85.110845143738402</v>
      </c>
    </row>
    <row r="92" spans="1:34" x14ac:dyDescent="0.2">
      <c r="A92" s="347">
        <f t="shared" ca="1" si="35"/>
        <v>0.01</v>
      </c>
      <c r="B92" s="304">
        <f t="shared" ca="1" si="36"/>
        <v>0.88000000000000056</v>
      </c>
      <c r="D92" s="306">
        <f t="shared" ca="1" si="37"/>
        <v>8.3234527062376138</v>
      </c>
      <c r="E92" s="307">
        <f t="shared" ca="1" si="38"/>
        <v>74.748704546294647</v>
      </c>
      <c r="F92" s="304">
        <f t="shared" ca="1" si="39"/>
        <v>75.210695358454331</v>
      </c>
      <c r="G92" s="306">
        <f t="shared" ca="1" si="40"/>
        <v>6.8429456060651574</v>
      </c>
      <c r="H92" s="307">
        <f t="shared" ca="1" si="41"/>
        <v>69.419999777992558</v>
      </c>
      <c r="I92" s="304">
        <f t="shared" ca="1" si="42"/>
        <v>69.756449692799407</v>
      </c>
      <c r="J92" s="306">
        <f t="shared" ca="1" si="43"/>
        <v>2.8575451260175755</v>
      </c>
      <c r="K92" s="307">
        <f t="shared" ca="1" si="44"/>
        <v>30.507531859926988</v>
      </c>
      <c r="L92" s="304">
        <f t="shared" ca="1" si="29"/>
        <v>30.641068263552544</v>
      </c>
      <c r="M92" s="306">
        <f t="shared" ca="1" si="45"/>
        <v>1.4725406306247379</v>
      </c>
      <c r="N92" s="304">
        <f t="shared" ca="1" si="46"/>
        <v>84.370363296330183</v>
      </c>
      <c r="P92" s="310">
        <f t="shared" ca="1" si="47"/>
        <v>3</v>
      </c>
      <c r="Q92" s="304">
        <f t="shared" ca="1" si="48"/>
        <v>753.74999999999989</v>
      </c>
      <c r="R92" s="306">
        <f t="shared" ca="1" si="49"/>
        <v>0.37827200649057252</v>
      </c>
      <c r="S92" s="307">
        <f t="shared" ca="1" si="50"/>
        <v>8.6619470099156128</v>
      </c>
      <c r="T92" s="304">
        <f t="shared" ca="1" si="30"/>
        <v>84.97370016727217</v>
      </c>
      <c r="U92" s="311">
        <f t="shared" ca="1" si="31"/>
        <v>0</v>
      </c>
      <c r="V92" s="306">
        <f t="shared" ca="1" si="32"/>
        <v>1.2212685192605364</v>
      </c>
      <c r="W92" s="304">
        <f t="shared" ca="1" si="33"/>
        <v>18.155249943175601</v>
      </c>
      <c r="Y92" s="314" t="str">
        <f t="shared" ca="1" si="51"/>
        <v/>
      </c>
      <c r="Z92" s="315" t="str">
        <f t="shared" ca="1" si="52"/>
        <v/>
      </c>
      <c r="AA92" s="316" t="str">
        <f t="shared" ca="1" si="53"/>
        <v/>
      </c>
      <c r="AC92" s="310" t="e">
        <f t="shared" ca="1" si="54"/>
        <v>#N/A</v>
      </c>
      <c r="AD92" s="323" t="e">
        <f t="shared" ca="1" si="55"/>
        <v>#N/A</v>
      </c>
      <c r="AE92" s="324">
        <f t="shared" ca="1" si="34"/>
        <v>30.507531859926988</v>
      </c>
      <c r="AG92" s="306">
        <f t="shared" ca="1" si="56"/>
        <v>75.204555635169584</v>
      </c>
      <c r="AH92" s="304">
        <f t="shared" ca="1" si="57"/>
        <v>84.967372440840634</v>
      </c>
    </row>
    <row r="93" spans="1:34" x14ac:dyDescent="0.2">
      <c r="A93" s="347">
        <f t="shared" ca="1" si="35"/>
        <v>0.01</v>
      </c>
      <c r="B93" s="304">
        <f t="shared" ca="1" si="36"/>
        <v>0.89000000000000057</v>
      </c>
      <c r="D93" s="306">
        <f t="shared" ca="1" si="37"/>
        <v>8.3209706547249596</v>
      </c>
      <c r="E93" s="307">
        <f t="shared" ca="1" si="38"/>
        <v>74.604200295805924</v>
      </c>
      <c r="F93" s="304">
        <f t="shared" ca="1" si="39"/>
        <v>75.066805276457075</v>
      </c>
      <c r="G93" s="306">
        <f t="shared" ca="1" si="40"/>
        <v>6.9261553126124067</v>
      </c>
      <c r="H93" s="307">
        <f t="shared" ca="1" si="41"/>
        <v>70.166041780950621</v>
      </c>
      <c r="I93" s="304">
        <f t="shared" ca="1" si="42"/>
        <v>70.507056715058937</v>
      </c>
      <c r="J93" s="306">
        <f t="shared" ca="1" si="43"/>
        <v>2.9263906306109635</v>
      </c>
      <c r="K93" s="307">
        <f t="shared" ca="1" si="44"/>
        <v>31.205462067721704</v>
      </c>
      <c r="L93" s="304">
        <f t="shared" ca="1" si="29"/>
        <v>31.342377462198776</v>
      </c>
      <c r="M93" s="306">
        <f t="shared" ca="1" si="45"/>
        <v>1.4724041424134704</v>
      </c>
      <c r="N93" s="304">
        <f t="shared" ca="1" si="46"/>
        <v>84.362543097871267</v>
      </c>
      <c r="P93" s="310">
        <f t="shared" ca="1" si="47"/>
        <v>3</v>
      </c>
      <c r="Q93" s="304">
        <f t="shared" ca="1" si="48"/>
        <v>752.56999999999994</v>
      </c>
      <c r="R93" s="306">
        <f t="shared" ca="1" si="49"/>
        <v>0.37767981946880291</v>
      </c>
      <c r="S93" s="307">
        <f t="shared" ca="1" si="50"/>
        <v>8.6581702117209254</v>
      </c>
      <c r="T93" s="304">
        <f t="shared" ca="1" si="30"/>
        <v>84.936649776982279</v>
      </c>
      <c r="U93" s="311">
        <f t="shared" ca="1" si="31"/>
        <v>0</v>
      </c>
      <c r="V93" s="306">
        <f t="shared" ca="1" si="32"/>
        <v>1.2211832860128815</v>
      </c>
      <c r="W93" s="304">
        <f t="shared" ca="1" si="33"/>
        <v>18.546772943339437</v>
      </c>
      <c r="Y93" s="314" t="str">
        <f t="shared" ca="1" si="51"/>
        <v/>
      </c>
      <c r="Z93" s="315" t="str">
        <f t="shared" ca="1" si="52"/>
        <v/>
      </c>
      <c r="AA93" s="316" t="str">
        <f t="shared" ca="1" si="53"/>
        <v/>
      </c>
      <c r="AC93" s="310" t="e">
        <f t="shared" ca="1" si="54"/>
        <v>#N/A</v>
      </c>
      <c r="AD93" s="323" t="e">
        <f t="shared" ca="1" si="55"/>
        <v>#N/A</v>
      </c>
      <c r="AE93" s="324">
        <f t="shared" ca="1" si="34"/>
        <v>31.205462067721704</v>
      </c>
      <c r="AG93" s="306">
        <f t="shared" ca="1" si="56"/>
        <v>75.060636552043292</v>
      </c>
      <c r="AH93" s="304">
        <f t="shared" ca="1" si="57"/>
        <v>84.823320874728992</v>
      </c>
    </row>
    <row r="94" spans="1:34" x14ac:dyDescent="0.2">
      <c r="A94" s="347">
        <f t="shared" ca="1" si="35"/>
        <v>0.01</v>
      </c>
      <c r="B94" s="304">
        <f t="shared" ca="1" si="36"/>
        <v>0.90000000000000058</v>
      </c>
      <c r="D94" s="306">
        <f t="shared" ca="1" si="37"/>
        <v>8.3182848472348585</v>
      </c>
      <c r="E94" s="307">
        <f t="shared" ca="1" si="38"/>
        <v>74.459135731636422</v>
      </c>
      <c r="F94" s="304">
        <f t="shared" ca="1" si="39"/>
        <v>74.922338168946595</v>
      </c>
      <c r="G94" s="306">
        <f t="shared" ca="1" si="40"/>
        <v>7.0093381610847549</v>
      </c>
      <c r="H94" s="307">
        <f t="shared" ca="1" si="41"/>
        <v>70.910633138266988</v>
      </c>
      <c r="I94" s="304">
        <f t="shared" ca="1" si="42"/>
        <v>71.256218770899764</v>
      </c>
      <c r="J94" s="306">
        <f t="shared" ca="1" si="43"/>
        <v>2.9960680979794492</v>
      </c>
      <c r="K94" s="307">
        <f t="shared" ca="1" si="44"/>
        <v>31.910845442317793</v>
      </c>
      <c r="L94" s="304">
        <f t="shared" ca="1" si="29"/>
        <v>32.05118532739818</v>
      </c>
      <c r="M94" s="306">
        <f t="shared" ca="1" si="45"/>
        <v>1.4722689021910444</v>
      </c>
      <c r="N94" s="304">
        <f t="shared" ca="1" si="46"/>
        <v>84.354794403905842</v>
      </c>
      <c r="P94" s="310">
        <f t="shared" ca="1" si="47"/>
        <v>3</v>
      </c>
      <c r="Q94" s="304">
        <f t="shared" ca="1" si="48"/>
        <v>751.38999999999987</v>
      </c>
      <c r="R94" s="306">
        <f t="shared" ca="1" si="49"/>
        <v>0.37708763244703325</v>
      </c>
      <c r="S94" s="307">
        <f t="shared" ca="1" si="50"/>
        <v>8.6543993353964552</v>
      </c>
      <c r="T94" s="304">
        <f t="shared" ca="1" si="30"/>
        <v>84.899657480239227</v>
      </c>
      <c r="U94" s="311">
        <f t="shared" ca="1" si="31"/>
        <v>0</v>
      </c>
      <c r="V94" s="306">
        <f t="shared" ca="1" si="32"/>
        <v>1.2210971485977102</v>
      </c>
      <c r="W94" s="304">
        <f t="shared" ca="1" si="33"/>
        <v>18.941662529266942</v>
      </c>
      <c r="Y94" s="314" t="str">
        <f t="shared" ca="1" si="51"/>
        <v/>
      </c>
      <c r="Z94" s="315" t="str">
        <f t="shared" ca="1" si="52"/>
        <v/>
      </c>
      <c r="AA94" s="316" t="str">
        <f t="shared" ca="1" si="53"/>
        <v/>
      </c>
      <c r="AC94" s="310" t="e">
        <f t="shared" ca="1" si="54"/>
        <v>#N/A</v>
      </c>
      <c r="AD94" s="323" t="e">
        <f t="shared" ca="1" si="55"/>
        <v>#N/A</v>
      </c>
      <c r="AE94" s="324">
        <f t="shared" ca="1" si="34"/>
        <v>31.910845442317793</v>
      </c>
      <c r="AG94" s="306">
        <f t="shared" ca="1" si="56"/>
        <v>74.916140420563266</v>
      </c>
      <c r="AH94" s="304">
        <f t="shared" ca="1" si="57"/>
        <v>84.678693304494843</v>
      </c>
    </row>
    <row r="95" spans="1:34" x14ac:dyDescent="0.2">
      <c r="A95" s="347">
        <f t="shared" ca="1" si="35"/>
        <v>0.01</v>
      </c>
      <c r="B95" s="304">
        <f t="shared" ca="1" si="36"/>
        <v>0.91000000000000059</v>
      </c>
      <c r="D95" s="306">
        <f t="shared" ca="1" si="37"/>
        <v>8.3153982322821296</v>
      </c>
      <c r="E95" s="307">
        <f t="shared" ca="1" si="38"/>
        <v>74.313513503976495</v>
      </c>
      <c r="F95" s="304">
        <f t="shared" ca="1" si="39"/>
        <v>74.777296936083061</v>
      </c>
      <c r="G95" s="306">
        <f t="shared" ca="1" si="40"/>
        <v>7.0924921434075765</v>
      </c>
      <c r="H95" s="307">
        <f t="shared" ca="1" si="41"/>
        <v>71.653768273306753</v>
      </c>
      <c r="I95" s="304">
        <f t="shared" ca="1" si="42"/>
        <v>72.003930118911143</v>
      </c>
      <c r="J95" s="306">
        <f t="shared" ca="1" si="43"/>
        <v>3.0665772495019108</v>
      </c>
      <c r="K95" s="307">
        <f t="shared" ca="1" si="44"/>
        <v>32.62366744937566</v>
      </c>
      <c r="L95" s="304">
        <f t="shared" ca="1" si="29"/>
        <v>32.767477380393743</v>
      </c>
      <c r="M95" s="306">
        <f t="shared" ca="1" si="45"/>
        <v>1.4721348829830729</v>
      </c>
      <c r="N95" s="304">
        <f t="shared" ca="1" si="46"/>
        <v>84.347115668915393</v>
      </c>
      <c r="P95" s="310">
        <f t="shared" ca="1" si="47"/>
        <v>3</v>
      </c>
      <c r="Q95" s="304">
        <f t="shared" ca="1" si="48"/>
        <v>750.20999999999992</v>
      </c>
      <c r="R95" s="306">
        <f t="shared" ca="1" si="49"/>
        <v>0.37649544542526359</v>
      </c>
      <c r="S95" s="307">
        <f t="shared" ca="1" si="50"/>
        <v>8.6506343809422024</v>
      </c>
      <c r="T95" s="304">
        <f t="shared" ca="1" si="30"/>
        <v>84.862723277043003</v>
      </c>
      <c r="U95" s="311">
        <f t="shared" ca="1" si="31"/>
        <v>0</v>
      </c>
      <c r="V95" s="306">
        <f t="shared" ca="1" si="32"/>
        <v>1.2210101089813394</v>
      </c>
      <c r="W95" s="304">
        <f t="shared" ca="1" si="33"/>
        <v>19.339889812266538</v>
      </c>
      <c r="Y95" s="314" t="str">
        <f t="shared" ca="1" si="51"/>
        <v/>
      </c>
      <c r="Z95" s="315" t="str">
        <f t="shared" ca="1" si="52"/>
        <v/>
      </c>
      <c r="AA95" s="316" t="str">
        <f t="shared" ca="1" si="53"/>
        <v/>
      </c>
      <c r="AC95" s="310" t="e">
        <f t="shared" ca="1" si="54"/>
        <v>#N/A</v>
      </c>
      <c r="AD95" s="323" t="e">
        <f t="shared" ca="1" si="55"/>
        <v>#N/A</v>
      </c>
      <c r="AE95" s="324">
        <f t="shared" ca="1" si="34"/>
        <v>32.62366744937566</v>
      </c>
      <c r="AG95" s="306">
        <f t="shared" ca="1" si="56"/>
        <v>74.771070137475988</v>
      </c>
      <c r="AH95" s="304">
        <f t="shared" ca="1" si="57"/>
        <v>84.533492605092079</v>
      </c>
    </row>
    <row r="96" spans="1:34" x14ac:dyDescent="0.2">
      <c r="A96" s="347">
        <f t="shared" ca="1" si="35"/>
        <v>0.01</v>
      </c>
      <c r="B96" s="304">
        <f t="shared" ca="1" si="36"/>
        <v>0.9200000000000006</v>
      </c>
      <c r="D96" s="306">
        <f t="shared" ca="1" si="37"/>
        <v>8.3123136742099195</v>
      </c>
      <c r="E96" s="307">
        <f t="shared" ca="1" si="38"/>
        <v>74.167336285171743</v>
      </c>
      <c r="F96" s="304">
        <f t="shared" ca="1" si="39"/>
        <v>74.631684492956538</v>
      </c>
      <c r="G96" s="306">
        <f t="shared" ca="1" si="40"/>
        <v>7.1756152801496755</v>
      </c>
      <c r="H96" s="307">
        <f t="shared" ca="1" si="41"/>
        <v>72.395441636158466</v>
      </c>
      <c r="I96" s="304">
        <f t="shared" ca="1" si="42"/>
        <v>72.750185046796588</v>
      </c>
      <c r="J96" s="306">
        <f t="shared" ca="1" si="43"/>
        <v>3.1379177866196972</v>
      </c>
      <c r="K96" s="307">
        <f t="shared" ca="1" si="44"/>
        <v>33.343913498922987</v>
      </c>
      <c r="L96" s="304">
        <f t="shared" ca="1" si="29"/>
        <v>33.491239085158419</v>
      </c>
      <c r="M96" s="306">
        <f t="shared" ca="1" si="45"/>
        <v>1.4720020586732343</v>
      </c>
      <c r="N96" s="304">
        <f t="shared" ca="1" si="46"/>
        <v>84.339505396544908</v>
      </c>
      <c r="P96" s="310">
        <f t="shared" ca="1" si="47"/>
        <v>3</v>
      </c>
      <c r="Q96" s="304">
        <f t="shared" ca="1" si="48"/>
        <v>749.03</v>
      </c>
      <c r="R96" s="306">
        <f t="shared" ca="1" si="49"/>
        <v>0.37590325840349398</v>
      </c>
      <c r="S96" s="307">
        <f t="shared" ca="1" si="50"/>
        <v>8.6468753483581668</v>
      </c>
      <c r="T96" s="304">
        <f t="shared" ca="1" si="30"/>
        <v>84.825847167393619</v>
      </c>
      <c r="U96" s="311">
        <f t="shared" ca="1" si="31"/>
        <v>0</v>
      </c>
      <c r="V96" s="306">
        <f t="shared" ca="1" si="32"/>
        <v>1.2209221691383576</v>
      </c>
      <c r="W96" s="304">
        <f t="shared" ca="1" si="33"/>
        <v>19.741425833658152</v>
      </c>
      <c r="Y96" s="314" t="str">
        <f t="shared" ca="1" si="51"/>
        <v/>
      </c>
      <c r="Z96" s="315" t="str">
        <f t="shared" ca="1" si="52"/>
        <v/>
      </c>
      <c r="AA96" s="316" t="str">
        <f t="shared" ca="1" si="53"/>
        <v/>
      </c>
      <c r="AC96" s="310" t="e">
        <f t="shared" ca="1" si="54"/>
        <v>#N/A</v>
      </c>
      <c r="AD96" s="323" t="e">
        <f t="shared" ca="1" si="55"/>
        <v>#N/A</v>
      </c>
      <c r="AE96" s="324">
        <f t="shared" ca="1" si="34"/>
        <v>33.343913498922987</v>
      </c>
      <c r="AG96" s="306">
        <f t="shared" ca="1" si="56"/>
        <v>74.625428614524097</v>
      </c>
      <c r="AH96" s="304">
        <f t="shared" ca="1" si="57"/>
        <v>84.387721667143495</v>
      </c>
    </row>
    <row r="97" spans="1:34" x14ac:dyDescent="0.2">
      <c r="A97" s="347">
        <f t="shared" ca="1" si="35"/>
        <v>0.01</v>
      </c>
      <c r="B97" s="304">
        <f t="shared" ca="1" si="36"/>
        <v>0.9300000000000006</v>
      </c>
      <c r="D97" s="306">
        <f t="shared" ca="1" si="37"/>
        <v>8.3090339568731792</v>
      </c>
      <c r="E97" s="307">
        <f t="shared" ca="1" si="38"/>
        <v>74.020606769253064</v>
      </c>
      <c r="F97" s="304">
        <f t="shared" ca="1" si="39"/>
        <v>74.485503769423914</v>
      </c>
      <c r="G97" s="306">
        <f t="shared" ca="1" si="40"/>
        <v>7.2587056197184072</v>
      </c>
      <c r="H97" s="307">
        <f t="shared" ca="1" si="41"/>
        <v>73.135647703850992</v>
      </c>
      <c r="I97" s="304">
        <f t="shared" ca="1" si="42"/>
        <v>73.494977871522195</v>
      </c>
      <c r="J97" s="306">
        <f t="shared" ca="1" si="43"/>
        <v>3.2100893911190376</v>
      </c>
      <c r="K97" s="307">
        <f t="shared" ca="1" si="44"/>
        <v>34.071568945623035</v>
      </c>
      <c r="L97" s="304">
        <f t="shared" ca="1" si="29"/>
        <v>34.22245584868682</v>
      </c>
      <c r="M97" s="306">
        <f t="shared" ca="1" si="45"/>
        <v>1.471870403966854</v>
      </c>
      <c r="N97" s="304">
        <f t="shared" ca="1" si="46"/>
        <v>84.331962137516271</v>
      </c>
      <c r="P97" s="310">
        <f t="shared" ca="1" si="47"/>
        <v>3</v>
      </c>
      <c r="Q97" s="304">
        <f t="shared" ca="1" si="48"/>
        <v>747.84999999999991</v>
      </c>
      <c r="R97" s="306">
        <f t="shared" ca="1" si="49"/>
        <v>0.37531107138172431</v>
      </c>
      <c r="S97" s="307">
        <f t="shared" ca="1" si="50"/>
        <v>8.6431222376443504</v>
      </c>
      <c r="T97" s="304">
        <f t="shared" ca="1" si="30"/>
        <v>84.789029151291075</v>
      </c>
      <c r="U97" s="311">
        <f t="shared" ca="1" si="31"/>
        <v>0</v>
      </c>
      <c r="V97" s="306">
        <f t="shared" ca="1" si="32"/>
        <v>1.2208333310515789</v>
      </c>
      <c r="W97" s="304">
        <f t="shared" ca="1" si="33"/>
        <v>20.146241566578837</v>
      </c>
      <c r="Y97" s="314" t="str">
        <f t="shared" ca="1" si="51"/>
        <v/>
      </c>
      <c r="Z97" s="315" t="str">
        <f t="shared" ca="1" si="52"/>
        <v/>
      </c>
      <c r="AA97" s="316" t="str">
        <f t="shared" ca="1" si="53"/>
        <v/>
      </c>
      <c r="AC97" s="310" t="e">
        <f t="shared" ca="1" si="54"/>
        <v>#N/A</v>
      </c>
      <c r="AD97" s="323" t="e">
        <f t="shared" ca="1" si="55"/>
        <v>#N/A</v>
      </c>
      <c r="AE97" s="324">
        <f t="shared" ca="1" si="34"/>
        <v>34.071568945623035</v>
      </c>
      <c r="AG97" s="306">
        <f t="shared" ca="1" si="56"/>
        <v>74.479218778280014</v>
      </c>
      <c r="AH97" s="304">
        <f t="shared" ca="1" si="57"/>
        <v>84.241383396746329</v>
      </c>
    </row>
    <row r="98" spans="1:34" x14ac:dyDescent="0.2">
      <c r="A98" s="347">
        <f t="shared" ca="1" si="35"/>
        <v>0.01</v>
      </c>
      <c r="B98" s="304">
        <f t="shared" ca="1" si="36"/>
        <v>0.94000000000000061</v>
      </c>
      <c r="D98" s="306">
        <f t="shared" ca="1" si="37"/>
        <v>8.305561787124601</v>
      </c>
      <c r="E98" s="307">
        <f t="shared" ca="1" si="38"/>
        <v>73.873327671480482</v>
      </c>
      <c r="F98" s="304">
        <f t="shared" ca="1" si="39"/>
        <v>74.338757709943394</v>
      </c>
      <c r="G98" s="306">
        <f t="shared" ca="1" si="40"/>
        <v>7.3417612375896528</v>
      </c>
      <c r="H98" s="307">
        <f t="shared" ca="1" si="41"/>
        <v>73.874380980565803</v>
      </c>
      <c r="I98" s="304">
        <f t="shared" ca="1" si="42"/>
        <v>74.238302939463509</v>
      </c>
      <c r="J98" s="306">
        <f t="shared" ca="1" si="43"/>
        <v>3.283091725405578</v>
      </c>
      <c r="K98" s="307">
        <f t="shared" ca="1" si="44"/>
        <v>34.806619089045121</v>
      </c>
      <c r="L98" s="304">
        <f t="shared" ca="1" si="29"/>
        <v>34.961113021288476</v>
      </c>
      <c r="M98" s="306">
        <f t="shared" ca="1" si="45"/>
        <v>1.4717398943564062</v>
      </c>
      <c r="N98" s="304">
        <f t="shared" ca="1" si="46"/>
        <v>84.324484487651716</v>
      </c>
      <c r="P98" s="310">
        <f t="shared" ca="1" si="47"/>
        <v>3</v>
      </c>
      <c r="Q98" s="304">
        <f t="shared" ca="1" si="48"/>
        <v>746.67</v>
      </c>
      <c r="R98" s="306">
        <f t="shared" ca="1" si="49"/>
        <v>0.37471888435995465</v>
      </c>
      <c r="S98" s="307">
        <f t="shared" ca="1" si="50"/>
        <v>8.6393750488007512</v>
      </c>
      <c r="T98" s="304">
        <f t="shared" ca="1" si="30"/>
        <v>84.752269228735372</v>
      </c>
      <c r="U98" s="311">
        <f t="shared" ca="1" si="31"/>
        <v>0</v>
      </c>
      <c r="V98" s="306">
        <f t="shared" ca="1" si="32"/>
        <v>1.2207435967119888</v>
      </c>
      <c r="W98" s="304">
        <f t="shared" ca="1" si="33"/>
        <v>20.554307917789515</v>
      </c>
      <c r="Y98" s="314" t="str">
        <f t="shared" ca="1" si="51"/>
        <v/>
      </c>
      <c r="Z98" s="315" t="str">
        <f t="shared" ca="1" si="52"/>
        <v/>
      </c>
      <c r="AA98" s="316" t="str">
        <f t="shared" ca="1" si="53"/>
        <v/>
      </c>
      <c r="AC98" s="310" t="e">
        <f t="shared" ca="1" si="54"/>
        <v>#N/A</v>
      </c>
      <c r="AD98" s="323" t="e">
        <f t="shared" ca="1" si="55"/>
        <v>#N/A</v>
      </c>
      <c r="AE98" s="324">
        <f t="shared" ca="1" si="34"/>
        <v>34.806619089045121</v>
      </c>
      <c r="AG98" s="306">
        <f t="shared" ca="1" si="56"/>
        <v>74.332443569977428</v>
      </c>
      <c r="AH98" s="304">
        <f t="shared" ca="1" si="57"/>
        <v>84.094480715277115</v>
      </c>
    </row>
    <row r="99" spans="1:34" x14ac:dyDescent="0.2">
      <c r="A99" s="347">
        <f t="shared" ca="1" si="35"/>
        <v>0.01</v>
      </c>
      <c r="B99" s="304">
        <f t="shared" ca="1" si="36"/>
        <v>0.95000000000000062</v>
      </c>
      <c r="D99" s="306">
        <f t="shared" ca="1" si="37"/>
        <v>8.3018997981158904</v>
      </c>
      <c r="E99" s="307">
        <f t="shared" ca="1" si="38"/>
        <v>73.725501727899442</v>
      </c>
      <c r="F99" s="304">
        <f t="shared" ca="1" si="39"/>
        <v>74.191449273406562</v>
      </c>
      <c r="G99" s="306">
        <f t="shared" ca="1" si="40"/>
        <v>7.4247802355708119</v>
      </c>
      <c r="H99" s="307">
        <f t="shared" ca="1" si="41"/>
        <v>74.6116359978448</v>
      </c>
      <c r="I99" s="304">
        <f t="shared" ca="1" si="42"/>
        <v>74.980154626550444</v>
      </c>
      <c r="J99" s="306">
        <f t="shared" ca="1" si="43"/>
        <v>3.3569244327713803</v>
      </c>
      <c r="K99" s="307">
        <f t="shared" ca="1" si="44"/>
        <v>35.549049173937171</v>
      </c>
      <c r="L99" s="304">
        <f t="shared" ca="1" si="29"/>
        <v>35.707195896882475</v>
      </c>
      <c r="M99" s="306">
        <f t="shared" ca="1" si="45"/>
        <v>1.4716105060888183</v>
      </c>
      <c r="N99" s="304">
        <f t="shared" ca="1" si="46"/>
        <v>84.317071086000425</v>
      </c>
      <c r="P99" s="310">
        <f t="shared" ca="1" si="47"/>
        <v>3</v>
      </c>
      <c r="Q99" s="304">
        <f t="shared" ca="1" si="48"/>
        <v>745.4899999999999</v>
      </c>
      <c r="R99" s="306">
        <f t="shared" ca="1" si="49"/>
        <v>0.37412669733818499</v>
      </c>
      <c r="S99" s="307">
        <f t="shared" ca="1" si="50"/>
        <v>8.6356337818273694</v>
      </c>
      <c r="T99" s="304">
        <f t="shared" ca="1" si="30"/>
        <v>84.715567399726496</v>
      </c>
      <c r="U99" s="311">
        <f t="shared" ca="1" si="31"/>
        <v>0</v>
      </c>
      <c r="V99" s="306">
        <f t="shared" ca="1" si="32"/>
        <v>1.2206529681186984</v>
      </c>
      <c r="W99" s="304">
        <f t="shared" ca="1" si="33"/>
        <v>20.965595729482597</v>
      </c>
      <c r="Y99" s="314" t="str">
        <f t="shared" ca="1" si="51"/>
        <v/>
      </c>
      <c r="Z99" s="315" t="str">
        <f t="shared" ca="1" si="52"/>
        <v/>
      </c>
      <c r="AA99" s="316" t="str">
        <f t="shared" ca="1" si="53"/>
        <v/>
      </c>
      <c r="AC99" s="310" t="e">
        <f t="shared" ca="1" si="54"/>
        <v>#N/A</v>
      </c>
      <c r="AD99" s="323" t="e">
        <f t="shared" ca="1" si="55"/>
        <v>#N/A</v>
      </c>
      <c r="AE99" s="324">
        <f t="shared" ca="1" si="34"/>
        <v>35.549049173937171</v>
      </c>
      <c r="AG99" s="306">
        <f t="shared" ca="1" si="56"/>
        <v>74.185105945340268</v>
      </c>
      <c r="AH99" s="304">
        <f t="shared" ca="1" si="57"/>
        <v>83.947016559195518</v>
      </c>
    </row>
    <row r="100" spans="1:34" x14ac:dyDescent="0.2">
      <c r="A100" s="347">
        <f t="shared" ca="1" si="35"/>
        <v>0.01</v>
      </c>
      <c r="B100" s="304">
        <f t="shared" ca="1" si="36"/>
        <v>0.96000000000000063</v>
      </c>
      <c r="D100" s="306">
        <f t="shared" ca="1" si="37"/>
        <v>8.2980505524257104</v>
      </c>
      <c r="E100" s="307">
        <f t="shared" ca="1" si="38"/>
        <v>73.577131694909113</v>
      </c>
      <c r="F100" s="304">
        <f t="shared" ca="1" si="39"/>
        <v>74.043581432968324</v>
      </c>
      <c r="G100" s="306">
        <f t="shared" ca="1" si="40"/>
        <v>7.5077607410950691</v>
      </c>
      <c r="H100" s="307">
        <f t="shared" ca="1" si="41"/>
        <v>75.347407314793898</v>
      </c>
      <c r="I100" s="304">
        <f t="shared" ca="1" si="42"/>
        <v>75.720527338410591</v>
      </c>
      <c r="J100" s="306">
        <f t="shared" ca="1" si="43"/>
        <v>3.4315871376547098</v>
      </c>
      <c r="K100" s="307">
        <f t="shared" ca="1" si="44"/>
        <v>36.298844390500363</v>
      </c>
      <c r="L100" s="304">
        <f t="shared" ca="1" si="29"/>
        <v>36.460689713293647</v>
      </c>
      <c r="M100" s="306">
        <f t="shared" ca="1" si="45"/>
        <v>1.4714822161344636</v>
      </c>
      <c r="N100" s="304">
        <f t="shared" ca="1" si="46"/>
        <v>84.30972061306197</v>
      </c>
      <c r="P100" s="310">
        <f t="shared" ca="1" si="47"/>
        <v>3</v>
      </c>
      <c r="Q100" s="304">
        <f t="shared" ca="1" si="48"/>
        <v>744.31</v>
      </c>
      <c r="R100" s="306">
        <f t="shared" ca="1" si="49"/>
        <v>0.37353451031641538</v>
      </c>
      <c r="S100" s="307">
        <f t="shared" ca="1" si="50"/>
        <v>8.6318984367242049</v>
      </c>
      <c r="T100" s="304">
        <f t="shared" ca="1" si="30"/>
        <v>84.67892366426446</v>
      </c>
      <c r="U100" s="311">
        <f t="shared" ca="1" si="31"/>
        <v>0</v>
      </c>
      <c r="V100" s="306">
        <f t="shared" ca="1" si="32"/>
        <v>1.2205614472788908</v>
      </c>
      <c r="W100" s="304">
        <f t="shared" ca="1" si="33"/>
        <v>21.380075781090245</v>
      </c>
      <c r="Y100" s="314" t="str">
        <f t="shared" ca="1" si="51"/>
        <v/>
      </c>
      <c r="Z100" s="315" t="str">
        <f t="shared" ca="1" si="52"/>
        <v/>
      </c>
      <c r="AA100" s="316" t="str">
        <f t="shared" ca="1" si="53"/>
        <v/>
      </c>
      <c r="AC100" s="310" t="e">
        <f t="shared" ca="1" si="54"/>
        <v>#N/A</v>
      </c>
      <c r="AD100" s="323" t="e">
        <f t="shared" ca="1" si="55"/>
        <v>#N/A</v>
      </c>
      <c r="AE100" s="324">
        <f t="shared" ca="1" si="34"/>
        <v>36.298844390500363</v>
      </c>
      <c r="AG100" s="306">
        <f t="shared" ca="1" si="56"/>
        <v>74.037208874409899</v>
      </c>
      <c r="AH100" s="304">
        <f t="shared" ca="1" si="57"/>
        <v>83.798993879847558</v>
      </c>
    </row>
    <row r="101" spans="1:34" x14ac:dyDescent="0.2">
      <c r="A101" s="347">
        <f t="shared" ca="1" si="35"/>
        <v>0.01</v>
      </c>
      <c r="B101" s="304">
        <f t="shared" ca="1" si="36"/>
        <v>0.97000000000000064</v>
      </c>
      <c r="D101" s="306">
        <f t="shared" ca="1" si="37"/>
        <v>8.2940165450252348</v>
      </c>
      <c r="E101" s="307">
        <f t="shared" ca="1" si="38"/>
        <v>73.428220348841847</v>
      </c>
      <c r="F101" s="304">
        <f t="shared" ca="1" si="39"/>
        <v>73.895157175874687</v>
      </c>
      <c r="G101" s="306">
        <f t="shared" ca="1" si="40"/>
        <v>7.5907009065453215</v>
      </c>
      <c r="H101" s="307">
        <f t="shared" ca="1" si="41"/>
        <v>76.081689518282317</v>
      </c>
      <c r="I101" s="304">
        <f t="shared" ca="1" si="42"/>
        <v>76.459415510510794</v>
      </c>
      <c r="J101" s="306">
        <f t="shared" ca="1" si="43"/>
        <v>3.5070794458929115</v>
      </c>
      <c r="K101" s="307">
        <f t="shared" ca="1" si="44"/>
        <v>37.055989874665741</v>
      </c>
      <c r="L101" s="304">
        <f t="shared" ca="1" si="29"/>
        <v>37.221579652550133</v>
      </c>
      <c r="M101" s="306">
        <f t="shared" ca="1" si="45"/>
        <v>1.4713550021577395</v>
      </c>
      <c r="N101" s="304">
        <f t="shared" ca="1" si="46"/>
        <v>84.302431789100609</v>
      </c>
      <c r="P101" s="310">
        <f t="shared" ca="1" si="47"/>
        <v>3</v>
      </c>
      <c r="Q101" s="304">
        <f t="shared" ca="1" si="48"/>
        <v>743.12999999999988</v>
      </c>
      <c r="R101" s="306">
        <f t="shared" ca="1" si="49"/>
        <v>0.37294232329464566</v>
      </c>
      <c r="S101" s="307">
        <f t="shared" ca="1" si="50"/>
        <v>8.6281690134912576</v>
      </c>
      <c r="T101" s="304">
        <f t="shared" ca="1" si="30"/>
        <v>84.642338022349236</v>
      </c>
      <c r="U101" s="311">
        <f t="shared" ca="1" si="31"/>
        <v>0</v>
      </c>
      <c r="V101" s="306">
        <f t="shared" ca="1" si="32"/>
        <v>1.2204690362077739</v>
      </c>
      <c r="W101" s="304">
        <f t="shared" ca="1" si="33"/>
        <v>21.797718791093278</v>
      </c>
      <c r="Y101" s="314" t="str">
        <f t="shared" ca="1" si="51"/>
        <v/>
      </c>
      <c r="Z101" s="315" t="str">
        <f t="shared" ca="1" si="52"/>
        <v/>
      </c>
      <c r="AA101" s="316" t="str">
        <f t="shared" ca="1" si="53"/>
        <v/>
      </c>
      <c r="AC101" s="310" t="e">
        <f t="shared" ca="1" si="54"/>
        <v>#N/A</v>
      </c>
      <c r="AD101" s="323" t="e">
        <f t="shared" ca="1" si="55"/>
        <v>#N/A</v>
      </c>
      <c r="AE101" s="324">
        <f t="shared" ca="1" si="34"/>
        <v>37.055989874665741</v>
      </c>
      <c r="AG101" s="306">
        <f t="shared" ca="1" si="56"/>
        <v>73.888755341370256</v>
      </c>
      <c r="AH101" s="304">
        <f t="shared" ca="1" si="57"/>
        <v>83.650415643268033</v>
      </c>
    </row>
    <row r="102" spans="1:34" x14ac:dyDescent="0.2">
      <c r="A102" s="347">
        <f t="shared" ca="1" si="35"/>
        <v>0.01</v>
      </c>
      <c r="B102" s="304">
        <f t="shared" ca="1" si="36"/>
        <v>0.98000000000000065</v>
      </c>
      <c r="D102" s="306">
        <f t="shared" ca="1" si="37"/>
        <v>8.2898002060912042</v>
      </c>
      <c r="E102" s="307">
        <f t="shared" ca="1" si="38"/>
        <v>73.278770485553082</v>
      </c>
      <c r="F102" s="304">
        <f t="shared" ca="1" si="39"/>
        <v>73.746179503288673</v>
      </c>
      <c r="G102" s="306">
        <f t="shared" ca="1" si="40"/>
        <v>7.6735989086062339</v>
      </c>
      <c r="H102" s="307">
        <f t="shared" ca="1" si="41"/>
        <v>76.814477223137843</v>
      </c>
      <c r="I102" s="304">
        <f t="shared" ca="1" si="42"/>
        <v>77.19681360829685</v>
      </c>
      <c r="J102" s="306">
        <f t="shared" ca="1" si="43"/>
        <v>3.5834009449686692</v>
      </c>
      <c r="K102" s="307">
        <f t="shared" ca="1" si="44"/>
        <v>37.820470708372845</v>
      </c>
      <c r="L102" s="304">
        <f t="shared" ca="1" si="29"/>
        <v>37.989850841182452</v>
      </c>
      <c r="M102" s="306">
        <f t="shared" ca="1" si="45"/>
        <v>1.471228842489134</v>
      </c>
      <c r="N102" s="304">
        <f t="shared" ca="1" si="46"/>
        <v>84.295203372544748</v>
      </c>
      <c r="P102" s="310">
        <f t="shared" ca="1" si="47"/>
        <v>3</v>
      </c>
      <c r="Q102" s="304">
        <f t="shared" ca="1" si="48"/>
        <v>741.94999999999993</v>
      </c>
      <c r="R102" s="306">
        <f t="shared" ca="1" si="49"/>
        <v>0.37235013627287605</v>
      </c>
      <c r="S102" s="307">
        <f t="shared" ca="1" si="50"/>
        <v>8.6244455121285295</v>
      </c>
      <c r="T102" s="304">
        <f t="shared" ca="1" si="30"/>
        <v>84.605810473980881</v>
      </c>
      <c r="U102" s="311">
        <f t="shared" ca="1" si="31"/>
        <v>0</v>
      </c>
      <c r="V102" s="306">
        <f t="shared" ca="1" si="32"/>
        <v>1.2203757369285266</v>
      </c>
      <c r="W102" s="304">
        <f t="shared" ca="1" si="33"/>
        <v>22.218495418830241</v>
      </c>
      <c r="Y102" s="314" t="str">
        <f t="shared" ca="1" si="51"/>
        <v/>
      </c>
      <c r="Z102" s="315" t="str">
        <f t="shared" ca="1" si="52"/>
        <v/>
      </c>
      <c r="AA102" s="316" t="str">
        <f t="shared" ca="1" si="53"/>
        <v/>
      </c>
      <c r="AC102" s="310" t="e">
        <f t="shared" ca="1" si="54"/>
        <v>#N/A</v>
      </c>
      <c r="AD102" s="323" t="e">
        <f t="shared" ca="1" si="55"/>
        <v>#N/A</v>
      </c>
      <c r="AE102" s="324">
        <f t="shared" ca="1" si="34"/>
        <v>37.820470708372845</v>
      </c>
      <c r="AG102" s="306">
        <f t="shared" ca="1" si="56"/>
        <v>73.739748344371179</v>
      </c>
      <c r="AH102" s="304">
        <f t="shared" ca="1" si="57"/>
        <v>83.501284829982268</v>
      </c>
    </row>
    <row r="103" spans="1:34" x14ac:dyDescent="0.2">
      <c r="A103" s="347">
        <f t="shared" ca="1" si="35"/>
        <v>0.01</v>
      </c>
      <c r="B103" s="304">
        <f t="shared" ca="1" si="36"/>
        <v>0.99000000000000066</v>
      </c>
      <c r="D103" s="306">
        <f t="shared" ca="1" si="37"/>
        <v>8.2854039036757765</v>
      </c>
      <c r="E103" s="307">
        <f t="shared" ca="1" si="38"/>
        <v>73.128784920021019</v>
      </c>
      <c r="F103" s="304">
        <f t="shared" ca="1" si="39"/>
        <v>73.59665143011425</v>
      </c>
      <c r="G103" s="306">
        <f t="shared" ca="1" si="40"/>
        <v>7.756452947642992</v>
      </c>
      <c r="H103" s="307">
        <f t="shared" ca="1" si="41"/>
        <v>77.545765072338057</v>
      </c>
      <c r="I103" s="304">
        <f t="shared" ca="1" si="42"/>
        <v>77.93271612733156</v>
      </c>
      <c r="J103" s="306">
        <f t="shared" ca="1" si="43"/>
        <v>3.6605512042499155</v>
      </c>
      <c r="K103" s="307">
        <f t="shared" ca="1" si="44"/>
        <v>38.592271919850226</v>
      </c>
      <c r="L103" s="304">
        <f t="shared" ca="1" si="29"/>
        <v>38.765488350523789</v>
      </c>
      <c r="M103" s="306">
        <f t="shared" ca="1" si="45"/>
        <v>1.4711037160986917</v>
      </c>
      <c r="N103" s="304">
        <f t="shared" ca="1" si="46"/>
        <v>84.288034158466701</v>
      </c>
      <c r="P103" s="310">
        <f t="shared" ca="1" si="47"/>
        <v>3</v>
      </c>
      <c r="Q103" s="304">
        <f t="shared" ca="1" si="48"/>
        <v>740.77</v>
      </c>
      <c r="R103" s="306">
        <f t="shared" ca="1" si="49"/>
        <v>0.37175794925110639</v>
      </c>
      <c r="S103" s="307">
        <f t="shared" ca="1" si="50"/>
        <v>8.6207279326360187</v>
      </c>
      <c r="T103" s="304">
        <f t="shared" ca="1" si="30"/>
        <v>84.569341019159353</v>
      </c>
      <c r="U103" s="311">
        <f t="shared" ca="1" si="31"/>
        <v>0</v>
      </c>
      <c r="V103" s="306">
        <f t="shared" ca="1" si="32"/>
        <v>1.2202815514722498</v>
      </c>
      <c r="W103" s="304">
        <f t="shared" ca="1" si="33"/>
        <v>22.642376266306698</v>
      </c>
      <c r="Y103" s="314" t="str">
        <f t="shared" ca="1" si="51"/>
        <v/>
      </c>
      <c r="Z103" s="315" t="str">
        <f t="shared" ca="1" si="52"/>
        <v/>
      </c>
      <c r="AA103" s="316" t="str">
        <f t="shared" ca="1" si="53"/>
        <v/>
      </c>
      <c r="AC103" s="310" t="e">
        <f t="shared" ca="1" si="54"/>
        <v>#N/A</v>
      </c>
      <c r="AD103" s="323" t="e">
        <f t="shared" ca="1" si="55"/>
        <v>#N/A</v>
      </c>
      <c r="AE103" s="324">
        <f t="shared" ca="1" si="34"/>
        <v>38.592271919850226</v>
      </c>
      <c r="AG103" s="306">
        <f t="shared" ca="1" si="56"/>
        <v>73.590190895349892</v>
      </c>
      <c r="AH103" s="304">
        <f t="shared" ca="1" si="57"/>
        <v>83.351604434807086</v>
      </c>
    </row>
    <row r="104" spans="1:34" x14ac:dyDescent="0.2">
      <c r="A104" s="347">
        <f t="shared" ca="1" si="35"/>
        <v>0.01</v>
      </c>
      <c r="B104" s="304">
        <f t="shared" ca="1" si="36"/>
        <v>1.0000000000000007</v>
      </c>
      <c r="D104" s="306">
        <f t="shared" ca="1" si="37"/>
        <v>8.280829946241731</v>
      </c>
      <c r="E104" s="307">
        <f t="shared" ca="1" si="38"/>
        <v>72.978266485955572</v>
      </c>
      <c r="F104" s="304">
        <f t="shared" ca="1" si="39"/>
        <v>73.446575984818509</v>
      </c>
      <c r="G104" s="306">
        <f t="shared" ca="1" si="40"/>
        <v>7.8392612471054095</v>
      </c>
      <c r="H104" s="307">
        <f t="shared" ca="1" si="41"/>
        <v>78.275547737197613</v>
      </c>
      <c r="I104" s="304">
        <f t="shared" ca="1" si="42"/>
        <v>78.667117593430802</v>
      </c>
      <c r="J104" s="306">
        <f t="shared" ca="1" si="43"/>
        <v>3.7385297752236575</v>
      </c>
      <c r="K104" s="307">
        <f t="shared" ca="1" si="44"/>
        <v>39.371378483897907</v>
      </c>
      <c r="L104" s="304">
        <f t="shared" ca="1" si="29"/>
        <v>39.548477197011934</v>
      </c>
      <c r="M104" s="306">
        <f t="shared" ca="1" si="45"/>
        <v>1.4709796025707942</v>
      </c>
      <c r="N104" s="304">
        <f t="shared" ca="1" si="46"/>
        <v>84.280922977137692</v>
      </c>
      <c r="P104" s="310">
        <f t="shared" ca="1" si="47"/>
        <v>3</v>
      </c>
      <c r="Q104" s="304">
        <f t="shared" ca="1" si="48"/>
        <v>739.58999999999992</v>
      </c>
      <c r="R104" s="306">
        <f t="shared" ca="1" si="49"/>
        <v>0.37116576222933673</v>
      </c>
      <c r="S104" s="307">
        <f t="shared" ca="1" si="50"/>
        <v>8.6170162750137251</v>
      </c>
      <c r="T104" s="304">
        <f t="shared" ca="1" si="30"/>
        <v>84.532929657884651</v>
      </c>
      <c r="U104" s="311">
        <f t="shared" ca="1" si="31"/>
        <v>0</v>
      </c>
      <c r="V104" s="306">
        <f t="shared" ca="1" si="32"/>
        <v>1.2201864818779138</v>
      </c>
      <c r="W104" s="304">
        <f t="shared" ca="1" si="33"/>
        <v>23.069331880004395</v>
      </c>
      <c r="Y104" s="314" t="str">
        <f t="shared" ca="1" si="51"/>
        <v/>
      </c>
      <c r="Z104" s="315" t="str">
        <f t="shared" ca="1" si="52"/>
        <v/>
      </c>
      <c r="AA104" s="316" t="str">
        <f t="shared" ca="1" si="53"/>
        <v/>
      </c>
      <c r="AC104" s="310">
        <f t="shared" ca="1" si="54"/>
        <v>1.0000000000000007</v>
      </c>
      <c r="AD104" s="323">
        <f t="shared" ca="1" si="55"/>
        <v>3.7385297752236575</v>
      </c>
      <c r="AE104" s="324">
        <f t="shared" ca="1" si="34"/>
        <v>39.371378483897907</v>
      </c>
      <c r="AG104" s="306">
        <f t="shared" ca="1" si="56"/>
        <v>73.440086019850881</v>
      </c>
      <c r="AH104" s="304">
        <f t="shared" ca="1" si="57"/>
        <v>83.201377466651167</v>
      </c>
    </row>
    <row r="105" spans="1:34" x14ac:dyDescent="0.2">
      <c r="A105" s="347">
        <f t="shared" ca="1" si="35"/>
        <v>0.01</v>
      </c>
      <c r="B105" s="304">
        <f t="shared" ca="1" si="36"/>
        <v>1.0100000000000007</v>
      </c>
      <c r="D105" s="306">
        <f t="shared" ca="1" si="37"/>
        <v>8.2736499933783048</v>
      </c>
      <c r="E105" s="307">
        <f t="shared" ca="1" si="38"/>
        <v>72.80294841483682</v>
      </c>
      <c r="F105" s="304">
        <f t="shared" ca="1" si="39"/>
        <v>73.271567351233315</v>
      </c>
      <c r="G105" s="306">
        <f t="shared" ca="1" si="40"/>
        <v>7.9219977470391925</v>
      </c>
      <c r="H105" s="307">
        <f t="shared" ca="1" si="41"/>
        <v>79.003577221345978</v>
      </c>
      <c r="I105" s="304">
        <f t="shared" ca="1" si="42"/>
        <v>79.399768652517309</v>
      </c>
      <c r="J105" s="306">
        <f t="shared" ca="1" si="43"/>
        <v>3.8173360701943806</v>
      </c>
      <c r="K105" s="307">
        <f t="shared" ca="1" si="44"/>
        <v>40.157774108690624</v>
      </c>
      <c r="L105" s="304">
        <f t="shared" ca="1" si="29"/>
        <v>40.338801122956419</v>
      </c>
      <c r="M105" s="306">
        <f t="shared" ca="1" si="45"/>
        <v>1.4708564817019611</v>
      </c>
      <c r="N105" s="304">
        <f t="shared" ca="1" si="46"/>
        <v>84.273868670983575</v>
      </c>
      <c r="P105" s="310">
        <f t="shared" ca="1" si="47"/>
        <v>4</v>
      </c>
      <c r="Q105" s="304">
        <f t="shared" ca="1" si="48"/>
        <v>738.19999999999982</v>
      </c>
      <c r="R105" s="306">
        <f t="shared" ca="1" si="49"/>
        <v>0.37046818599182835</v>
      </c>
      <c r="S105" s="307">
        <f t="shared" ca="1" si="50"/>
        <v>8.6133115931538065</v>
      </c>
      <c r="T105" s="304">
        <f t="shared" ca="1" si="30"/>
        <v>84.496586728838849</v>
      </c>
      <c r="U105" s="311">
        <f t="shared" ca="1" si="31"/>
        <v>0</v>
      </c>
      <c r="V105" s="306">
        <f t="shared" ca="1" si="32"/>
        <v>1.2200905303403646</v>
      </c>
      <c r="W105" s="304">
        <f t="shared" ca="1" si="33"/>
        <v>23.499188379744968</v>
      </c>
      <c r="Y105" s="314" t="str">
        <f t="shared" ca="1" si="51"/>
        <v/>
      </c>
      <c r="Z105" s="315" t="str">
        <f t="shared" ca="1" si="52"/>
        <v/>
      </c>
      <c r="AA105" s="316" t="str">
        <f t="shared" ca="1" si="53"/>
        <v/>
      </c>
      <c r="AC105" s="310" t="e">
        <f t="shared" ca="1" si="54"/>
        <v>#N/A</v>
      </c>
      <c r="AD105" s="323" t="e">
        <f t="shared" ca="1" si="55"/>
        <v>#N/A</v>
      </c>
      <c r="AE105" s="324">
        <f t="shared" ca="1" si="34"/>
        <v>40.157774108690624</v>
      </c>
      <c r="AG105" s="306">
        <f t="shared" ca="1" si="56"/>
        <v>73.265045728595382</v>
      </c>
      <c r="AH105" s="304">
        <f t="shared" ca="1" si="57"/>
        <v>83.02621592006598</v>
      </c>
    </row>
    <row r="106" spans="1:34" x14ac:dyDescent="0.2">
      <c r="A106" s="347">
        <f t="shared" ca="1" si="35"/>
        <v>0.01</v>
      </c>
      <c r="B106" s="304">
        <f t="shared" ca="1" si="36"/>
        <v>1.0200000000000007</v>
      </c>
      <c r="D106" s="306">
        <f t="shared" ca="1" si="37"/>
        <v>8.2638548399350586</v>
      </c>
      <c r="E106" s="307">
        <f t="shared" ca="1" si="38"/>
        <v>72.602809854283421</v>
      </c>
      <c r="F106" s="304">
        <f t="shared" ca="1" si="39"/>
        <v>73.071603893391796</v>
      </c>
      <c r="G106" s="306">
        <f t="shared" ca="1" si="40"/>
        <v>8.0046362954385426</v>
      </c>
      <c r="H106" s="307">
        <f t="shared" ca="1" si="41"/>
        <v>79.729605319888819</v>
      </c>
      <c r="I106" s="304">
        <f t="shared" ca="1" si="42"/>
        <v>80.130419733628599</v>
      </c>
      <c r="J106" s="306">
        <f t="shared" ca="1" si="43"/>
        <v>3.8969692404067691</v>
      </c>
      <c r="K106" s="307">
        <f t="shared" ca="1" si="44"/>
        <v>40.951440021396799</v>
      </c>
      <c r="L106" s="304">
        <f t="shared" ca="1" si="29"/>
        <v>41.136441376068689</v>
      </c>
      <c r="M106" s="306">
        <f t="shared" ca="1" si="45"/>
        <v>1.4707343335028475</v>
      </c>
      <c r="N106" s="304">
        <f t="shared" ca="1" si="46"/>
        <v>84.266870094699243</v>
      </c>
      <c r="P106" s="310">
        <f t="shared" ca="1" si="47"/>
        <v>4</v>
      </c>
      <c r="Q106" s="304">
        <f t="shared" ca="1" si="48"/>
        <v>736.59999999999991</v>
      </c>
      <c r="R106" s="306">
        <f t="shared" ca="1" si="49"/>
        <v>0.36966522053858142</v>
      </c>
      <c r="S106" s="307">
        <f t="shared" ca="1" si="50"/>
        <v>8.6096149409484202</v>
      </c>
      <c r="T106" s="304">
        <f t="shared" ca="1" si="30"/>
        <v>84.460322570704008</v>
      </c>
      <c r="U106" s="311">
        <f t="shared" ca="1" si="31"/>
        <v>0</v>
      </c>
      <c r="V106" s="306">
        <f t="shared" ca="1" si="32"/>
        <v>1.2199936993584017</v>
      </c>
      <c r="W106" s="304">
        <f t="shared" ca="1" si="33"/>
        <v>23.931766420995789</v>
      </c>
      <c r="Y106" s="314" t="str">
        <f t="shared" ca="1" si="51"/>
        <v/>
      </c>
      <c r="Z106" s="315" t="str">
        <f t="shared" ca="1" si="52"/>
        <v/>
      </c>
      <c r="AA106" s="316" t="str">
        <f t="shared" ca="1" si="53"/>
        <v/>
      </c>
      <c r="AC106" s="310" t="e">
        <f t="shared" ca="1" si="54"/>
        <v>#N/A</v>
      </c>
      <c r="AD106" s="323" t="e">
        <f t="shared" ca="1" si="55"/>
        <v>#N/A</v>
      </c>
      <c r="AE106" s="324">
        <f t="shared" ca="1" si="34"/>
        <v>40.951440021396799</v>
      </c>
      <c r="AG106" s="306">
        <f t="shared" ca="1" si="56"/>
        <v>73.065048333103377</v>
      </c>
      <c r="AH106" s="304">
        <f t="shared" ca="1" si="57"/>
        <v>82.826098090479874</v>
      </c>
    </row>
    <row r="107" spans="1:34" x14ac:dyDescent="0.2">
      <c r="A107" s="347">
        <f t="shared" ca="1" si="35"/>
        <v>0.01</v>
      </c>
      <c r="B107" s="304">
        <f t="shared" ca="1" si="36"/>
        <v>1.0300000000000007</v>
      </c>
      <c r="D107" s="306">
        <f t="shared" ca="1" si="37"/>
        <v>8.2538740978884135</v>
      </c>
      <c r="E107" s="307">
        <f t="shared" ca="1" si="38"/>
        <v>72.402120563142191</v>
      </c>
      <c r="F107" s="304">
        <f t="shared" ca="1" si="39"/>
        <v>72.871074506031334</v>
      </c>
      <c r="G107" s="306">
        <f t="shared" ca="1" si="40"/>
        <v>8.0871750364174275</v>
      </c>
      <c r="H107" s="307">
        <f t="shared" ca="1" si="41"/>
        <v>80.453626525520235</v>
      </c>
      <c r="I107" s="304">
        <f t="shared" ca="1" si="42"/>
        <v>80.859065176253097</v>
      </c>
      <c r="J107" s="306">
        <f t="shared" ca="1" si="43"/>
        <v>3.9774282970660488</v>
      </c>
      <c r="K107" s="307">
        <f t="shared" ca="1" si="44"/>
        <v>41.752356180623842</v>
      </c>
      <c r="L107" s="304">
        <f t="shared" ca="1" si="29"/>
        <v>41.941377927912427</v>
      </c>
      <c r="M107" s="306">
        <f t="shared" ca="1" si="45"/>
        <v>1.4706131385655026</v>
      </c>
      <c r="N107" s="304">
        <f t="shared" ca="1" si="46"/>
        <v>84.259926136291014</v>
      </c>
      <c r="P107" s="310">
        <f t="shared" ca="1" si="47"/>
        <v>4</v>
      </c>
      <c r="Q107" s="304">
        <f t="shared" ca="1" si="48"/>
        <v>734.99999999999989</v>
      </c>
      <c r="R107" s="306">
        <f t="shared" ca="1" si="49"/>
        <v>0.36886225508533443</v>
      </c>
      <c r="S107" s="307">
        <f t="shared" ca="1" si="50"/>
        <v>8.6059263183975663</v>
      </c>
      <c r="T107" s="304">
        <f t="shared" ca="1" si="30"/>
        <v>84.424137183480127</v>
      </c>
      <c r="U107" s="311">
        <f t="shared" ca="1" si="31"/>
        <v>0</v>
      </c>
      <c r="V107" s="306">
        <f t="shared" ca="1" si="32"/>
        <v>1.2198959915867349</v>
      </c>
      <c r="W107" s="304">
        <f t="shared" ca="1" si="33"/>
        <v>24.367028361147888</v>
      </c>
      <c r="Y107" s="314" t="str">
        <f t="shared" ca="1" si="51"/>
        <v/>
      </c>
      <c r="Z107" s="315" t="str">
        <f t="shared" ca="1" si="52"/>
        <v/>
      </c>
      <c r="AA107" s="316" t="str">
        <f t="shared" ca="1" si="53"/>
        <v/>
      </c>
      <c r="AC107" s="310" t="e">
        <f t="shared" ca="1" si="54"/>
        <v>#N/A</v>
      </c>
      <c r="AD107" s="323" t="e">
        <f t="shared" ca="1" si="55"/>
        <v>#N/A</v>
      </c>
      <c r="AE107" s="324">
        <f t="shared" ca="1" si="34"/>
        <v>41.752356180623842</v>
      </c>
      <c r="AG107" s="306">
        <f t="shared" ca="1" si="56"/>
        <v>72.864484878692593</v>
      </c>
      <c r="AH107" s="304">
        <f t="shared" ca="1" si="57"/>
        <v>82.625415007202363</v>
      </c>
    </row>
    <row r="108" spans="1:34" x14ac:dyDescent="0.2">
      <c r="A108" s="347">
        <f t="shared" ca="1" si="35"/>
        <v>0.01</v>
      </c>
      <c r="B108" s="304">
        <f t="shared" ca="1" si="36"/>
        <v>1.0400000000000007</v>
      </c>
      <c r="D108" s="306">
        <f t="shared" ca="1" si="37"/>
        <v>8.2437101603023351</v>
      </c>
      <c r="E108" s="307">
        <f t="shared" ca="1" si="38"/>
        <v>72.200884571556159</v>
      </c>
      <c r="F108" s="304">
        <f t="shared" ca="1" si="39"/>
        <v>72.669983419031055</v>
      </c>
      <c r="G108" s="306">
        <f t="shared" ca="1" si="40"/>
        <v>8.1696121380204509</v>
      </c>
      <c r="H108" s="307">
        <f t="shared" ca="1" si="41"/>
        <v>81.175635371235799</v>
      </c>
      <c r="I108" s="304">
        <f t="shared" ca="1" si="42"/>
        <v>81.585699362140176</v>
      </c>
      <c r="J108" s="306">
        <f t="shared" ca="1" si="43"/>
        <v>4.0587122329382384</v>
      </c>
      <c r="K108" s="307">
        <f t="shared" ca="1" si="44"/>
        <v>42.560502490107623</v>
      </c>
      <c r="L108" s="304">
        <f t="shared" ca="1" si="29"/>
        <v>42.753590693651212</v>
      </c>
      <c r="M108" s="306">
        <f t="shared" ca="1" si="45"/>
        <v>1.4704928780407378</v>
      </c>
      <c r="N108" s="304">
        <f t="shared" ca="1" si="46"/>
        <v>84.253035715779973</v>
      </c>
      <c r="P108" s="310">
        <f t="shared" ca="1" si="47"/>
        <v>4</v>
      </c>
      <c r="Q108" s="304">
        <f t="shared" ca="1" si="48"/>
        <v>733.39999999999986</v>
      </c>
      <c r="R108" s="306">
        <f t="shared" ca="1" si="49"/>
        <v>0.36805928963208739</v>
      </c>
      <c r="S108" s="307">
        <f t="shared" ca="1" si="50"/>
        <v>8.6022457255012448</v>
      </c>
      <c r="T108" s="304">
        <f t="shared" ca="1" si="30"/>
        <v>84.38803056716722</v>
      </c>
      <c r="U108" s="311">
        <f t="shared" ca="1" si="31"/>
        <v>0</v>
      </c>
      <c r="V108" s="306">
        <f t="shared" ca="1" si="32"/>
        <v>1.2197974096878585</v>
      </c>
      <c r="W108" s="304">
        <f t="shared" ca="1" si="33"/>
        <v>24.804936553615963</v>
      </c>
      <c r="Y108" s="314" t="str">
        <f t="shared" ca="1" si="51"/>
        <v/>
      </c>
      <c r="Z108" s="315" t="str">
        <f t="shared" ca="1" si="52"/>
        <v/>
      </c>
      <c r="AA108" s="316" t="str">
        <f t="shared" ca="1" si="53"/>
        <v/>
      </c>
      <c r="AC108" s="310" t="e">
        <f t="shared" ca="1" si="54"/>
        <v>#N/A</v>
      </c>
      <c r="AD108" s="323" t="e">
        <f t="shared" ca="1" si="55"/>
        <v>#N/A</v>
      </c>
      <c r="AE108" s="324">
        <f t="shared" ca="1" si="34"/>
        <v>42.560502490107623</v>
      </c>
      <c r="AG108" s="306">
        <f t="shared" ca="1" si="56"/>
        <v>72.663359591665966</v>
      </c>
      <c r="AH108" s="304">
        <f t="shared" ca="1" si="57"/>
        <v>82.424170880975083</v>
      </c>
    </row>
    <row r="109" spans="1:34" x14ac:dyDescent="0.2">
      <c r="A109" s="347">
        <f t="shared" ca="1" si="35"/>
        <v>0.01</v>
      </c>
      <c r="B109" s="304">
        <f t="shared" ca="1" si="36"/>
        <v>1.0500000000000007</v>
      </c>
      <c r="D109" s="306">
        <f t="shared" ca="1" si="37"/>
        <v>8.2333653652066783</v>
      </c>
      <c r="E109" s="307">
        <f t="shared" ca="1" si="38"/>
        <v>71.999105924840734</v>
      </c>
      <c r="F109" s="304">
        <f t="shared" ca="1" si="39"/>
        <v>72.468334872642288</v>
      </c>
      <c r="G109" s="306">
        <f t="shared" ca="1" si="40"/>
        <v>8.251945791672517</v>
      </c>
      <c r="H109" s="307">
        <f t="shared" ca="1" si="41"/>
        <v>81.895626430484214</v>
      </c>
      <c r="I109" s="304">
        <f t="shared" ca="1" si="42"/>
        <v>82.31031671540407</v>
      </c>
      <c r="J109" s="306">
        <f t="shared" ca="1" si="43"/>
        <v>4.1408200225867029</v>
      </c>
      <c r="K109" s="307">
        <f t="shared" ca="1" si="44"/>
        <v>43.375858799116223</v>
      </c>
      <c r="L109" s="304">
        <f t="shared" ca="1" si="29"/>
        <v>43.573059532471703</v>
      </c>
      <c r="M109" s="306">
        <f t="shared" ca="1" si="45"/>
        <v>1.4703735336165857</v>
      </c>
      <c r="N109" s="304">
        <f t="shared" ca="1" si="46"/>
        <v>84.246197783967631</v>
      </c>
      <c r="P109" s="310">
        <f t="shared" ca="1" si="47"/>
        <v>4</v>
      </c>
      <c r="Q109" s="304">
        <f t="shared" ca="1" si="48"/>
        <v>731.79999999999984</v>
      </c>
      <c r="R109" s="306">
        <f t="shared" ca="1" si="49"/>
        <v>0.36725632417884041</v>
      </c>
      <c r="S109" s="307">
        <f t="shared" ca="1" si="50"/>
        <v>8.5985731622594557</v>
      </c>
      <c r="T109" s="304">
        <f t="shared" ca="1" si="30"/>
        <v>84.35200272176526</v>
      </c>
      <c r="U109" s="311">
        <f t="shared" ca="1" si="31"/>
        <v>0</v>
      </c>
      <c r="V109" s="306">
        <f t="shared" ca="1" si="32"/>
        <v>1.2196979563319825</v>
      </c>
      <c r="W109" s="304">
        <f t="shared" ca="1" si="33"/>
        <v>25.245453350225109</v>
      </c>
      <c r="Y109" s="314" t="str">
        <f t="shared" ca="1" si="51"/>
        <v/>
      </c>
      <c r="Z109" s="315" t="str">
        <f t="shared" ca="1" si="52"/>
        <v/>
      </c>
      <c r="AA109" s="316" t="str">
        <f t="shared" ca="1" si="53"/>
        <v/>
      </c>
      <c r="AC109" s="310" t="e">
        <f t="shared" ca="1" si="54"/>
        <v>#N/A</v>
      </c>
      <c r="AD109" s="323" t="e">
        <f t="shared" ca="1" si="55"/>
        <v>#N/A</v>
      </c>
      <c r="AE109" s="324">
        <f t="shared" ca="1" si="34"/>
        <v>43.375858799116223</v>
      </c>
      <c r="AG109" s="306">
        <f t="shared" ca="1" si="56"/>
        <v>72.461676708719736</v>
      </c>
      <c r="AH109" s="304">
        <f t="shared" ca="1" si="57"/>
        <v>82.222369933362998</v>
      </c>
    </row>
    <row r="110" spans="1:34" x14ac:dyDescent="0.2">
      <c r="A110" s="347">
        <f t="shared" ca="1" si="35"/>
        <v>0.01</v>
      </c>
      <c r="B110" s="304">
        <f t="shared" ca="1" si="36"/>
        <v>1.0600000000000007</v>
      </c>
      <c r="D110" s="306">
        <f t="shared" ca="1" si="37"/>
        <v>8.2228419977518836</v>
      </c>
      <c r="E110" s="307">
        <f t="shared" ca="1" si="38"/>
        <v>71.796788683023649</v>
      </c>
      <c r="F110" s="304">
        <f t="shared" ca="1" si="39"/>
        <v>72.266133117212974</v>
      </c>
      <c r="G110" s="306">
        <f t="shared" ca="1" si="40"/>
        <v>8.3341742116500352</v>
      </c>
      <c r="H110" s="307">
        <f t="shared" ca="1" si="41"/>
        <v>82.613594317314451</v>
      </c>
      <c r="I110" s="304">
        <f t="shared" ca="1" si="42"/>
        <v>83.032911702625142</v>
      </c>
      <c r="J110" s="306">
        <f t="shared" ca="1" si="43"/>
        <v>4.2237506226033155</v>
      </c>
      <c r="K110" s="307">
        <f t="shared" ca="1" si="44"/>
        <v>44.198404902855216</v>
      </c>
      <c r="L110" s="304">
        <f t="shared" ca="1" si="29"/>
        <v>44.39976424800787</v>
      </c>
      <c r="M110" s="306">
        <f t="shared" ca="1" si="45"/>
        <v>1.470255087497796</v>
      </c>
      <c r="N110" s="304">
        <f t="shared" ca="1" si="46"/>
        <v>84.239411321261272</v>
      </c>
      <c r="P110" s="310">
        <f t="shared" ca="1" si="47"/>
        <v>4</v>
      </c>
      <c r="Q110" s="304">
        <f t="shared" ca="1" si="48"/>
        <v>730.19999999999982</v>
      </c>
      <c r="R110" s="306">
        <f t="shared" ca="1" si="49"/>
        <v>0.36645335872559343</v>
      </c>
      <c r="S110" s="307">
        <f t="shared" ca="1" si="50"/>
        <v>8.594908628672199</v>
      </c>
      <c r="T110" s="304">
        <f t="shared" ca="1" si="30"/>
        <v>84.316053647274273</v>
      </c>
      <c r="U110" s="311">
        <f t="shared" ca="1" si="31"/>
        <v>0</v>
      </c>
      <c r="V110" s="306">
        <f t="shared" ca="1" si="32"/>
        <v>1.2195976341969601</v>
      </c>
      <c r="W110" s="304">
        <f t="shared" ca="1" si="33"/>
        <v>25.688541103589664</v>
      </c>
      <c r="Y110" s="314" t="str">
        <f t="shared" ca="1" si="51"/>
        <v/>
      </c>
      <c r="Z110" s="315" t="str">
        <f t="shared" ca="1" si="52"/>
        <v/>
      </c>
      <c r="AA110" s="316" t="str">
        <f t="shared" ca="1" si="53"/>
        <v/>
      </c>
      <c r="AC110" s="310" t="e">
        <f t="shared" ca="1" si="54"/>
        <v>#N/A</v>
      </c>
      <c r="AD110" s="323" t="e">
        <f t="shared" ca="1" si="55"/>
        <v>#N/A</v>
      </c>
      <c r="AE110" s="324">
        <f t="shared" ca="1" si="34"/>
        <v>44.198404902855216</v>
      </c>
      <c r="AG110" s="306">
        <f t="shared" ca="1" si="56"/>
        <v>72.259440476665901</v>
      </c>
      <c r="AH110" s="304">
        <f t="shared" ca="1" si="57"/>
        <v>82.020016396460619</v>
      </c>
    </row>
    <row r="111" spans="1:34" x14ac:dyDescent="0.2">
      <c r="A111" s="347">
        <f t="shared" ca="1" si="35"/>
        <v>0.01</v>
      </c>
      <c r="B111" s="304">
        <f t="shared" ca="1" si="36"/>
        <v>1.0700000000000007</v>
      </c>
      <c r="D111" s="306">
        <f t="shared" ca="1" si="37"/>
        <v>8.2121422922587115</v>
      </c>
      <c r="E111" s="307">
        <f t="shared" ca="1" si="38"/>
        <v>71.59393692039265</v>
      </c>
      <c r="F111" s="304">
        <f t="shared" ca="1" si="39"/>
        <v>72.06338241291111</v>
      </c>
      <c r="G111" s="306">
        <f t="shared" ca="1" si="40"/>
        <v>8.4162956345726219</v>
      </c>
      <c r="H111" s="307">
        <f t="shared" ca="1" si="41"/>
        <v>83.329533686518374</v>
      </c>
      <c r="I111" s="304">
        <f t="shared" ca="1" si="42"/>
        <v>83.753478832948346</v>
      </c>
      <c r="J111" s="306">
        <f t="shared" ca="1" si="43"/>
        <v>4.3075029718344284</v>
      </c>
      <c r="K111" s="307">
        <f t="shared" ca="1" si="44"/>
        <v>45.028120542874383</v>
      </c>
      <c r="L111" s="304">
        <f t="shared" ca="1" si="29"/>
        <v>45.233684588766238</v>
      </c>
      <c r="M111" s="306">
        <f t="shared" ca="1" si="45"/>
        <v>1.4701375223863018</v>
      </c>
      <c r="N111" s="304">
        <f t="shared" ca="1" si="46"/>
        <v>84.232675336554678</v>
      </c>
      <c r="P111" s="310">
        <f t="shared" ca="1" si="47"/>
        <v>4</v>
      </c>
      <c r="Q111" s="304">
        <f t="shared" ca="1" si="48"/>
        <v>728.59999999999991</v>
      </c>
      <c r="R111" s="306">
        <f t="shared" ca="1" si="49"/>
        <v>0.3656503932723465</v>
      </c>
      <c r="S111" s="307">
        <f t="shared" ca="1" si="50"/>
        <v>8.5912521247394746</v>
      </c>
      <c r="T111" s="304">
        <f t="shared" ca="1" si="30"/>
        <v>84.280183343694247</v>
      </c>
      <c r="U111" s="311">
        <f t="shared" ca="1" si="31"/>
        <v>0</v>
      </c>
      <c r="V111" s="306">
        <f t="shared" ca="1" si="32"/>
        <v>1.219496445968216</v>
      </c>
      <c r="W111" s="304">
        <f t="shared" ca="1" si="33"/>
        <v>26.134162169483879</v>
      </c>
      <c r="Y111" s="314" t="str">
        <f t="shared" ca="1" si="51"/>
        <v/>
      </c>
      <c r="Z111" s="315" t="str">
        <f t="shared" ca="1" si="52"/>
        <v/>
      </c>
      <c r="AA111" s="316" t="str">
        <f t="shared" ca="1" si="53"/>
        <v/>
      </c>
      <c r="AC111" s="310" t="e">
        <f t="shared" ca="1" si="54"/>
        <v>#N/A</v>
      </c>
      <c r="AD111" s="323" t="e">
        <f t="shared" ca="1" si="55"/>
        <v>#N/A</v>
      </c>
      <c r="AE111" s="324">
        <f t="shared" ca="1" si="34"/>
        <v>45.028120542874383</v>
      </c>
      <c r="AG111" s="306">
        <f t="shared" ca="1" si="56"/>
        <v>72.056655152153411</v>
      </c>
      <c r="AH111" s="304">
        <f t="shared" ca="1" si="57"/>
        <v>81.817114512597982</v>
      </c>
    </row>
    <row r="112" spans="1:34" x14ac:dyDescent="0.2">
      <c r="A112" s="347">
        <f t="shared" ca="1" si="35"/>
        <v>0.01</v>
      </c>
      <c r="B112" s="304">
        <f t="shared" ca="1" si="36"/>
        <v>1.0800000000000007</v>
      </c>
      <c r="D112" s="306">
        <f t="shared" ca="1" si="37"/>
        <v>8.2012684341696342</v>
      </c>
      <c r="E112" s="307">
        <f t="shared" ca="1" si="38"/>
        <v>71.390554725050521</v>
      </c>
      <c r="F112" s="304">
        <f t="shared" ca="1" si="39"/>
        <v>71.8600870294473</v>
      </c>
      <c r="G112" s="306">
        <f t="shared" ca="1" si="40"/>
        <v>8.4983083189143187</v>
      </c>
      <c r="H112" s="307">
        <f t="shared" ca="1" si="41"/>
        <v>84.043439233768879</v>
      </c>
      <c r="I112" s="304">
        <f t="shared" ca="1" si="42"/>
        <v>84.472012658178869</v>
      </c>
      <c r="J112" s="306">
        <f t="shared" ca="1" si="43"/>
        <v>4.392075991601863</v>
      </c>
      <c r="K112" s="307">
        <f t="shared" ca="1" si="44"/>
        <v>45.864985407475821</v>
      </c>
      <c r="L112" s="304">
        <f t="shared" ca="1" si="29"/>
        <v>46.074800248552087</v>
      </c>
      <c r="M112" s="306">
        <f t="shared" ca="1" si="45"/>
        <v>1.4700208214626072</v>
      </c>
      <c r="N112" s="304">
        <f t="shared" ca="1" si="46"/>
        <v>84.2259888661617</v>
      </c>
      <c r="P112" s="310">
        <f t="shared" ca="1" si="47"/>
        <v>4</v>
      </c>
      <c r="Q112" s="304">
        <f t="shared" ca="1" si="48"/>
        <v>726.99999999999989</v>
      </c>
      <c r="R112" s="306">
        <f t="shared" ca="1" si="49"/>
        <v>0.36484742781909951</v>
      </c>
      <c r="S112" s="307">
        <f t="shared" ca="1" si="50"/>
        <v>8.5876036504612845</v>
      </c>
      <c r="T112" s="304">
        <f t="shared" ca="1" si="30"/>
        <v>84.24439181102521</v>
      </c>
      <c r="U112" s="311">
        <f t="shared" ca="1" si="31"/>
        <v>0</v>
      </c>
      <c r="V112" s="306">
        <f t="shared" ca="1" si="32"/>
        <v>1.2193943943386771</v>
      </c>
      <c r="W112" s="304">
        <f t="shared" ca="1" si="33"/>
        <v>26.58227890920416</v>
      </c>
      <c r="Y112" s="314" t="str">
        <f t="shared" ca="1" si="51"/>
        <v/>
      </c>
      <c r="Z112" s="315" t="str">
        <f t="shared" ca="1" si="52"/>
        <v/>
      </c>
      <c r="AA112" s="316" t="str">
        <f t="shared" ca="1" si="53"/>
        <v/>
      </c>
      <c r="AC112" s="310" t="e">
        <f t="shared" ca="1" si="54"/>
        <v>#N/A</v>
      </c>
      <c r="AD112" s="323" t="e">
        <f t="shared" ca="1" si="55"/>
        <v>#N/A</v>
      </c>
      <c r="AE112" s="324">
        <f t="shared" ca="1" si="34"/>
        <v>45.864985407475821</v>
      </c>
      <c r="AG112" s="306">
        <f t="shared" ca="1" si="56"/>
        <v>71.853325001388995</v>
      </c>
      <c r="AH112" s="304">
        <f t="shared" ca="1" si="57"/>
        <v>81.613668534046624</v>
      </c>
    </row>
    <row r="113" spans="1:34" x14ac:dyDescent="0.2">
      <c r="A113" s="347">
        <f t="shared" ca="1" si="35"/>
        <v>0.01</v>
      </c>
      <c r="B113" s="304">
        <f t="shared" ca="1" si="36"/>
        <v>1.0900000000000007</v>
      </c>
      <c r="D113" s="306">
        <f t="shared" ca="1" si="37"/>
        <v>8.1902225619070954</v>
      </c>
      <c r="E113" s="307">
        <f t="shared" ca="1" si="38"/>
        <v>71.186646198477561</v>
      </c>
      <c r="F113" s="304">
        <f t="shared" ca="1" si="39"/>
        <v>71.656251245797051</v>
      </c>
      <c r="G113" s="306">
        <f t="shared" ca="1" si="40"/>
        <v>8.58021054453339</v>
      </c>
      <c r="H113" s="307">
        <f t="shared" ca="1" si="41"/>
        <v>84.755305695753648</v>
      </c>
      <c r="I113" s="304">
        <f t="shared" ca="1" si="42"/>
        <v>85.188507772874928</v>
      </c>
      <c r="J113" s="306">
        <f t="shared" ca="1" si="43"/>
        <v>4.4774685859191017</v>
      </c>
      <c r="K113" s="307">
        <f t="shared" ca="1" si="44"/>
        <v>46.708979132123432</v>
      </c>
      <c r="L113" s="304">
        <f t="shared" ca="1" si="29"/>
        <v>46.923090866896594</v>
      </c>
      <c r="M113" s="306">
        <f t="shared" ca="1" si="45"/>
        <v>1.4699049683680385</v>
      </c>
      <c r="N113" s="304">
        <f t="shared" ca="1" si="46"/>
        <v>84.219350972799376</v>
      </c>
      <c r="P113" s="310">
        <f t="shared" ca="1" si="47"/>
        <v>4</v>
      </c>
      <c r="Q113" s="304">
        <f t="shared" ca="1" si="48"/>
        <v>725.39999999999986</v>
      </c>
      <c r="R113" s="306">
        <f t="shared" ca="1" si="49"/>
        <v>0.36404446236585247</v>
      </c>
      <c r="S113" s="307">
        <f t="shared" ca="1" si="50"/>
        <v>8.5839632058376267</v>
      </c>
      <c r="T113" s="304">
        <f t="shared" ca="1" si="30"/>
        <v>84.208679049267118</v>
      </c>
      <c r="U113" s="311">
        <f t="shared" ca="1" si="31"/>
        <v>0</v>
      </c>
      <c r="V113" s="306">
        <f t="shared" ca="1" si="32"/>
        <v>1.2192914820087015</v>
      </c>
      <c r="W113" s="304">
        <f t="shared" ca="1" si="33"/>
        <v>27.032853691922657</v>
      </c>
      <c r="Y113" s="314" t="str">
        <f t="shared" ca="1" si="51"/>
        <v/>
      </c>
      <c r="Z113" s="315" t="str">
        <f t="shared" ca="1" si="52"/>
        <v/>
      </c>
      <c r="AA113" s="316" t="str">
        <f t="shared" ca="1" si="53"/>
        <v/>
      </c>
      <c r="AC113" s="310" t="e">
        <f t="shared" ca="1" si="54"/>
        <v>#N/A</v>
      </c>
      <c r="AD113" s="323" t="e">
        <f t="shared" ca="1" si="55"/>
        <v>#N/A</v>
      </c>
      <c r="AE113" s="324">
        <f t="shared" ca="1" si="34"/>
        <v>46.708979132123432</v>
      </c>
      <c r="AG113" s="306">
        <f t="shared" ca="1" si="56"/>
        <v>71.649454299857467</v>
      </c>
      <c r="AH113" s="304">
        <f t="shared" ca="1" si="57"/>
        <v>81.40968272272606</v>
      </c>
    </row>
    <row r="114" spans="1:34" x14ac:dyDescent="0.2">
      <c r="A114" s="347">
        <f t="shared" ca="1" si="35"/>
        <v>0.01</v>
      </c>
      <c r="B114" s="304">
        <f t="shared" ca="1" si="36"/>
        <v>1.1000000000000008</v>
      </c>
      <c r="D114" s="306">
        <f t="shared" ca="1" si="37"/>
        <v>8.1790067686440864</v>
      </c>
      <c r="E114" s="307">
        <f t="shared" ca="1" si="38"/>
        <v>70.982215455100516</v>
      </c>
      <c r="F114" s="304">
        <f t="shared" ca="1" si="39"/>
        <v>71.45187934992218</v>
      </c>
      <c r="G114" s="306">
        <f t="shared" ca="1" si="40"/>
        <v>8.6620006122198312</v>
      </c>
      <c r="H114" s="307">
        <f t="shared" ca="1" si="41"/>
        <v>85.465127850304654</v>
      </c>
      <c r="I114" s="304">
        <f t="shared" ca="1" si="42"/>
        <v>85.902958814437923</v>
      </c>
      <c r="J114" s="306">
        <f t="shared" ca="1" si="43"/>
        <v>4.5636796417028682</v>
      </c>
      <c r="K114" s="307">
        <f t="shared" ca="1" si="44"/>
        <v>47.560081299853721</v>
      </c>
      <c r="L114" s="304">
        <f t="shared" ca="1" si="29"/>
        <v>47.778536029484918</v>
      </c>
      <c r="M114" s="306">
        <f t="shared" ca="1" si="45"/>
        <v>1.469789947187818</v>
      </c>
      <c r="N114" s="304">
        <f t="shared" ca="1" si="46"/>
        <v>84.212760744618123</v>
      </c>
      <c r="P114" s="310">
        <f t="shared" ca="1" si="47"/>
        <v>4</v>
      </c>
      <c r="Q114" s="304">
        <f t="shared" ca="1" si="48"/>
        <v>723.79999999999984</v>
      </c>
      <c r="R114" s="306">
        <f t="shared" ca="1" si="49"/>
        <v>0.36324149691260549</v>
      </c>
      <c r="S114" s="307">
        <f t="shared" ca="1" si="50"/>
        <v>8.5803307908685014</v>
      </c>
      <c r="T114" s="304">
        <f t="shared" ca="1" si="30"/>
        <v>84.173045058420001</v>
      </c>
      <c r="U114" s="311">
        <f t="shared" ca="1" si="31"/>
        <v>0</v>
      </c>
      <c r="V114" s="306">
        <f t="shared" ca="1" si="32"/>
        <v>1.2191877116860057</v>
      </c>
      <c r="W114" s="304">
        <f t="shared" ca="1" si="33"/>
        <v>27.485848897032014</v>
      </c>
      <c r="Y114" s="314" t="str">
        <f t="shared" ca="1" si="51"/>
        <v/>
      </c>
      <c r="Z114" s="315" t="str">
        <f t="shared" ca="1" si="52"/>
        <v/>
      </c>
      <c r="AA114" s="316" t="str">
        <f t="shared" ca="1" si="53"/>
        <v/>
      </c>
      <c r="AC114" s="310" t="e">
        <f t="shared" ca="1" si="54"/>
        <v>#N/A</v>
      </c>
      <c r="AD114" s="323" t="e">
        <f t="shared" ca="1" si="55"/>
        <v>#N/A</v>
      </c>
      <c r="AE114" s="324">
        <f t="shared" ca="1" si="34"/>
        <v>47.560081299853721</v>
      </c>
      <c r="AG114" s="306">
        <f t="shared" ca="1" si="56"/>
        <v>71.445047332041369</v>
      </c>
      <c r="AH114" s="304">
        <f t="shared" ca="1" si="57"/>
        <v>81.205161349909957</v>
      </c>
    </row>
    <row r="115" spans="1:34" x14ac:dyDescent="0.2">
      <c r="A115" s="347">
        <f t="shared" ca="1" si="35"/>
        <v>0.01</v>
      </c>
      <c r="B115" s="304">
        <f t="shared" ca="1" si="36"/>
        <v>1.1100000000000008</v>
      </c>
      <c r="D115" s="306">
        <f t="shared" ca="1" si="37"/>
        <v>8.1676231039915894</v>
      </c>
      <c r="E115" s="307">
        <f t="shared" ca="1" si="38"/>
        <v>70.77726662186798</v>
      </c>
      <c r="F115" s="304">
        <f t="shared" ca="1" si="39"/>
        <v>71.246975638491804</v>
      </c>
      <c r="G115" s="306">
        <f t="shared" ca="1" si="40"/>
        <v>8.7436768432597471</v>
      </c>
      <c r="H115" s="307">
        <f t="shared" ca="1" si="41"/>
        <v>86.172900516523327</v>
      </c>
      <c r="I115" s="304">
        <f t="shared" ca="1" si="42"/>
        <v>86.615360463199494</v>
      </c>
      <c r="J115" s="306">
        <f t="shared" ca="1" si="43"/>
        <v>4.650708028980266</v>
      </c>
      <c r="K115" s="307">
        <f t="shared" ca="1" si="44"/>
        <v>48.418271441687864</v>
      </c>
      <c r="L115" s="304">
        <f t="shared" ca="1" si="29"/>
        <v>48.641115268585153</v>
      </c>
      <c r="M115" s="306">
        <f t="shared" ca="1" si="45"/>
        <v>1.4696757424349076</v>
      </c>
      <c r="N115" s="304">
        <f t="shared" ca="1" si="46"/>
        <v>84.20621729427603</v>
      </c>
      <c r="P115" s="310">
        <f t="shared" ca="1" si="47"/>
        <v>4</v>
      </c>
      <c r="Q115" s="304">
        <f t="shared" ca="1" si="48"/>
        <v>722.19999999999982</v>
      </c>
      <c r="R115" s="306">
        <f t="shared" ca="1" si="49"/>
        <v>0.3624385314593585</v>
      </c>
      <c r="S115" s="307">
        <f t="shared" ca="1" si="50"/>
        <v>8.5767064055539084</v>
      </c>
      <c r="T115" s="304">
        <f t="shared" ca="1" si="30"/>
        <v>84.137489838483845</v>
      </c>
      <c r="U115" s="311">
        <f t="shared" ca="1" si="31"/>
        <v>0</v>
      </c>
      <c r="V115" s="306">
        <f t="shared" ca="1" si="32"/>
        <v>1.2190830860855932</v>
      </c>
      <c r="W115" s="304">
        <f t="shared" ca="1" si="33"/>
        <v>27.941226916480776</v>
      </c>
      <c r="Y115" s="314" t="str">
        <f t="shared" ca="1" si="51"/>
        <v/>
      </c>
      <c r="Z115" s="315" t="str">
        <f t="shared" ca="1" si="52"/>
        <v/>
      </c>
      <c r="AA115" s="316" t="str">
        <f t="shared" ca="1" si="53"/>
        <v/>
      </c>
      <c r="AC115" s="310" t="e">
        <f t="shared" ca="1" si="54"/>
        <v>#N/A</v>
      </c>
      <c r="AD115" s="323" t="e">
        <f t="shared" ca="1" si="55"/>
        <v>#N/A</v>
      </c>
      <c r="AE115" s="324">
        <f t="shared" ca="1" si="34"/>
        <v>48.418271441687864</v>
      </c>
      <c r="AG115" s="306">
        <f t="shared" ca="1" si="56"/>
        <v>71.240108391140112</v>
      </c>
      <c r="AH115" s="304">
        <f t="shared" ca="1" si="57"/>
        <v>81.000108695932582</v>
      </c>
    </row>
    <row r="116" spans="1:34" x14ac:dyDescent="0.2">
      <c r="A116" s="347">
        <f t="shared" ca="1" si="35"/>
        <v>0.01</v>
      </c>
      <c r="B116" s="304">
        <f t="shared" ca="1" si="36"/>
        <v>1.1200000000000008</v>
      </c>
      <c r="D116" s="306">
        <f t="shared" ca="1" si="37"/>
        <v>8.1560735756078309</v>
      </c>
      <c r="E116" s="307">
        <f t="shared" ca="1" si="38"/>
        <v>70.571803837831922</v>
      </c>
      <c r="F116" s="304">
        <f t="shared" ca="1" si="39"/>
        <v>71.041544416602861</v>
      </c>
      <c r="G116" s="306">
        <f t="shared" ca="1" si="40"/>
        <v>8.8252375790158251</v>
      </c>
      <c r="H116" s="307">
        <f t="shared" ca="1" si="41"/>
        <v>86.878618554901649</v>
      </c>
      <c r="I116" s="304">
        <f t="shared" ca="1" si="42"/>
        <v>87.325707442506157</v>
      </c>
      <c r="J116" s="306">
        <f t="shared" ca="1" si="43"/>
        <v>4.7385526010916443</v>
      </c>
      <c r="K116" s="307">
        <f t="shared" ca="1" si="44"/>
        <v>49.283529037044985</v>
      </c>
      <c r="L116" s="304">
        <f t="shared" ca="1" si="29"/>
        <v>49.510808063478102</v>
      </c>
      <c r="M116" s="306">
        <f t="shared" ca="1" si="45"/>
        <v>1.4695623390345871</v>
      </c>
      <c r="N116" s="304">
        <f t="shared" ca="1" si="46"/>
        <v>84.199719758055238</v>
      </c>
      <c r="P116" s="310">
        <f t="shared" ca="1" si="47"/>
        <v>4</v>
      </c>
      <c r="Q116" s="304">
        <f t="shared" ca="1" si="48"/>
        <v>720.59999999999991</v>
      </c>
      <c r="R116" s="306">
        <f t="shared" ca="1" si="49"/>
        <v>0.36163556600611158</v>
      </c>
      <c r="S116" s="307">
        <f t="shared" ca="1" si="50"/>
        <v>8.5730900498938478</v>
      </c>
      <c r="T116" s="304">
        <f t="shared" ca="1" si="30"/>
        <v>84.102013389458648</v>
      </c>
      <c r="U116" s="311">
        <f t="shared" ca="1" si="31"/>
        <v>0</v>
      </c>
      <c r="V116" s="306">
        <f t="shared" ca="1" si="32"/>
        <v>1.2189776079296855</v>
      </c>
      <c r="W116" s="304">
        <f t="shared" ca="1" si="33"/>
        <v>28.398950157099868</v>
      </c>
      <c r="Y116" s="314" t="str">
        <f t="shared" ca="1" si="51"/>
        <v/>
      </c>
      <c r="Z116" s="315" t="str">
        <f t="shared" ca="1" si="52"/>
        <v/>
      </c>
      <c r="AA116" s="316" t="str">
        <f t="shared" ca="1" si="53"/>
        <v/>
      </c>
      <c r="AC116" s="310" t="e">
        <f t="shared" ca="1" si="54"/>
        <v>#N/A</v>
      </c>
      <c r="AD116" s="323" t="e">
        <f t="shared" ca="1" si="55"/>
        <v>#N/A</v>
      </c>
      <c r="AE116" s="324">
        <f t="shared" ca="1" si="34"/>
        <v>49.283529037044985</v>
      </c>
      <c r="AG116" s="306">
        <f t="shared" ca="1" si="56"/>
        <v>71.034641778788938</v>
      </c>
      <c r="AH116" s="304">
        <f t="shared" ca="1" si="57"/>
        <v>80.794529049895573</v>
      </c>
    </row>
    <row r="117" spans="1:34" x14ac:dyDescent="0.2">
      <c r="A117" s="347">
        <f t="shared" ca="1" si="35"/>
        <v>0.01</v>
      </c>
      <c r="B117" s="304">
        <f t="shared" ca="1" si="36"/>
        <v>1.1300000000000008</v>
      </c>
      <c r="D117" s="306">
        <f t="shared" ca="1" si="37"/>
        <v>8.144360150733247</v>
      </c>
      <c r="E117" s="307">
        <f t="shared" ca="1" si="38"/>
        <v>70.365831253735124</v>
      </c>
      <c r="F117" s="304">
        <f t="shared" ca="1" si="39"/>
        <v>70.835589997500392</v>
      </c>
      <c r="G117" s="306">
        <f t="shared" ca="1" si="40"/>
        <v>8.906681180523158</v>
      </c>
      <c r="H117" s="307">
        <f t="shared" ca="1" si="41"/>
        <v>87.582276867439006</v>
      </c>
      <c r="I117" s="304">
        <f t="shared" ca="1" si="42"/>
        <v>88.033994518800682</v>
      </c>
      <c r="J117" s="306">
        <f t="shared" ca="1" si="43"/>
        <v>4.8272121948893396</v>
      </c>
      <c r="K117" s="307">
        <f t="shared" ca="1" si="44"/>
        <v>50.15583351415669</v>
      </c>
      <c r="L117" s="304">
        <f t="shared" ca="1" si="29"/>
        <v>50.387593840887973</v>
      </c>
      <c r="M117" s="306">
        <f t="shared" ca="1" si="45"/>
        <v>1.4694497223097229</v>
      </c>
      <c r="N117" s="304">
        <f t="shared" ca="1" si="46"/>
        <v>84.193267295017932</v>
      </c>
      <c r="P117" s="310">
        <f t="shared" ca="1" si="47"/>
        <v>4</v>
      </c>
      <c r="Q117" s="304">
        <f t="shared" ca="1" si="48"/>
        <v>718.99999999999989</v>
      </c>
      <c r="R117" s="306">
        <f t="shared" ca="1" si="49"/>
        <v>0.36083260055286454</v>
      </c>
      <c r="S117" s="307">
        <f t="shared" ca="1" si="50"/>
        <v>8.5694817238883196</v>
      </c>
      <c r="T117" s="304">
        <f t="shared" ca="1" si="30"/>
        <v>84.066615711344426</v>
      </c>
      <c r="U117" s="311">
        <f t="shared" ca="1" si="31"/>
        <v>0</v>
      </c>
      <c r="V117" s="306">
        <f t="shared" ca="1" si="32"/>
        <v>1.218871279947646</v>
      </c>
      <c r="W117" s="304">
        <f t="shared" ca="1" si="33"/>
        <v>28.858981042918945</v>
      </c>
      <c r="Y117" s="314" t="str">
        <f t="shared" ca="1" si="51"/>
        <v/>
      </c>
      <c r="Z117" s="315" t="str">
        <f t="shared" ca="1" si="52"/>
        <v/>
      </c>
      <c r="AA117" s="316" t="str">
        <f t="shared" ca="1" si="53"/>
        <v/>
      </c>
      <c r="AC117" s="310" t="e">
        <f t="shared" ca="1" si="54"/>
        <v>#N/A</v>
      </c>
      <c r="AD117" s="323" t="e">
        <f t="shared" ca="1" si="55"/>
        <v>#N/A</v>
      </c>
      <c r="AE117" s="324">
        <f t="shared" ca="1" si="34"/>
        <v>50.15583351415669</v>
      </c>
      <c r="AG117" s="306">
        <f t="shared" ca="1" si="56"/>
        <v>70.828651804777337</v>
      </c>
      <c r="AH117" s="304">
        <f t="shared" ca="1" si="57"/>
        <v>80.58842670937473</v>
      </c>
    </row>
    <row r="118" spans="1:34" x14ac:dyDescent="0.2">
      <c r="A118" s="347">
        <f t="shared" ca="1" si="35"/>
        <v>0.01</v>
      </c>
      <c r="B118" s="304">
        <f t="shared" ca="1" si="36"/>
        <v>1.1400000000000008</v>
      </c>
      <c r="D118" s="306">
        <f t="shared" ca="1" si="37"/>
        <v>8.1324847576553747</v>
      </c>
      <c r="E118" s="307">
        <f t="shared" ca="1" si="38"/>
        <v>70.159353031604113</v>
      </c>
      <c r="F118" s="304">
        <f t="shared" ca="1" si="39"/>
        <v>70.629116702297466</v>
      </c>
      <c r="G118" s="306">
        <f t="shared" ca="1" si="40"/>
        <v>8.9880060280997114</v>
      </c>
      <c r="H118" s="307">
        <f t="shared" ca="1" si="41"/>
        <v>88.283870397755052</v>
      </c>
      <c r="I118" s="304">
        <f t="shared" ca="1" si="42"/>
        <v>88.740216501701013</v>
      </c>
      <c r="J118" s="306">
        <f t="shared" ca="1" si="43"/>
        <v>4.916685630932454</v>
      </c>
      <c r="K118" s="307">
        <f t="shared" ca="1" si="44"/>
        <v>51.035164250482659</v>
      </c>
      <c r="L118" s="304">
        <f t="shared" ca="1" si="29"/>
        <v>51.271451975413768</v>
      </c>
      <c r="M118" s="306">
        <f t="shared" ca="1" si="45"/>
        <v>1.4693378779666912</v>
      </c>
      <c r="N118" s="304">
        <f t="shared" ca="1" si="46"/>
        <v>84.186859086199803</v>
      </c>
      <c r="P118" s="310">
        <f t="shared" ca="1" si="47"/>
        <v>4</v>
      </c>
      <c r="Q118" s="304">
        <f t="shared" ca="1" si="48"/>
        <v>717.39999999999986</v>
      </c>
      <c r="R118" s="306">
        <f t="shared" ca="1" si="49"/>
        <v>0.36002963509961755</v>
      </c>
      <c r="S118" s="307">
        <f t="shared" ca="1" si="50"/>
        <v>8.5658814275373238</v>
      </c>
      <c r="T118" s="304">
        <f t="shared" ca="1" si="30"/>
        <v>84.031296804141149</v>
      </c>
      <c r="U118" s="311">
        <f t="shared" ca="1" si="31"/>
        <v>0</v>
      </c>
      <c r="V118" s="306">
        <f t="shared" ca="1" si="32"/>
        <v>1.2187641048759112</v>
      </c>
      <c r="W118" s="304">
        <f t="shared" ca="1" si="33"/>
        <v>29.321282017473351</v>
      </c>
      <c r="Y118" s="314" t="str">
        <f t="shared" ca="1" si="51"/>
        <v/>
      </c>
      <c r="Z118" s="315" t="str">
        <f t="shared" ca="1" si="52"/>
        <v/>
      </c>
      <c r="AA118" s="316" t="str">
        <f t="shared" ca="1" si="53"/>
        <v/>
      </c>
      <c r="AC118" s="310" t="e">
        <f t="shared" ca="1" si="54"/>
        <v>#N/A</v>
      </c>
      <c r="AD118" s="323" t="e">
        <f t="shared" ca="1" si="55"/>
        <v>#N/A</v>
      </c>
      <c r="AE118" s="324">
        <f t="shared" ca="1" si="34"/>
        <v>51.035164250482659</v>
      </c>
      <c r="AG118" s="306">
        <f t="shared" ca="1" si="56"/>
        <v>70.622142786767512</v>
      </c>
      <c r="AH118" s="304">
        <f t="shared" ca="1" si="57"/>
        <v>80.381805980127297</v>
      </c>
    </row>
    <row r="119" spans="1:34" x14ac:dyDescent="0.2">
      <c r="A119" s="347">
        <f t="shared" ca="1" si="35"/>
        <v>0.01</v>
      </c>
      <c r="B119" s="304">
        <f t="shared" ca="1" si="36"/>
        <v>1.1500000000000008</v>
      </c>
      <c r="D119" s="306">
        <f t="shared" ca="1" si="37"/>
        <v>8.1204492871074159</v>
      </c>
      <c r="E119" s="307">
        <f t="shared" ca="1" si="38"/>
        <v>69.952373344347393</v>
      </c>
      <c r="F119" s="304">
        <f t="shared" ca="1" si="39"/>
        <v>70.422128859694709</v>
      </c>
      <c r="G119" s="306">
        <f t="shared" ca="1" si="40"/>
        <v>9.0692105209707847</v>
      </c>
      <c r="H119" s="307">
        <f t="shared" ca="1" si="41"/>
        <v>88.983394131198523</v>
      </c>
      <c r="I119" s="304">
        <f t="shared" ca="1" si="42"/>
        <v>89.444368244076173</v>
      </c>
      <c r="J119" s="306">
        <f t="shared" ca="1" si="43"/>
        <v>5.0069717136778067</v>
      </c>
      <c r="K119" s="307">
        <f t="shared" ca="1" si="44"/>
        <v>51.921500573127425</v>
      </c>
      <c r="L119" s="304">
        <f t="shared" ca="1" si="29"/>
        <v>52.162361789961558</v>
      </c>
      <c r="M119" s="306">
        <f t="shared" ca="1" si="45"/>
        <v>1.4692267920819226</v>
      </c>
      <c r="N119" s="304">
        <f t="shared" ca="1" si="46"/>
        <v>84.180494333839079</v>
      </c>
      <c r="P119" s="310">
        <f t="shared" ca="1" si="47"/>
        <v>4</v>
      </c>
      <c r="Q119" s="304">
        <f t="shared" ca="1" si="48"/>
        <v>715.79999999999984</v>
      </c>
      <c r="R119" s="306">
        <f t="shared" ca="1" si="49"/>
        <v>0.35922666964637057</v>
      </c>
      <c r="S119" s="307">
        <f t="shared" ca="1" si="50"/>
        <v>8.5622891608408604</v>
      </c>
      <c r="T119" s="304">
        <f t="shared" ca="1" si="30"/>
        <v>83.996056667848848</v>
      </c>
      <c r="U119" s="311">
        <f t="shared" ca="1" si="31"/>
        <v>0</v>
      </c>
      <c r="V119" s="306">
        <f t="shared" ca="1" si="32"/>
        <v>1.2186560854579187</v>
      </c>
      <c r="W119" s="304">
        <f t="shared" ca="1" si="33"/>
        <v>29.785815546100881</v>
      </c>
      <c r="Y119" s="314" t="str">
        <f t="shared" ca="1" si="51"/>
        <v/>
      </c>
      <c r="Z119" s="315" t="str">
        <f t="shared" ca="1" si="52"/>
        <v/>
      </c>
      <c r="AA119" s="316" t="str">
        <f t="shared" ca="1" si="53"/>
        <v/>
      </c>
      <c r="AC119" s="310" t="e">
        <f t="shared" ca="1" si="54"/>
        <v>#N/A</v>
      </c>
      <c r="AD119" s="323" t="e">
        <f t="shared" ca="1" si="55"/>
        <v>#N/A</v>
      </c>
      <c r="AE119" s="324">
        <f t="shared" ca="1" si="34"/>
        <v>51.921500573127425</v>
      </c>
      <c r="AG119" s="306">
        <f t="shared" ca="1" si="56"/>
        <v>70.415119050012279</v>
      </c>
      <c r="AH119" s="304">
        <f t="shared" ca="1" si="57"/>
        <v>80.174671175799304</v>
      </c>
    </row>
    <row r="120" spans="1:34" x14ac:dyDescent="0.2">
      <c r="A120" s="347">
        <f t="shared" ca="1" si="35"/>
        <v>0.01</v>
      </c>
      <c r="B120" s="304">
        <f t="shared" ca="1" si="36"/>
        <v>1.1600000000000008</v>
      </c>
      <c r="D120" s="306">
        <f t="shared" ca="1" si="37"/>
        <v>8.1082555936038361</v>
      </c>
      <c r="E120" s="307">
        <f t="shared" ca="1" si="38"/>
        <v>69.744896375358806</v>
      </c>
      <c r="F120" s="304">
        <f t="shared" ca="1" si="39"/>
        <v>70.214630805699926</v>
      </c>
      <c r="G120" s="306">
        <f t="shared" ca="1" si="40"/>
        <v>9.1502930769068236</v>
      </c>
      <c r="H120" s="307">
        <f t="shared" ca="1" si="41"/>
        <v>89.68084309495211</v>
      </c>
      <c r="I120" s="304">
        <f t="shared" ca="1" si="42"/>
        <v>90.146444642119462</v>
      </c>
      <c r="J120" s="306">
        <f t="shared" ca="1" si="43"/>
        <v>5.0980692316671945</v>
      </c>
      <c r="K120" s="307">
        <f t="shared" ca="1" si="44"/>
        <v>52.81482175925818</v>
      </c>
      <c r="L120" s="304">
        <f t="shared" ca="1" si="29"/>
        <v>53.060302556177369</v>
      </c>
      <c r="M120" s="306">
        <f t="shared" ca="1" si="45"/>
        <v>1.469116451089034</v>
      </c>
      <c r="N120" s="304">
        <f t="shared" ca="1" si="46"/>
        <v>84.174172260639281</v>
      </c>
      <c r="P120" s="310">
        <f t="shared" ca="1" si="47"/>
        <v>4</v>
      </c>
      <c r="Q120" s="304">
        <f t="shared" ca="1" si="48"/>
        <v>714.19999999999982</v>
      </c>
      <c r="R120" s="306">
        <f t="shared" ca="1" si="49"/>
        <v>0.35842370419312358</v>
      </c>
      <c r="S120" s="307">
        <f t="shared" ca="1" si="50"/>
        <v>8.5587049237989294</v>
      </c>
      <c r="T120" s="304">
        <f t="shared" ca="1" si="30"/>
        <v>83.960895302467506</v>
      </c>
      <c r="U120" s="311">
        <f t="shared" ca="1" si="31"/>
        <v>0</v>
      </c>
      <c r="V120" s="306">
        <f t="shared" ca="1" si="32"/>
        <v>1.2185472244440332</v>
      </c>
      <c r="W120" s="304">
        <f t="shared" ca="1" si="33"/>
        <v>30.2525441182283</v>
      </c>
      <c r="Y120" s="314" t="str">
        <f t="shared" ca="1" si="51"/>
        <v/>
      </c>
      <c r="Z120" s="315" t="str">
        <f t="shared" ca="1" si="52"/>
        <v/>
      </c>
      <c r="AA120" s="316" t="str">
        <f t="shared" ca="1" si="53"/>
        <v/>
      </c>
      <c r="AC120" s="310" t="e">
        <f t="shared" ca="1" si="54"/>
        <v>#N/A</v>
      </c>
      <c r="AD120" s="323" t="e">
        <f t="shared" ca="1" si="55"/>
        <v>#N/A</v>
      </c>
      <c r="AE120" s="324">
        <f t="shared" ca="1" si="34"/>
        <v>52.81482175925818</v>
      </c>
      <c r="AG120" s="306">
        <f t="shared" ca="1" si="56"/>
        <v>70.207584927073157</v>
      </c>
      <c r="AH120" s="304">
        <f t="shared" ca="1" si="57"/>
        <v>79.96702661763338</v>
      </c>
    </row>
    <row r="121" spans="1:34" x14ac:dyDescent="0.2">
      <c r="A121" s="347">
        <f t="shared" ca="1" si="35"/>
        <v>0.01</v>
      </c>
      <c r="B121" s="304">
        <f t="shared" ca="1" si="36"/>
        <v>1.1700000000000008</v>
      </c>
      <c r="D121" s="306">
        <f t="shared" ca="1" si="37"/>
        <v>8.0959054967163873</v>
      </c>
      <c r="E121" s="307">
        <f t="shared" ca="1" si="38"/>
        <v>69.536926318125836</v>
      </c>
      <c r="F121" s="304">
        <f t="shared" ca="1" si="39"/>
        <v>70.006626883347437</v>
      </c>
      <c r="G121" s="306">
        <f t="shared" ca="1" si="40"/>
        <v>9.2312521318739869</v>
      </c>
      <c r="H121" s="307">
        <f t="shared" ca="1" si="41"/>
        <v>90.376212358133373</v>
      </c>
      <c r="I121" s="304">
        <f t="shared" ca="1" si="42"/>
        <v>90.846440635418659</v>
      </c>
      <c r="J121" s="306">
        <f t="shared" ca="1" si="43"/>
        <v>5.1899769577110986</v>
      </c>
      <c r="K121" s="307">
        <f t="shared" ca="1" si="44"/>
        <v>53.715107036523605</v>
      </c>
      <c r="L121" s="304">
        <f t="shared" ca="1" si="29"/>
        <v>53.96525349488094</v>
      </c>
      <c r="M121" s="306">
        <f t="shared" ca="1" si="45"/>
        <v>1.4690068417665159</v>
      </c>
      <c r="N121" s="304">
        <f t="shared" ca="1" si="46"/>
        <v>84.1678921090637</v>
      </c>
      <c r="P121" s="310">
        <f t="shared" ca="1" si="47"/>
        <v>4</v>
      </c>
      <c r="Q121" s="304">
        <f t="shared" ca="1" si="48"/>
        <v>712.59999999999991</v>
      </c>
      <c r="R121" s="306">
        <f t="shared" ca="1" si="49"/>
        <v>0.3576207387398766</v>
      </c>
      <c r="S121" s="307">
        <f t="shared" ca="1" si="50"/>
        <v>8.5551287164115308</v>
      </c>
      <c r="T121" s="304">
        <f t="shared" ca="1" si="30"/>
        <v>83.925812707997125</v>
      </c>
      <c r="U121" s="311">
        <f t="shared" ca="1" si="31"/>
        <v>0</v>
      </c>
      <c r="V121" s="306">
        <f t="shared" ca="1" si="32"/>
        <v>1.2184375245914754</v>
      </c>
      <c r="W121" s="304">
        <f t="shared" ca="1" si="33"/>
        <v>30.721430249647273</v>
      </c>
      <c r="Y121" s="314" t="str">
        <f t="shared" ca="1" si="51"/>
        <v/>
      </c>
      <c r="Z121" s="315" t="str">
        <f t="shared" ca="1" si="52"/>
        <v/>
      </c>
      <c r="AA121" s="316" t="str">
        <f t="shared" ca="1" si="53"/>
        <v/>
      </c>
      <c r="AC121" s="310" t="e">
        <f t="shared" ca="1" si="54"/>
        <v>#N/A</v>
      </c>
      <c r="AD121" s="323" t="e">
        <f t="shared" ca="1" si="55"/>
        <v>#N/A</v>
      </c>
      <c r="AE121" s="324">
        <f t="shared" ca="1" si="34"/>
        <v>53.715107036523605</v>
      </c>
      <c r="AG121" s="306">
        <f t="shared" ca="1" si="56"/>
        <v>69.999544757538231</v>
      </c>
      <c r="AH121" s="304">
        <f t="shared" ca="1" si="57"/>
        <v>79.758876634176914</v>
      </c>
    </row>
    <row r="122" spans="1:34" x14ac:dyDescent="0.2">
      <c r="A122" s="347">
        <f t="shared" ca="1" si="35"/>
        <v>0.01</v>
      </c>
      <c r="B122" s="304">
        <f t="shared" ca="1" si="36"/>
        <v>1.1800000000000008</v>
      </c>
      <c r="D122" s="306">
        <f t="shared" ca="1" si="37"/>
        <v>8.0834007822937828</v>
      </c>
      <c r="E122" s="307">
        <f t="shared" ca="1" si="38"/>
        <v>69.328467375842379</v>
      </c>
      <c r="F122" s="304">
        <f t="shared" ca="1" si="39"/>
        <v>69.798121442417269</v>
      </c>
      <c r="G122" s="306">
        <f t="shared" ca="1" si="40"/>
        <v>9.312086139696925</v>
      </c>
      <c r="H122" s="307">
        <f t="shared" ca="1" si="41"/>
        <v>91.0694970318918</v>
      </c>
      <c r="I122" s="304">
        <f t="shared" ca="1" si="42"/>
        <v>91.544351207023595</v>
      </c>
      <c r="J122" s="306">
        <f t="shared" ca="1" si="43"/>
        <v>5.2826936490689533</v>
      </c>
      <c r="K122" s="307">
        <f t="shared" ca="1" si="44"/>
        <v>54.622335583473728</v>
      </c>
      <c r="L122" s="304">
        <f t="shared" ca="1" si="29"/>
        <v>54.877193776500029</v>
      </c>
      <c r="M122" s="306">
        <f t="shared" ca="1" si="45"/>
        <v>1.4688979512259495</v>
      </c>
      <c r="N122" s="304">
        <f t="shared" ca="1" si="46"/>
        <v>84.161653140660349</v>
      </c>
      <c r="P122" s="310">
        <f t="shared" ca="1" si="47"/>
        <v>4</v>
      </c>
      <c r="Q122" s="304">
        <f t="shared" ca="1" si="48"/>
        <v>710.99999999999989</v>
      </c>
      <c r="R122" s="306">
        <f t="shared" ca="1" si="49"/>
        <v>0.35681777328662961</v>
      </c>
      <c r="S122" s="307">
        <f t="shared" ca="1" si="50"/>
        <v>8.5515605386786646</v>
      </c>
      <c r="T122" s="304">
        <f t="shared" ca="1" si="30"/>
        <v>83.890808884437703</v>
      </c>
      <c r="U122" s="311">
        <f t="shared" ca="1" si="31"/>
        <v>0</v>
      </c>
      <c r="V122" s="306">
        <f t="shared" ca="1" si="32"/>
        <v>1.2183269886642512</v>
      </c>
      <c r="W122" s="304">
        <f t="shared" ca="1" si="33"/>
        <v>31.192436484779883</v>
      </c>
      <c r="Y122" s="314" t="str">
        <f t="shared" ca="1" si="51"/>
        <v/>
      </c>
      <c r="Z122" s="315" t="str">
        <f t="shared" ca="1" si="52"/>
        <v/>
      </c>
      <c r="AA122" s="316" t="str">
        <f t="shared" ca="1" si="53"/>
        <v/>
      </c>
      <c r="AC122" s="310" t="e">
        <f t="shared" ca="1" si="54"/>
        <v>#N/A</v>
      </c>
      <c r="AD122" s="323" t="e">
        <f t="shared" ca="1" si="55"/>
        <v>#N/A</v>
      </c>
      <c r="AE122" s="324">
        <f t="shared" ca="1" si="34"/>
        <v>54.622335583473728</v>
      </c>
      <c r="AG122" s="306">
        <f t="shared" ca="1" si="56"/>
        <v>69.791002887739893</v>
      </c>
      <c r="AH122" s="304">
        <f t="shared" ca="1" si="57"/>
        <v>79.550225560990441</v>
      </c>
    </row>
    <row r="123" spans="1:34" x14ac:dyDescent="0.2">
      <c r="A123" s="347">
        <f t="shared" ca="1" si="35"/>
        <v>0.01</v>
      </c>
      <c r="B123" s="304">
        <f t="shared" ca="1" si="36"/>
        <v>1.1900000000000008</v>
      </c>
      <c r="D123" s="306">
        <f t="shared" ca="1" si="37"/>
        <v>8.0707432036276909</v>
      </c>
      <c r="E123" s="307">
        <f t="shared" ca="1" si="38"/>
        <v>69.119523761026301</v>
      </c>
      <c r="F123" s="304">
        <f t="shared" ca="1" si="39"/>
        <v>69.589118839154608</v>
      </c>
      <c r="G123" s="306">
        <f t="shared" ca="1" si="40"/>
        <v>9.3927935717332023</v>
      </c>
      <c r="H123" s="307">
        <f t="shared" ca="1" si="41"/>
        <v>91.760692269502059</v>
      </c>
      <c r="I123" s="304">
        <f t="shared" ca="1" si="42"/>
        <v>92.240171383510813</v>
      </c>
      <c r="J123" s="306">
        <f t="shared" ca="1" si="43"/>
        <v>5.3762180476261037</v>
      </c>
      <c r="K123" s="307">
        <f t="shared" ca="1" si="44"/>
        <v>55.536486529980699</v>
      </c>
      <c r="L123" s="304">
        <f t="shared" ca="1" si="29"/>
        <v>55.79610252150546</v>
      </c>
      <c r="M123" s="306">
        <f t="shared" ca="1" si="45"/>
        <v>1.4687897669007253</v>
      </c>
      <c r="N123" s="304">
        <f t="shared" ca="1" si="46"/>
        <v>84.155454635415538</v>
      </c>
      <c r="P123" s="310">
        <f t="shared" ca="1" si="47"/>
        <v>4</v>
      </c>
      <c r="Q123" s="304">
        <f t="shared" ca="1" si="48"/>
        <v>709.39999999999986</v>
      </c>
      <c r="R123" s="306">
        <f t="shared" ca="1" si="49"/>
        <v>0.35601480783338263</v>
      </c>
      <c r="S123" s="307">
        <f t="shared" ca="1" si="50"/>
        <v>8.5480003906003308</v>
      </c>
      <c r="T123" s="304">
        <f t="shared" ca="1" si="30"/>
        <v>83.855883831789242</v>
      </c>
      <c r="U123" s="311">
        <f t="shared" ca="1" si="31"/>
        <v>0</v>
      </c>
      <c r="V123" s="306">
        <f t="shared" ca="1" si="32"/>
        <v>1.2182156194330758</v>
      </c>
      <c r="W123" s="304">
        <f t="shared" ca="1" si="33"/>
        <v>31.66552539893285</v>
      </c>
      <c r="Y123" s="314" t="str">
        <f t="shared" ca="1" si="51"/>
        <v/>
      </c>
      <c r="Z123" s="315" t="str">
        <f t="shared" ca="1" si="52"/>
        <v/>
      </c>
      <c r="AA123" s="316" t="str">
        <f t="shared" ca="1" si="53"/>
        <v/>
      </c>
      <c r="AC123" s="310" t="e">
        <f t="shared" ca="1" si="54"/>
        <v>#N/A</v>
      </c>
      <c r="AD123" s="323" t="e">
        <f t="shared" ca="1" si="55"/>
        <v>#N/A</v>
      </c>
      <c r="AE123" s="324">
        <f t="shared" ca="1" si="34"/>
        <v>55.536486529980699</v>
      </c>
      <c r="AG123" s="306">
        <f t="shared" ca="1" si="56"/>
        <v>69.581963670472732</v>
      </c>
      <c r="AH123" s="304">
        <f t="shared" ca="1" si="57"/>
        <v>79.341077740356653</v>
      </c>
    </row>
    <row r="124" spans="1:34" x14ac:dyDescent="0.2">
      <c r="A124" s="347">
        <f t="shared" ca="1" si="35"/>
        <v>0.01</v>
      </c>
      <c r="B124" s="304">
        <f t="shared" ca="1" si="36"/>
        <v>1.2000000000000008</v>
      </c>
      <c r="D124" s="306">
        <f t="shared" ca="1" si="37"/>
        <v>8.0579344825678731</v>
      </c>
      <c r="E124" s="307">
        <f t="shared" ca="1" si="38"/>
        <v>68.910099695141199</v>
      </c>
      <c r="F124" s="304">
        <f t="shared" ca="1" si="39"/>
        <v>69.37962343598916</v>
      </c>
      <c r="G124" s="306">
        <f t="shared" ca="1" si="40"/>
        <v>9.4733729165588816</v>
      </c>
      <c r="H124" s="307">
        <f t="shared" ca="1" si="41"/>
        <v>92.449793266453469</v>
      </c>
      <c r="I124" s="304">
        <f t="shared" ca="1" si="42"/>
        <v>92.933896235045339</v>
      </c>
      <c r="J124" s="306">
        <f t="shared" ca="1" si="43"/>
        <v>5.4705488800675637</v>
      </c>
      <c r="K124" s="307">
        <f t="shared" ca="1" si="44"/>
        <v>56.457538957660475</v>
      </c>
      <c r="L124" s="304">
        <f t="shared" ca="1" si="29"/>
        <v>56.721958800846778</v>
      </c>
      <c r="M124" s="306">
        <f t="shared" ca="1" si="45"/>
        <v>1.468682276535235</v>
      </c>
      <c r="N124" s="304">
        <f t="shared" ca="1" si="46"/>
        <v>84.149295891134628</v>
      </c>
      <c r="P124" s="310">
        <f t="shared" ca="1" si="47"/>
        <v>4</v>
      </c>
      <c r="Q124" s="304">
        <f t="shared" ca="1" si="48"/>
        <v>707.79999999999984</v>
      </c>
      <c r="R124" s="306">
        <f t="shared" ca="1" si="49"/>
        <v>0.35521184238013565</v>
      </c>
      <c r="S124" s="307">
        <f t="shared" ca="1" si="50"/>
        <v>8.5444482721765294</v>
      </c>
      <c r="T124" s="304">
        <f t="shared" ca="1" si="30"/>
        <v>83.821037550051756</v>
      </c>
      <c r="U124" s="311">
        <f t="shared" ca="1" si="31"/>
        <v>0</v>
      </c>
      <c r="V124" s="306">
        <f t="shared" ca="1" si="32"/>
        <v>1.2181034196753044</v>
      </c>
      <c r="W124" s="304">
        <f t="shared" ca="1" si="33"/>
        <v>32.140659600540999</v>
      </c>
      <c r="Y124" s="314" t="str">
        <f t="shared" ca="1" si="51"/>
        <v/>
      </c>
      <c r="Z124" s="315" t="str">
        <f t="shared" ca="1" si="52"/>
        <v/>
      </c>
      <c r="AA124" s="316" t="str">
        <f t="shared" ca="1" si="53"/>
        <v/>
      </c>
      <c r="AC124" s="310" t="e">
        <f t="shared" ca="1" si="54"/>
        <v>#N/A</v>
      </c>
      <c r="AD124" s="323" t="e">
        <f t="shared" ca="1" si="55"/>
        <v>#N/A</v>
      </c>
      <c r="AE124" s="324">
        <f t="shared" ca="1" si="34"/>
        <v>56.457538957660475</v>
      </c>
      <c r="AG124" s="306">
        <f t="shared" ca="1" si="56"/>
        <v>69.372431464711752</v>
      </c>
      <c r="AH124" s="304">
        <f t="shared" ca="1" si="57"/>
        <v>79.131437520989891</v>
      </c>
    </row>
    <row r="125" spans="1:34" x14ac:dyDescent="0.2">
      <c r="A125" s="347">
        <f t="shared" ca="1" si="35"/>
        <v>0.01</v>
      </c>
      <c r="B125" s="304">
        <f t="shared" ca="1" si="36"/>
        <v>1.2100000000000009</v>
      </c>
      <c r="D125" s="306">
        <f t="shared" ca="1" si="37"/>
        <v>8.044976310589222</v>
      </c>
      <c r="E125" s="307">
        <f t="shared" ca="1" si="38"/>
        <v>68.700199408222133</v>
      </c>
      <c r="F125" s="304">
        <f t="shared" ca="1" si="39"/>
        <v>69.169639601254445</v>
      </c>
      <c r="G125" s="306">
        <f t="shared" ca="1" si="40"/>
        <v>9.5538226796647745</v>
      </c>
      <c r="H125" s="307">
        <f t="shared" ca="1" si="41"/>
        <v>93.136795260535692</v>
      </c>
      <c r="I125" s="304">
        <f t="shared" ca="1" si="42"/>
        <v>93.625520875439832</v>
      </c>
      <c r="J125" s="306">
        <f t="shared" ca="1" si="43"/>
        <v>5.565684858048682</v>
      </c>
      <c r="K125" s="307">
        <f t="shared" ca="1" si="44"/>
        <v>57.385471900295421</v>
      </c>
      <c r="L125" s="304">
        <f t="shared" ca="1" si="29"/>
        <v>57.654741636388486</v>
      </c>
      <c r="M125" s="306">
        <f t="shared" ca="1" si="45"/>
        <v>1.4685754681745171</v>
      </c>
      <c r="N125" s="304">
        <f t="shared" ca="1" si="46"/>
        <v>84.14317622284878</v>
      </c>
      <c r="P125" s="310">
        <f t="shared" ca="1" si="47"/>
        <v>4</v>
      </c>
      <c r="Q125" s="304">
        <f t="shared" ca="1" si="48"/>
        <v>706.19999999999982</v>
      </c>
      <c r="R125" s="306">
        <f t="shared" ca="1" si="49"/>
        <v>0.35440887692688861</v>
      </c>
      <c r="S125" s="307">
        <f t="shared" ca="1" si="50"/>
        <v>8.5409041834072603</v>
      </c>
      <c r="T125" s="304">
        <f t="shared" ca="1" si="30"/>
        <v>83.786270039225229</v>
      </c>
      <c r="U125" s="311">
        <f t="shared" ca="1" si="31"/>
        <v>0</v>
      </c>
      <c r="V125" s="306">
        <f t="shared" ca="1" si="32"/>
        <v>1.2179903921748578</v>
      </c>
      <c r="W125" s="304">
        <f t="shared" ca="1" si="33"/>
        <v>32.617801733399162</v>
      </c>
      <c r="Y125" s="314" t="str">
        <f t="shared" ca="1" si="51"/>
        <v/>
      </c>
      <c r="Z125" s="315" t="str">
        <f t="shared" ca="1" si="52"/>
        <v/>
      </c>
      <c r="AA125" s="316" t="str">
        <f t="shared" ca="1" si="53"/>
        <v/>
      </c>
      <c r="AC125" s="310" t="e">
        <f t="shared" ca="1" si="54"/>
        <v>#N/A</v>
      </c>
      <c r="AD125" s="323" t="e">
        <f t="shared" ca="1" si="55"/>
        <v>#N/A</v>
      </c>
      <c r="AE125" s="324">
        <f t="shared" ca="1" si="34"/>
        <v>57.385471900295421</v>
      </c>
      <c r="AG125" s="306">
        <f t="shared" ca="1" si="56"/>
        <v>69.162410635330033</v>
      </c>
      <c r="AH125" s="304">
        <f t="shared" ca="1" si="57"/>
        <v>78.921309257745747</v>
      </c>
    </row>
    <row r="126" spans="1:34" x14ac:dyDescent="0.2">
      <c r="A126" s="347">
        <f t="shared" ca="1" si="35"/>
        <v>0.01</v>
      </c>
      <c r="B126" s="304">
        <f t="shared" ca="1" si="36"/>
        <v>1.2200000000000009</v>
      </c>
      <c r="D126" s="306">
        <f t="shared" ca="1" si="37"/>
        <v>8.0318703498128556</v>
      </c>
      <c r="E126" s="307">
        <f t="shared" ca="1" si="38"/>
        <v>68.489827138505731</v>
      </c>
      <c r="F126" s="304">
        <f t="shared" ca="1" si="39"/>
        <v>68.959171708907576</v>
      </c>
      <c r="G126" s="306">
        <f t="shared" ca="1" si="40"/>
        <v>9.6341413831629037</v>
      </c>
      <c r="H126" s="307">
        <f t="shared" ca="1" si="41"/>
        <v>93.821693531920744</v>
      </c>
      <c r="I126" s="304">
        <f t="shared" ca="1" si="42"/>
        <v>94.315040462210646</v>
      </c>
      <c r="J126" s="306">
        <f t="shared" ca="1" si="43"/>
        <v>5.6616246783628199</v>
      </c>
      <c r="K126" s="307">
        <f t="shared" ca="1" si="44"/>
        <v>58.320264344257701</v>
      </c>
      <c r="L126" s="304">
        <f t="shared" ca="1" si="29"/>
        <v>58.594430001346915</v>
      </c>
      <c r="M126" s="306">
        <f t="shared" ca="1" si="45"/>
        <v>1.468469330154331</v>
      </c>
      <c r="N126" s="304">
        <f t="shared" ca="1" si="46"/>
        <v>84.137094962246238</v>
      </c>
      <c r="P126" s="310">
        <f t="shared" ca="1" si="47"/>
        <v>4</v>
      </c>
      <c r="Q126" s="304">
        <f t="shared" ca="1" si="48"/>
        <v>704.5999999999998</v>
      </c>
      <c r="R126" s="306">
        <f t="shared" ca="1" si="49"/>
        <v>0.35360591147364162</v>
      </c>
      <c r="S126" s="307">
        <f t="shared" ca="1" si="50"/>
        <v>8.5373681242925237</v>
      </c>
      <c r="T126" s="304">
        <f t="shared" ca="1" si="30"/>
        <v>83.751581299309663</v>
      </c>
      <c r="U126" s="311">
        <f t="shared" ca="1" si="31"/>
        <v>0</v>
      </c>
      <c r="V126" s="306">
        <f t="shared" ca="1" si="32"/>
        <v>1.2178765397221512</v>
      </c>
      <c r="W126" s="304">
        <f t="shared" ca="1" si="33"/>
        <v>33.096914478882603</v>
      </c>
      <c r="Y126" s="314" t="str">
        <f t="shared" ca="1" si="51"/>
        <v/>
      </c>
      <c r="Z126" s="315" t="str">
        <f t="shared" ca="1" si="52"/>
        <v/>
      </c>
      <c r="AA126" s="316" t="str">
        <f t="shared" ca="1" si="53"/>
        <v/>
      </c>
      <c r="AC126" s="310" t="e">
        <f t="shared" ca="1" si="54"/>
        <v>#N/A</v>
      </c>
      <c r="AD126" s="323" t="e">
        <f t="shared" ca="1" si="55"/>
        <v>#N/A</v>
      </c>
      <c r="AE126" s="324">
        <f t="shared" ca="1" si="34"/>
        <v>58.320264344257701</v>
      </c>
      <c r="AG126" s="306">
        <f t="shared" ca="1" si="56"/>
        <v>68.951905552817365</v>
      </c>
      <c r="AH126" s="304">
        <f t="shared" ca="1" si="57"/>
        <v>78.710697311331714</v>
      </c>
    </row>
    <row r="127" spans="1:34" x14ac:dyDescent="0.2">
      <c r="A127" s="347">
        <f t="shared" ca="1" si="35"/>
        <v>0.01</v>
      </c>
      <c r="B127" s="304">
        <f t="shared" ca="1" si="36"/>
        <v>1.2300000000000009</v>
      </c>
      <c r="D127" s="306">
        <f t="shared" ca="1" si="37"/>
        <v>8.018618233983716</v>
      </c>
      <c r="E127" s="307">
        <f t="shared" ca="1" si="38"/>
        <v>68.278987132063904</v>
      </c>
      <c r="F127" s="304">
        <f t="shared" ca="1" si="39"/>
        <v>68.748224138249014</v>
      </c>
      <c r="G127" s="306">
        <f t="shared" ca="1" si="40"/>
        <v>9.7143275655027406</v>
      </c>
      <c r="H127" s="307">
        <f t="shared" ca="1" si="41"/>
        <v>94.50448340324138</v>
      </c>
      <c r="I127" s="304">
        <f t="shared" ca="1" si="42"/>
        <v>95.002450196631301</v>
      </c>
      <c r="J127" s="306">
        <f t="shared" ca="1" si="43"/>
        <v>5.7583670231061479</v>
      </c>
      <c r="K127" s="307">
        <f t="shared" ca="1" si="44"/>
        <v>59.261895228933511</v>
      </c>
      <c r="L127" s="304">
        <f t="shared" ca="1" si="29"/>
        <v>59.541002820727577</v>
      </c>
      <c r="M127" s="306">
        <f t="shared" ca="1" si="45"/>
        <v>1.468363851091639</v>
      </c>
      <c r="N127" s="304">
        <f t="shared" ca="1" si="46"/>
        <v>84.131051457127001</v>
      </c>
      <c r="P127" s="310">
        <f t="shared" ca="1" si="47"/>
        <v>4</v>
      </c>
      <c r="Q127" s="304">
        <f t="shared" ca="1" si="48"/>
        <v>702.99999999999989</v>
      </c>
      <c r="R127" s="306">
        <f t="shared" ca="1" si="49"/>
        <v>0.35280294602039469</v>
      </c>
      <c r="S127" s="307">
        <f t="shared" ca="1" si="50"/>
        <v>8.5338400948323194</v>
      </c>
      <c r="T127" s="304">
        <f t="shared" ca="1" si="30"/>
        <v>83.716971330305057</v>
      </c>
      <c r="U127" s="311">
        <f t="shared" ca="1" si="31"/>
        <v>0</v>
      </c>
      <c r="V127" s="306">
        <f t="shared" ca="1" si="32"/>
        <v>1.217761865114019</v>
      </c>
      <c r="W127" s="304">
        <f t="shared" ca="1" si="33"/>
        <v>33.577960558155695</v>
      </c>
      <c r="Y127" s="314" t="str">
        <f t="shared" ca="1" si="51"/>
        <v/>
      </c>
      <c r="Z127" s="315" t="str">
        <f t="shared" ca="1" si="52"/>
        <v/>
      </c>
      <c r="AA127" s="316" t="str">
        <f t="shared" ca="1" si="53"/>
        <v/>
      </c>
      <c r="AC127" s="310" t="e">
        <f t="shared" ca="1" si="54"/>
        <v>#N/A</v>
      </c>
      <c r="AD127" s="323" t="e">
        <f t="shared" ca="1" si="55"/>
        <v>#N/A</v>
      </c>
      <c r="AE127" s="324">
        <f t="shared" ca="1" si="34"/>
        <v>59.261895228933511</v>
      </c>
      <c r="AG127" s="306">
        <f t="shared" ca="1" si="56"/>
        <v>68.740920592998549</v>
      </c>
      <c r="AH127" s="304">
        <f t="shared" ca="1" si="57"/>
        <v>78.499606048017966</v>
      </c>
    </row>
    <row r="128" spans="1:34" x14ac:dyDescent="0.2">
      <c r="A128" s="347">
        <f t="shared" ca="1" si="35"/>
        <v>0.01</v>
      </c>
      <c r="B128" s="304">
        <f t="shared" ca="1" si="36"/>
        <v>1.2400000000000009</v>
      </c>
      <c r="D128" s="306">
        <f t="shared" ca="1" si="37"/>
        <v>8.0052215694067392</v>
      </c>
      <c r="E128" s="307">
        <f t="shared" ca="1" si="38"/>
        <v>68.067683642441338</v>
      </c>
      <c r="F128" s="304">
        <f t="shared" ca="1" si="39"/>
        <v>68.536801273642553</v>
      </c>
      <c r="G128" s="306">
        <f t="shared" ca="1" si="40"/>
        <v>9.7943797811968079</v>
      </c>
      <c r="H128" s="307">
        <f t="shared" ca="1" si="41"/>
        <v>95.185160239665791</v>
      </c>
      <c r="I128" s="304">
        <f t="shared" ca="1" si="42"/>
        <v>95.687745323783076</v>
      </c>
      <c r="J128" s="306">
        <f t="shared" ca="1" si="43"/>
        <v>5.8559105598396455</v>
      </c>
      <c r="K128" s="307">
        <f t="shared" ca="1" si="44"/>
        <v>60.210343447148048</v>
      </c>
      <c r="L128" s="304">
        <f t="shared" ca="1" si="29"/>
        <v>60.49443897176306</v>
      </c>
      <c r="M128" s="306">
        <f t="shared" ca="1" si="45"/>
        <v>1.4682590198754761</v>
      </c>
      <c r="N128" s="304">
        <f t="shared" ca="1" si="46"/>
        <v>84.125045070879636</v>
      </c>
      <c r="P128" s="310">
        <f t="shared" ca="1" si="47"/>
        <v>4</v>
      </c>
      <c r="Q128" s="304">
        <f t="shared" ca="1" si="48"/>
        <v>701.39999999999986</v>
      </c>
      <c r="R128" s="306">
        <f t="shared" ca="1" si="49"/>
        <v>0.35199998056714771</v>
      </c>
      <c r="S128" s="307">
        <f t="shared" ca="1" si="50"/>
        <v>8.5303200950266476</v>
      </c>
      <c r="T128" s="304">
        <f t="shared" ca="1" si="30"/>
        <v>83.682440132211411</v>
      </c>
      <c r="U128" s="311">
        <f t="shared" ca="1" si="31"/>
        <v>0</v>
      </c>
      <c r="V128" s="306">
        <f t="shared" ca="1" si="32"/>
        <v>1.2176463711536458</v>
      </c>
      <c r="W128" s="304">
        <f t="shared" ca="1" si="33"/>
        <v>34.060902734368803</v>
      </c>
      <c r="Y128" s="314" t="str">
        <f t="shared" ca="1" si="51"/>
        <v/>
      </c>
      <c r="Z128" s="315" t="str">
        <f t="shared" ca="1" si="52"/>
        <v/>
      </c>
      <c r="AA128" s="316" t="str">
        <f t="shared" ca="1" si="53"/>
        <v/>
      </c>
      <c r="AC128" s="310" t="e">
        <f t="shared" ca="1" si="54"/>
        <v>#N/A</v>
      </c>
      <c r="AD128" s="323" t="e">
        <f t="shared" ca="1" si="55"/>
        <v>#N/A</v>
      </c>
      <c r="AE128" s="324">
        <f t="shared" ca="1" si="34"/>
        <v>60.210343447148048</v>
      </c>
      <c r="AG128" s="306">
        <f t="shared" ca="1" si="56"/>
        <v>68.529460136752164</v>
      </c>
      <c r="AH128" s="304">
        <f t="shared" ca="1" si="57"/>
        <v>78.288039839348841</v>
      </c>
    </row>
    <row r="129" spans="1:34" x14ac:dyDescent="0.2">
      <c r="A129" s="347">
        <f t="shared" ca="1" si="35"/>
        <v>0.01</v>
      </c>
      <c r="B129" s="304">
        <f t="shared" ca="1" si="36"/>
        <v>1.2500000000000009</v>
      </c>
      <c r="D129" s="306">
        <f t="shared" ca="1" si="37"/>
        <v>7.9916819358437463</v>
      </c>
      <c r="E129" s="307">
        <f t="shared" ca="1" si="38"/>
        <v>67.85592093029679</v>
      </c>
      <c r="F129" s="304">
        <f t="shared" ca="1" si="39"/>
        <v>68.324907504235824</v>
      </c>
      <c r="G129" s="306">
        <f t="shared" ca="1" si="40"/>
        <v>9.8742966005552457</v>
      </c>
      <c r="H129" s="307">
        <f t="shared" ca="1" si="41"/>
        <v>95.863719448968766</v>
      </c>
      <c r="I129" s="304">
        <f t="shared" ca="1" si="42"/>
        <v>96.370921132602703</v>
      </c>
      <c r="J129" s="306">
        <f t="shared" ca="1" si="43"/>
        <v>5.9542539417484059</v>
      </c>
      <c r="K129" s="307">
        <f t="shared" ca="1" si="44"/>
        <v>61.165587845591219</v>
      </c>
      <c r="L129" s="304">
        <f t="shared" ca="1" si="29"/>
        <v>61.454717284351432</v>
      </c>
      <c r="M129" s="306">
        <f t="shared" ca="1" si="45"/>
        <v>1.4681548256581896</v>
      </c>
      <c r="N129" s="304">
        <f t="shared" ca="1" si="46"/>
        <v>84.11907518197944</v>
      </c>
      <c r="P129" s="310">
        <f t="shared" ca="1" si="47"/>
        <v>4</v>
      </c>
      <c r="Q129" s="304">
        <f t="shared" ca="1" si="48"/>
        <v>699.79999999999984</v>
      </c>
      <c r="R129" s="306">
        <f t="shared" ca="1" si="49"/>
        <v>0.35119701511390067</v>
      </c>
      <c r="S129" s="307">
        <f t="shared" ca="1" si="50"/>
        <v>8.5268081248755081</v>
      </c>
      <c r="T129" s="304">
        <f t="shared" ca="1" si="30"/>
        <v>83.64798770502874</v>
      </c>
      <c r="U129" s="311">
        <f t="shared" ca="1" si="31"/>
        <v>0</v>
      </c>
      <c r="V129" s="306">
        <f t="shared" ca="1" si="32"/>
        <v>1.2175300606504897</v>
      </c>
      <c r="W129" s="304">
        <f t="shared" ca="1" si="33"/>
        <v>34.545703814842717</v>
      </c>
      <c r="Y129" s="314" t="str">
        <f t="shared" ca="1" si="51"/>
        <v/>
      </c>
      <c r="Z129" s="315" t="str">
        <f t="shared" ca="1" si="52"/>
        <v/>
      </c>
      <c r="AA129" s="316" t="str">
        <f t="shared" ca="1" si="53"/>
        <v/>
      </c>
      <c r="AC129" s="310" t="e">
        <f t="shared" ca="1" si="54"/>
        <v>#N/A</v>
      </c>
      <c r="AD129" s="323" t="e">
        <f t="shared" ca="1" si="55"/>
        <v>#N/A</v>
      </c>
      <c r="AE129" s="324">
        <f t="shared" ca="1" si="34"/>
        <v>61.165587845591219</v>
      </c>
      <c r="AG129" s="306">
        <f t="shared" ca="1" si="56"/>
        <v>68.317528569729774</v>
      </c>
      <c r="AH129" s="304">
        <f t="shared" ca="1" si="57"/>
        <v>78.07600306185509</v>
      </c>
    </row>
    <row r="130" spans="1:34" x14ac:dyDescent="0.2">
      <c r="A130" s="347">
        <f t="shared" ca="1" si="35"/>
        <v>0.01</v>
      </c>
      <c r="B130" s="304">
        <f t="shared" ca="1" si="36"/>
        <v>1.2600000000000009</v>
      </c>
      <c r="D130" s="306">
        <f t="shared" ca="1" si="37"/>
        <v>7.9780008873727652</v>
      </c>
      <c r="E130" s="307">
        <f t="shared" ca="1" si="38"/>
        <v>67.643703263047655</v>
      </c>
      <c r="F130" s="304">
        <f t="shared" ca="1" si="39"/>
        <v>68.112547223680934</v>
      </c>
      <c r="G130" s="306">
        <f t="shared" ca="1" si="40"/>
        <v>9.9540766094289737</v>
      </c>
      <c r="H130" s="307">
        <f t="shared" ca="1" si="41"/>
        <v>96.54015648159924</v>
      </c>
      <c r="I130" s="304">
        <f t="shared" ca="1" si="42"/>
        <v>97.051972955927326</v>
      </c>
      <c r="J130" s="306">
        <f t="shared" ca="1" si="43"/>
        <v>6.053395807798327</v>
      </c>
      <c r="K130" s="307">
        <f t="shared" ca="1" si="44"/>
        <v>62.127607225244056</v>
      </c>
      <c r="L130" s="304">
        <f t="shared" ca="1" si="29"/>
        <v>62.421816541495076</v>
      </c>
      <c r="M130" s="306">
        <f t="shared" ca="1" si="45"/>
        <v>1.4680512578470277</v>
      </c>
      <c r="N130" s="304">
        <f t="shared" ca="1" si="46"/>
        <v>84.113141183506471</v>
      </c>
      <c r="P130" s="310">
        <f t="shared" ca="1" si="47"/>
        <v>4</v>
      </c>
      <c r="Q130" s="304">
        <f t="shared" ca="1" si="48"/>
        <v>698.19999999999982</v>
      </c>
      <c r="R130" s="306">
        <f t="shared" ca="1" si="49"/>
        <v>0.35039404966065368</v>
      </c>
      <c r="S130" s="307">
        <f t="shared" ca="1" si="50"/>
        <v>8.523304184378901</v>
      </c>
      <c r="T130" s="304">
        <f t="shared" ca="1" si="30"/>
        <v>83.613614048757029</v>
      </c>
      <c r="U130" s="311">
        <f t="shared" ca="1" si="31"/>
        <v>0</v>
      </c>
      <c r="V130" s="306">
        <f t="shared" ca="1" si="32"/>
        <v>1.2174129364202115</v>
      </c>
      <c r="W130" s="304">
        <f t="shared" ca="1" si="33"/>
        <v>35.032326653241007</v>
      </c>
      <c r="Y130" s="314" t="str">
        <f t="shared" ca="1" si="51"/>
        <v/>
      </c>
      <c r="Z130" s="315" t="str">
        <f t="shared" ca="1" si="52"/>
        <v/>
      </c>
      <c r="AA130" s="316" t="str">
        <f t="shared" ca="1" si="53"/>
        <v/>
      </c>
      <c r="AC130" s="310" t="e">
        <f t="shared" ca="1" si="54"/>
        <v>#N/A</v>
      </c>
      <c r="AD130" s="323" t="e">
        <f t="shared" ca="1" si="55"/>
        <v>#N/A</v>
      </c>
      <c r="AE130" s="324">
        <f t="shared" ca="1" si="34"/>
        <v>62.127607225244056</v>
      </c>
      <c r="AG130" s="306">
        <f t="shared" ca="1" si="56"/>
        <v>68.105130282075251</v>
      </c>
      <c r="AH130" s="304">
        <f t="shared" ca="1" si="57"/>
        <v>77.863500096766529</v>
      </c>
    </row>
    <row r="131" spans="1:34" x14ac:dyDescent="0.2">
      <c r="A131" s="347">
        <f t="shared" ca="1" si="35"/>
        <v>0.01</v>
      </c>
      <c r="B131" s="304">
        <f t="shared" ca="1" si="36"/>
        <v>1.2700000000000009</v>
      </c>
      <c r="D131" s="306">
        <f t="shared" ca="1" si="37"/>
        <v>7.9641799532118798</v>
      </c>
      <c r="E131" s="307">
        <f t="shared" ca="1" si="38"/>
        <v>67.431034914518079</v>
      </c>
      <c r="F131" s="304">
        <f t="shared" ca="1" si="39"/>
        <v>67.899724829855515</v>
      </c>
      <c r="G131" s="306">
        <f t="shared" ca="1" si="40"/>
        <v>10.033718408961093</v>
      </c>
      <c r="H131" s="307">
        <f t="shared" ca="1" si="41"/>
        <v>97.214466830744428</v>
      </c>
      <c r="I131" s="304">
        <f t="shared" ca="1" si="42"/>
        <v>97.730896170536738</v>
      </c>
      <c r="J131" s="306">
        <f t="shared" ca="1" si="43"/>
        <v>6.1533347828902771</v>
      </c>
      <c r="K131" s="307">
        <f t="shared" ca="1" si="44"/>
        <v>63.096380341805776</v>
      </c>
      <c r="L131" s="304">
        <f t="shared" ca="1" si="29"/>
        <v>63.39571547973997</v>
      </c>
      <c r="M131" s="306">
        <f t="shared" ca="1" si="45"/>
        <v>1.4679483060960652</v>
      </c>
      <c r="N131" s="304">
        <f t="shared" ca="1" si="46"/>
        <v>84.107242482682835</v>
      </c>
      <c r="P131" s="310">
        <f t="shared" ca="1" si="47"/>
        <v>4</v>
      </c>
      <c r="Q131" s="304">
        <f t="shared" ca="1" si="48"/>
        <v>696.5999999999998</v>
      </c>
      <c r="R131" s="306">
        <f t="shared" ca="1" si="49"/>
        <v>0.3495910842074067</v>
      </c>
      <c r="S131" s="307">
        <f t="shared" ca="1" si="50"/>
        <v>8.5198082735368263</v>
      </c>
      <c r="T131" s="304">
        <f t="shared" ca="1" si="30"/>
        <v>83.579319163396278</v>
      </c>
      <c r="U131" s="311">
        <f t="shared" ca="1" si="31"/>
        <v>0</v>
      </c>
      <c r="V131" s="306">
        <f t="shared" ca="1" si="32"/>
        <v>1.2172950012846029</v>
      </c>
      <c r="W131" s="304">
        <f t="shared" ca="1" si="33"/>
        <v>35.520734151729869</v>
      </c>
      <c r="Y131" s="314" t="str">
        <f t="shared" ca="1" si="51"/>
        <v/>
      </c>
      <c r="Z131" s="315" t="str">
        <f t="shared" ca="1" si="52"/>
        <v/>
      </c>
      <c r="AA131" s="316" t="str">
        <f t="shared" ca="1" si="53"/>
        <v/>
      </c>
      <c r="AC131" s="310" t="e">
        <f t="shared" ca="1" si="54"/>
        <v>#N/A</v>
      </c>
      <c r="AD131" s="323" t="e">
        <f t="shared" ca="1" si="55"/>
        <v>#N/A</v>
      </c>
      <c r="AE131" s="324">
        <f t="shared" ca="1" si="34"/>
        <v>63.096380341805776</v>
      </c>
      <c r="AG131" s="306">
        <f t="shared" ca="1" si="56"/>
        <v>67.892269668144735</v>
      </c>
      <c r="AH131" s="304">
        <f t="shared" ca="1" si="57"/>
        <v>77.650535329725471</v>
      </c>
    </row>
    <row r="132" spans="1:34" x14ac:dyDescent="0.2">
      <c r="A132" s="347">
        <f t="shared" ca="1" si="35"/>
        <v>0.01</v>
      </c>
      <c r="B132" s="304">
        <f t="shared" ca="1" si="36"/>
        <v>1.2800000000000009</v>
      </c>
      <c r="D132" s="306">
        <f t="shared" ca="1" si="37"/>
        <v>7.9502206385090242</v>
      </c>
      <c r="E132" s="307">
        <f t="shared" ca="1" si="38"/>
        <v>67.217920164590367</v>
      </c>
      <c r="F132" s="304">
        <f t="shared" ca="1" si="39"/>
        <v>67.686444724584391</v>
      </c>
      <c r="G132" s="306">
        <f t="shared" ca="1" si="40"/>
        <v>10.113220615346183</v>
      </c>
      <c r="H132" s="307">
        <f t="shared" ca="1" si="41"/>
        <v>97.886646032390331</v>
      </c>
      <c r="I132" s="304">
        <f t="shared" ca="1" si="42"/>
        <v>98.407686197192646</v>
      </c>
      <c r="J132" s="306">
        <f t="shared" ca="1" si="43"/>
        <v>6.2540694780118136</v>
      </c>
      <c r="K132" s="307">
        <f t="shared" ca="1" si="44"/>
        <v>64.071885906121452</v>
      </c>
      <c r="L132" s="304">
        <f t="shared" ref="L132:L195" ca="1" si="58">SQRT(pos_x^2+pos_z^2)</f>
        <v>64.376392789615394</v>
      </c>
      <c r="M132" s="306">
        <f t="shared" ca="1" si="45"/>
        <v>1.4678459602984457</v>
      </c>
      <c r="N132" s="304">
        <f t="shared" ca="1" si="46"/>
        <v>84.101378500428339</v>
      </c>
      <c r="P132" s="310">
        <f t="shared" ca="1" si="47"/>
        <v>4</v>
      </c>
      <c r="Q132" s="304">
        <f t="shared" ca="1" si="48"/>
        <v>694.99999999999989</v>
      </c>
      <c r="R132" s="306">
        <f t="shared" ca="1" si="49"/>
        <v>0.34878811875415977</v>
      </c>
      <c r="S132" s="307">
        <f t="shared" ca="1" si="50"/>
        <v>8.5163203923492841</v>
      </c>
      <c r="T132" s="304">
        <f t="shared" ref="T132:T195" ca="1" si="59">m*g</f>
        <v>83.545103048946487</v>
      </c>
      <c r="U132" s="311">
        <f t="shared" ref="U132:U195" ca="1" si="60">IF(pos_xz&lt;L_rampe,Poids*COS(Beta),0)</f>
        <v>0</v>
      </c>
      <c r="V132" s="306">
        <f t="shared" ref="V132:V195" ca="1" si="61">Rho_moyen*(20000-Alt_rampe-pos_z)/(20000+Alt_rampe+pos_z)</f>
        <v>1.2171762580715104</v>
      </c>
      <c r="W132" s="304">
        <f t="shared" ref="W132:W195" ca="1" si="62">1/2*Rho*Sref*Cx*vit_xz^2</f>
        <v>36.010889263125016</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64.071885906121452</v>
      </c>
      <c r="AG132" s="306">
        <f t="shared" ca="1" si="56"/>
        <v>67.678951126226863</v>
      </c>
      <c r="AH132" s="304">
        <f t="shared" ca="1" si="57"/>
        <v>77.43711315050092</v>
      </c>
    </row>
    <row r="133" spans="1:34" x14ac:dyDescent="0.2">
      <c r="A133" s="347">
        <f t="shared" ref="A133:A196" ca="1" si="64">IF(B132+0.01&lt;=T_ini+ROUNDUP(Temps_fin_propu,0), 0.01, IF(K132&gt;0, 0.1, 0.0001))</f>
        <v>0.01</v>
      </c>
      <c r="B133" s="304">
        <f t="shared" ref="B133:B196" ca="1" si="65">B132+pas</f>
        <v>1.2900000000000009</v>
      </c>
      <c r="D133" s="306">
        <f t="shared" ref="D133:D196" ca="1" si="66">IF(AND(L132&lt;L_rampe,Poussee&lt;Poids*SIN(M132)),0,(-W132+Poussee)/m*COS(M132)-U132/m*SIN(M132))</f>
        <v>7.9361244250994591</v>
      </c>
      <c r="E133" s="307">
        <f t="shared" ref="E133:E196" ca="1" si="67">IF(AND(L132&lt;L_rampe,Poussee&lt;Poids*SIN(M132)),0,(-W132+Poussee)/m*SIN(M132)+U132/m*COS(M132)-Poids/m)</f>
        <v>67.004363298859531</v>
      </c>
      <c r="F133" s="304">
        <f t="shared" ref="F133:F196" ca="1" si="68">SQRT(acc_x^2+acc_z^2)</f>
        <v>67.472711313361444</v>
      </c>
      <c r="G133" s="306">
        <f t="shared" ref="G133:G196" ca="1" si="69">G132+acc_x*pas</f>
        <v>10.192581859597178</v>
      </c>
      <c r="H133" s="307">
        <f t="shared" ref="H133:H196" ca="1" si="70">H132+acc_z*pas</f>
        <v>98.556689665378926</v>
      </c>
      <c r="I133" s="304">
        <f t="shared" ref="I133:I196" ca="1" si="71">SQRT(vit_x^2+vit_z^2)</f>
        <v>99.082338500675277</v>
      </c>
      <c r="J133" s="306">
        <f t="shared" ref="J133:J196" ca="1" si="72">J132+0.5*(vit_x+G132)*pas*(K132&gt;=0)</f>
        <v>6.3555984903865301</v>
      </c>
      <c r="K133" s="307">
        <f t="shared" ref="K133:K196" ca="1" si="73">K132+0.5*(vit_z+H132)*pas</f>
        <v>65.054102584610291</v>
      </c>
      <c r="L133" s="304">
        <f t="shared" ca="1" si="58"/>
        <v>65.363827116073935</v>
      </c>
      <c r="M133" s="306">
        <f t="shared" ref="M133:M196" ca="1" si="74">IF(AND(L132&gt;L_rampe,G133&gt;0),ATAN2(G133,H133),$M$4)</f>
        <v>1.4677442105789289</v>
      </c>
      <c r="N133" s="304">
        <f t="shared" ref="N133:N196" ca="1" si="75">DEGREES(Beta)</f>
        <v>84.095548670933383</v>
      </c>
      <c r="P133" s="310">
        <f t="shared" ref="P133:P196" ca="1" si="76">MATCH(t-pas/2-T_ini,CdP_t)</f>
        <v>4</v>
      </c>
      <c r="Q133" s="304">
        <f t="shared" ref="Q133:Q196" ca="1" si="77">(INDEX(CdP,2,i_P+1)-INDEX(CdP,2,i_P+0))/(INDEX(CdP,1,i_P+1)-INDEX(CdP,1,i_P+0))*(t-pas/2-T_ini-INDEX(CdP,1,i_P+0))+INDEX(CdP,2,i_P+0)</f>
        <v>693.39999999999986</v>
      </c>
      <c r="R133" s="306">
        <f t="shared" ref="R133:R196" ca="1" si="78">Poussee/(g*ISP)</f>
        <v>0.34798515330091273</v>
      </c>
      <c r="S133" s="307">
        <f t="shared" ref="S133:S196" ca="1" si="79">S132-Débit*pas</f>
        <v>8.5128405408162742</v>
      </c>
      <c r="T133" s="304">
        <f t="shared" ca="1" si="59"/>
        <v>83.510965705407656</v>
      </c>
      <c r="U133" s="311">
        <f t="shared" ca="1" si="60"/>
        <v>0</v>
      </c>
      <c r="V133" s="306">
        <f t="shared" ca="1" si="61"/>
        <v>1.2170567096147642</v>
      </c>
      <c r="W133" s="304">
        <f t="shared" ca="1" si="62"/>
        <v>36.502754993025832</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65.054102584610291</v>
      </c>
      <c r="AG133" s="306">
        <f t="shared" ref="AG133:AG196" ca="1" si="85">IF(AND(L132&lt;L_rampe,Poussee&lt;Poids*SIN(M132)),0,(-W132+Poussee)/m-Poids*SIN(M132)/m)</f>
        <v>67.465179058263601</v>
      </c>
      <c r="AH133" s="304">
        <f t="shared" ref="AH133:AH196" ca="1" si="86">IF(AND(L132&lt;L_rampe,Poussee&lt;Poids*SIN(M132)), g*SIN(M132), (-W132+Poussee)/m)</f>
        <v>77.223237952703329</v>
      </c>
    </row>
    <row r="134" spans="1:34" x14ac:dyDescent="0.2">
      <c r="A134" s="347">
        <f t="shared" ca="1" si="64"/>
        <v>0.01</v>
      </c>
      <c r="B134" s="304">
        <f t="shared" ca="1" si="65"/>
        <v>1.3000000000000009</v>
      </c>
      <c r="D134" s="306">
        <f t="shared" ca="1" si="66"/>
        <v>7.9218927722324732</v>
      </c>
      <c r="E134" s="307">
        <f t="shared" ca="1" si="67"/>
        <v>66.790368608291104</v>
      </c>
      <c r="F134" s="304">
        <f t="shared" ca="1" si="68"/>
        <v>67.258529005072262</v>
      </c>
      <c r="G134" s="306">
        <f t="shared" ca="1" si="69"/>
        <v>10.271800787319503</v>
      </c>
      <c r="H134" s="307">
        <f t="shared" ca="1" si="70"/>
        <v>99.224593351461834</v>
      </c>
      <c r="I134" s="304">
        <f t="shared" ca="1" si="71"/>
        <v>99.754848589817144</v>
      </c>
      <c r="J134" s="306">
        <f t="shared" ca="1" si="72"/>
        <v>6.457920403621114</v>
      </c>
      <c r="K134" s="307">
        <f t="shared" ca="1" si="73"/>
        <v>66.043008999694493</v>
      </c>
      <c r="L134" s="304">
        <f t="shared" ca="1" si="58"/>
        <v>66.357997058932042</v>
      </c>
      <c r="M134" s="306">
        <f t="shared" ca="1" si="74"/>
        <v>1.4676430472867243</v>
      </c>
      <c r="N134" s="304">
        <f t="shared" ca="1" si="75"/>
        <v>84.089752441248407</v>
      </c>
      <c r="P134" s="310">
        <f t="shared" ca="1" si="76"/>
        <v>4</v>
      </c>
      <c r="Q134" s="304">
        <f t="shared" ca="1" si="77"/>
        <v>691.79999999999984</v>
      </c>
      <c r="R134" s="306">
        <f t="shared" ca="1" si="78"/>
        <v>0.34718218784766575</v>
      </c>
      <c r="S134" s="307">
        <f t="shared" ca="1" si="79"/>
        <v>8.5093687189377967</v>
      </c>
      <c r="T134" s="304">
        <f t="shared" ca="1" si="59"/>
        <v>83.476907132779786</v>
      </c>
      <c r="U134" s="311">
        <f t="shared" ca="1" si="60"/>
        <v>0</v>
      </c>
      <c r="V134" s="306">
        <f t="shared" ca="1" si="61"/>
        <v>1.216936358754106</v>
      </c>
      <c r="W134" s="304">
        <f t="shared" ca="1" si="62"/>
        <v>36.996294401936545</v>
      </c>
      <c r="Y134" s="314" t="str">
        <f t="shared" ca="1" si="80"/>
        <v/>
      </c>
      <c r="Z134" s="315" t="str">
        <f t="shared" ca="1" si="81"/>
        <v/>
      </c>
      <c r="AA134" s="316" t="str">
        <f t="shared" ca="1" si="82"/>
        <v/>
      </c>
      <c r="AC134" s="310" t="e">
        <f t="shared" ca="1" si="83"/>
        <v>#N/A</v>
      </c>
      <c r="AD134" s="323" t="e">
        <f t="shared" ca="1" si="84"/>
        <v>#N/A</v>
      </c>
      <c r="AE134" s="324">
        <f t="shared" ca="1" si="63"/>
        <v>66.043008999694493</v>
      </c>
      <c r="AG134" s="306">
        <f t="shared" ca="1" si="85"/>
        <v>67.250957869571579</v>
      </c>
      <c r="AH134" s="304">
        <f t="shared" ca="1" si="86"/>
        <v>77.008914133500269</v>
      </c>
    </row>
    <row r="135" spans="1:34" x14ac:dyDescent="0.2">
      <c r="A135" s="347">
        <f t="shared" ca="1" si="64"/>
        <v>0.01</v>
      </c>
      <c r="B135" s="304">
        <f t="shared" ca="1" si="65"/>
        <v>1.3100000000000009</v>
      </c>
      <c r="D135" s="306">
        <f t="shared" ca="1" si="66"/>
        <v>7.907527117268832</v>
      </c>
      <c r="E135" s="307">
        <f t="shared" ca="1" si="67"/>
        <v>66.575940388881804</v>
      </c>
      <c r="F135" s="304">
        <f t="shared" ca="1" si="68"/>
        <v>67.043902211717096</v>
      </c>
      <c r="G135" s="306">
        <f t="shared" ca="1" si="69"/>
        <v>10.350876058492192</v>
      </c>
      <c r="H135" s="307">
        <f t="shared" ca="1" si="70"/>
        <v>99.890352755350648</v>
      </c>
      <c r="I135" s="304">
        <f t="shared" ca="1" si="71"/>
        <v>100.42521201753399</v>
      </c>
      <c r="J135" s="306">
        <f t="shared" ca="1" si="72"/>
        <v>6.5610337878501728</v>
      </c>
      <c r="K135" s="307">
        <f t="shared" ca="1" si="73"/>
        <v>67.038583730228552</v>
      </c>
      <c r="L135" s="304">
        <f t="shared" ca="1" si="58"/>
        <v>67.358881173310593</v>
      </c>
      <c r="M135" s="306">
        <f t="shared" ca="1" si="74"/>
        <v>1.4675424609886052</v>
      </c>
      <c r="N135" s="304">
        <f t="shared" ca="1" si="75"/>
        <v>84.083989270889333</v>
      </c>
      <c r="P135" s="310">
        <f t="shared" ca="1" si="76"/>
        <v>4</v>
      </c>
      <c r="Q135" s="304">
        <f t="shared" ca="1" si="77"/>
        <v>690.19999999999982</v>
      </c>
      <c r="R135" s="306">
        <f t="shared" ca="1" si="78"/>
        <v>0.34637922239441876</v>
      </c>
      <c r="S135" s="307">
        <f t="shared" ca="1" si="79"/>
        <v>8.5059049267138533</v>
      </c>
      <c r="T135" s="304">
        <f t="shared" ca="1" si="59"/>
        <v>83.442927331062904</v>
      </c>
      <c r="U135" s="311">
        <f t="shared" ca="1" si="60"/>
        <v>0</v>
      </c>
      <c r="V135" s="306">
        <f t="shared" ca="1" si="61"/>
        <v>1.2168152083351143</v>
      </c>
      <c r="W135" s="304">
        <f t="shared" ca="1" si="62"/>
        <v>37.491470607373827</v>
      </c>
      <c r="Y135" s="314" t="str">
        <f t="shared" ca="1" si="80"/>
        <v/>
      </c>
      <c r="Z135" s="315" t="str">
        <f t="shared" ca="1" si="81"/>
        <v/>
      </c>
      <c r="AA135" s="316" t="str">
        <f t="shared" ca="1" si="82"/>
        <v/>
      </c>
      <c r="AC135" s="310" t="e">
        <f t="shared" ca="1" si="83"/>
        <v>#N/A</v>
      </c>
      <c r="AD135" s="323" t="e">
        <f t="shared" ca="1" si="84"/>
        <v>#N/A</v>
      </c>
      <c r="AE135" s="324">
        <f t="shared" ca="1" si="63"/>
        <v>67.038583730228552</v>
      </c>
      <c r="AG135" s="306">
        <f t="shared" ca="1" si="85"/>
        <v>67.036291968563972</v>
      </c>
      <c r="AH135" s="304">
        <f t="shared" ca="1" si="86"/>
        <v>76.794146093332841</v>
      </c>
    </row>
    <row r="136" spans="1:34" x14ac:dyDescent="0.2">
      <c r="A136" s="347">
        <f t="shared" ca="1" si="64"/>
        <v>0.01</v>
      </c>
      <c r="B136" s="304">
        <f t="shared" ca="1" si="65"/>
        <v>1.320000000000001</v>
      </c>
      <c r="D136" s="306">
        <f t="shared" ca="1" si="66"/>
        <v>7.8930288763499865</v>
      </c>
      <c r="E136" s="307">
        <f t="shared" ca="1" si="67"/>
        <v>66.361082941323517</v>
      </c>
      <c r="F136" s="304">
        <f t="shared" ca="1" si="68"/>
        <v>66.828835348134817</v>
      </c>
      <c r="G136" s="306">
        <f t="shared" ca="1" si="69"/>
        <v>10.429806347255692</v>
      </c>
      <c r="H136" s="307">
        <f t="shared" ca="1" si="70"/>
        <v>100.55396358476388</v>
      </c>
      <c r="I136" s="304">
        <f t="shared" ca="1" si="71"/>
        <v>101.09342438085315</v>
      </c>
      <c r="J136" s="306">
        <f t="shared" ca="1" si="72"/>
        <v>6.6649371998789118</v>
      </c>
      <c r="K136" s="307">
        <f t="shared" ca="1" si="73"/>
        <v>68.04080531192912</v>
      </c>
      <c r="L136" s="304">
        <f t="shared" ca="1" si="58"/>
        <v>68.366457970076027</v>
      </c>
      <c r="M136" s="306">
        <f t="shared" ca="1" si="74"/>
        <v>1.4674424424622812</v>
      </c>
      <c r="N136" s="304">
        <f t="shared" ca="1" si="75"/>
        <v>84.078258631457857</v>
      </c>
      <c r="P136" s="310">
        <f t="shared" ca="1" si="76"/>
        <v>4</v>
      </c>
      <c r="Q136" s="304">
        <f t="shared" ca="1" si="77"/>
        <v>688.5999999999998</v>
      </c>
      <c r="R136" s="306">
        <f t="shared" ca="1" si="78"/>
        <v>0.34557625694117178</v>
      </c>
      <c r="S136" s="307">
        <f t="shared" ca="1" si="79"/>
        <v>8.5024491641444424</v>
      </c>
      <c r="T136" s="304">
        <f t="shared" ca="1" si="59"/>
        <v>83.409026300256983</v>
      </c>
      <c r="U136" s="311">
        <f t="shared" ca="1" si="60"/>
        <v>0</v>
      </c>
      <c r="V136" s="306">
        <f t="shared" ca="1" si="61"/>
        <v>1.2166932612091312</v>
      </c>
      <c r="W136" s="304">
        <f t="shared" ca="1" si="62"/>
        <v>37.988246785961245</v>
      </c>
      <c r="Y136" s="314" t="str">
        <f t="shared" ca="1" si="80"/>
        <v/>
      </c>
      <c r="Z136" s="315" t="str">
        <f t="shared" ca="1" si="81"/>
        <v/>
      </c>
      <c r="AA136" s="316" t="str">
        <f t="shared" ca="1" si="82"/>
        <v/>
      </c>
      <c r="AC136" s="310" t="e">
        <f t="shared" ca="1" si="83"/>
        <v>#N/A</v>
      </c>
      <c r="AD136" s="323" t="e">
        <f t="shared" ca="1" si="84"/>
        <v>#N/A</v>
      </c>
      <c r="AE136" s="324">
        <f t="shared" ca="1" si="63"/>
        <v>68.04080531192912</v>
      </c>
      <c r="AG136" s="306">
        <f t="shared" ca="1" si="85"/>
        <v>66.821185766473107</v>
      </c>
      <c r="AH136" s="304">
        <f t="shared" ca="1" si="86"/>
        <v>76.578938235632918</v>
      </c>
    </row>
    <row r="137" spans="1:34" x14ac:dyDescent="0.2">
      <c r="A137" s="347">
        <f t="shared" ca="1" si="64"/>
        <v>0.01</v>
      </c>
      <c r="B137" s="304">
        <f t="shared" ca="1" si="65"/>
        <v>1.330000000000001</v>
      </c>
      <c r="D137" s="306">
        <f t="shared" ca="1" si="66"/>
        <v>7.8783994450408246</v>
      </c>
      <c r="E137" s="307">
        <f t="shared" ca="1" si="67"/>
        <v>66.145800570669707</v>
      </c>
      <c r="F137" s="304">
        <f t="shared" ca="1" si="68"/>
        <v>66.613332831726922</v>
      </c>
      <c r="G137" s="306">
        <f t="shared" ca="1" si="69"/>
        <v>10.5085903417061</v>
      </c>
      <c r="H137" s="307">
        <f t="shared" ca="1" si="70"/>
        <v>101.21542159047057</v>
      </c>
      <c r="I137" s="304">
        <f t="shared" ca="1" si="71"/>
        <v>101.7594813209388</v>
      </c>
      <c r="J137" s="306">
        <f t="shared" ca="1" si="72"/>
        <v>6.7696291833237208</v>
      </c>
      <c r="K137" s="307">
        <f t="shared" ca="1" si="73"/>
        <v>69.04965223780529</v>
      </c>
      <c r="L137" s="304">
        <f t="shared" ca="1" si="58"/>
        <v>69.380705916281627</v>
      </c>
      <c r="M137" s="306">
        <f t="shared" ca="1" si="74"/>
        <v>1.4673429826900251</v>
      </c>
      <c r="N137" s="304">
        <f t="shared" ca="1" si="75"/>
        <v>84.072560006276248</v>
      </c>
      <c r="P137" s="310">
        <f t="shared" ca="1" si="76"/>
        <v>4</v>
      </c>
      <c r="Q137" s="304">
        <f t="shared" ca="1" si="77"/>
        <v>686.99999999999977</v>
      </c>
      <c r="R137" s="306">
        <f t="shared" ca="1" si="78"/>
        <v>0.34477329148792474</v>
      </c>
      <c r="S137" s="307">
        <f t="shared" ca="1" si="79"/>
        <v>8.4990014312295639</v>
      </c>
      <c r="T137" s="304">
        <f t="shared" ca="1" si="59"/>
        <v>83.375204040362021</v>
      </c>
      <c r="U137" s="311">
        <f t="shared" ca="1" si="60"/>
        <v>0</v>
      </c>
      <c r="V137" s="306">
        <f t="shared" ca="1" si="61"/>
        <v>1.2165705202331911</v>
      </c>
      <c r="W137" s="304">
        <f t="shared" ca="1" si="62"/>
        <v>38.486586175509935</v>
      </c>
      <c r="Y137" s="314" t="str">
        <f t="shared" ca="1" si="80"/>
        <v/>
      </c>
      <c r="Z137" s="315" t="str">
        <f t="shared" ca="1" si="81"/>
        <v/>
      </c>
      <c r="AA137" s="316" t="str">
        <f t="shared" ca="1" si="82"/>
        <v/>
      </c>
      <c r="AC137" s="310" t="e">
        <f t="shared" ca="1" si="83"/>
        <v>#N/A</v>
      </c>
      <c r="AD137" s="323" t="e">
        <f t="shared" ca="1" si="84"/>
        <v>#N/A</v>
      </c>
      <c r="AE137" s="324">
        <f t="shared" ca="1" si="63"/>
        <v>69.04965223780529</v>
      </c>
      <c r="AG137" s="306">
        <f t="shared" ca="1" si="85"/>
        <v>66.605643677073488</v>
      </c>
      <c r="AH137" s="304">
        <f t="shared" ca="1" si="86"/>
        <v>76.363294966541147</v>
      </c>
    </row>
    <row r="138" spans="1:34" x14ac:dyDescent="0.2">
      <c r="A138" s="347">
        <f t="shared" ca="1" si="64"/>
        <v>0.01</v>
      </c>
      <c r="B138" s="304">
        <f t="shared" ca="1" si="65"/>
        <v>1.340000000000001</v>
      </c>
      <c r="D138" s="306">
        <f t="shared" ca="1" si="66"/>
        <v>7.8636401989467952</v>
      </c>
      <c r="E138" s="307">
        <f t="shared" ca="1" si="67"/>
        <v>65.930097586005132</v>
      </c>
      <c r="F138" s="304">
        <f t="shared" ca="1" si="68"/>
        <v>66.397399082182815</v>
      </c>
      <c r="G138" s="306">
        <f t="shared" ca="1" si="69"/>
        <v>10.587226743695568</v>
      </c>
      <c r="H138" s="307">
        <f t="shared" ca="1" si="70"/>
        <v>101.87472256633062</v>
      </c>
      <c r="I138" s="304">
        <f t="shared" ca="1" si="71"/>
        <v>102.42337852311482</v>
      </c>
      <c r="J138" s="306">
        <f t="shared" ca="1" si="72"/>
        <v>6.8751082687507292</v>
      </c>
      <c r="K138" s="307">
        <f t="shared" ca="1" si="73"/>
        <v>70.065102958589293</v>
      </c>
      <c r="L138" s="304">
        <f t="shared" ca="1" si="58"/>
        <v>70.401603435609076</v>
      </c>
      <c r="M138" s="306">
        <f t="shared" ca="1" si="74"/>
        <v>1.4672440728525382</v>
      </c>
      <c r="N138" s="304">
        <f t="shared" ca="1" si="75"/>
        <v>84.06689289003593</v>
      </c>
      <c r="P138" s="310">
        <f t="shared" ca="1" si="76"/>
        <v>4</v>
      </c>
      <c r="Q138" s="304">
        <f t="shared" ca="1" si="77"/>
        <v>685.39999999999986</v>
      </c>
      <c r="R138" s="306">
        <f t="shared" ca="1" si="78"/>
        <v>0.34397032603467781</v>
      </c>
      <c r="S138" s="307">
        <f t="shared" ca="1" si="79"/>
        <v>8.4955617279692177</v>
      </c>
      <c r="T138" s="304">
        <f t="shared" ca="1" si="59"/>
        <v>83.341460551378034</v>
      </c>
      <c r="U138" s="311">
        <f t="shared" ca="1" si="60"/>
        <v>0</v>
      </c>
      <c r="V138" s="306">
        <f t="shared" ca="1" si="61"/>
        <v>1.2164469882699465</v>
      </c>
      <c r="W138" s="304">
        <f t="shared" ca="1" si="62"/>
        <v>38.986452077085517</v>
      </c>
      <c r="Y138" s="314" t="str">
        <f t="shared" ca="1" si="80"/>
        <v/>
      </c>
      <c r="Z138" s="315" t="str">
        <f t="shared" ca="1" si="81"/>
        <v/>
      </c>
      <c r="AA138" s="316" t="str">
        <f t="shared" ca="1" si="82"/>
        <v/>
      </c>
      <c r="AC138" s="310" t="e">
        <f t="shared" ca="1" si="83"/>
        <v>#N/A</v>
      </c>
      <c r="AD138" s="323" t="e">
        <f t="shared" ca="1" si="84"/>
        <v>#N/A</v>
      </c>
      <c r="AE138" s="324">
        <f t="shared" ca="1" si="63"/>
        <v>70.065102958589293</v>
      </c>
      <c r="AG138" s="306">
        <f t="shared" ca="1" si="85"/>
        <v>66.389670116405739</v>
      </c>
      <c r="AH138" s="304">
        <f t="shared" ca="1" si="86"/>
        <v>76.147220694625958</v>
      </c>
    </row>
    <row r="139" spans="1:34" x14ac:dyDescent="0.2">
      <c r="A139" s="347">
        <f t="shared" ca="1" si="64"/>
        <v>0.01</v>
      </c>
      <c r="B139" s="304">
        <f t="shared" ca="1" si="65"/>
        <v>1.350000000000001</v>
      </c>
      <c r="D139" s="306">
        <f t="shared" ca="1" si="66"/>
        <v>7.8487524943067282</v>
      </c>
      <c r="E139" s="307">
        <f t="shared" ca="1" si="67"/>
        <v>65.713978300118029</v>
      </c>
      <c r="F139" s="304">
        <f t="shared" ca="1" si="68"/>
        <v>66.181038521205366</v>
      </c>
      <c r="G139" s="306">
        <f t="shared" ca="1" si="69"/>
        <v>10.665714268638636</v>
      </c>
      <c r="H139" s="307">
        <f t="shared" ca="1" si="70"/>
        <v>102.5318623493318</v>
      </c>
      <c r="I139" s="304">
        <f t="shared" ca="1" si="71"/>
        <v>103.08511171688454</v>
      </c>
      <c r="J139" s="306">
        <f t="shared" ca="1" si="72"/>
        <v>6.9813729738124</v>
      </c>
      <c r="K139" s="307">
        <f t="shared" ca="1" si="73"/>
        <v>71.087135883167605</v>
      </c>
      <c r="L139" s="304">
        <f t="shared" ca="1" si="58"/>
        <v>71.429128908810114</v>
      </c>
      <c r="M139" s="306">
        <f t="shared" ca="1" si="74"/>
        <v>1.4671457043230447</v>
      </c>
      <c r="N139" s="304">
        <f t="shared" ca="1" si="75"/>
        <v>84.061256788459033</v>
      </c>
      <c r="P139" s="310">
        <f t="shared" ca="1" si="76"/>
        <v>4</v>
      </c>
      <c r="Q139" s="304">
        <f t="shared" ca="1" si="77"/>
        <v>683.79999999999984</v>
      </c>
      <c r="R139" s="306">
        <f t="shared" ca="1" si="78"/>
        <v>0.34316736058143082</v>
      </c>
      <c r="S139" s="307">
        <f t="shared" ca="1" si="79"/>
        <v>8.492130054363404</v>
      </c>
      <c r="T139" s="304">
        <f t="shared" ca="1" si="59"/>
        <v>83.307795833304993</v>
      </c>
      <c r="U139" s="311">
        <f t="shared" ca="1" si="60"/>
        <v>0</v>
      </c>
      <c r="V139" s="306">
        <f t="shared" ca="1" si="61"/>
        <v>1.2163226681875945</v>
      </c>
      <c r="W139" s="304">
        <f t="shared" ca="1" si="62"/>
        <v>39.487807857060986</v>
      </c>
      <c r="Y139" s="314" t="str">
        <f t="shared" ca="1" si="80"/>
        <v/>
      </c>
      <c r="Z139" s="315" t="str">
        <f t="shared" ca="1" si="81"/>
        <v/>
      </c>
      <c r="AA139" s="316" t="str">
        <f t="shared" ca="1" si="82"/>
        <v/>
      </c>
      <c r="AC139" s="310" t="e">
        <f t="shared" ca="1" si="83"/>
        <v>#N/A</v>
      </c>
      <c r="AD139" s="323" t="e">
        <f t="shared" ca="1" si="84"/>
        <v>#N/A</v>
      </c>
      <c r="AE139" s="324">
        <f t="shared" ca="1" si="63"/>
        <v>71.087135883167605</v>
      </c>
      <c r="AG139" s="306">
        <f t="shared" ca="1" si="85"/>
        <v>66.173269502501171</v>
      </c>
      <c r="AH139" s="304">
        <f t="shared" ca="1" si="86"/>
        <v>75.93071983060338</v>
      </c>
    </row>
    <row r="140" spans="1:34" x14ac:dyDescent="0.2">
      <c r="A140" s="347">
        <f t="shared" ca="1" si="64"/>
        <v>0.01</v>
      </c>
      <c r="B140" s="304">
        <f t="shared" ca="1" si="65"/>
        <v>1.360000000000001</v>
      </c>
      <c r="D140" s="306">
        <f t="shared" ca="1" si="66"/>
        <v>7.8337376685624696</v>
      </c>
      <c r="E140" s="307">
        <f t="shared" ca="1" si="67"/>
        <v>65.497447029175262</v>
      </c>
      <c r="F140" s="304">
        <f t="shared" ca="1" si="68"/>
        <v>65.964255572237562</v>
      </c>
      <c r="G140" s="306">
        <f t="shared" ca="1" si="69"/>
        <v>10.74405164532426</v>
      </c>
      <c r="H140" s="307">
        <f t="shared" ca="1" si="70"/>
        <v>103.18683681962355</v>
      </c>
      <c r="I140" s="304">
        <f t="shared" ca="1" si="71"/>
        <v>103.74467667594811</v>
      </c>
      <c r="J140" s="306">
        <f t="shared" ca="1" si="72"/>
        <v>7.0884218033822144</v>
      </c>
      <c r="K140" s="307">
        <f t="shared" ca="1" si="73"/>
        <v>72.115729379012379</v>
      </c>
      <c r="L140" s="304">
        <f t="shared" ca="1" si="58"/>
        <v>72.463260674148614</v>
      </c>
      <c r="M140" s="306">
        <f t="shared" ca="1" si="74"/>
        <v>1.4670478686616051</v>
      </c>
      <c r="N140" s="304">
        <f t="shared" ca="1" si="75"/>
        <v>84.055651217972681</v>
      </c>
      <c r="P140" s="310">
        <f t="shared" ca="1" si="76"/>
        <v>4</v>
      </c>
      <c r="Q140" s="304">
        <f t="shared" ca="1" si="77"/>
        <v>682.19999999999982</v>
      </c>
      <c r="R140" s="306">
        <f t="shared" ca="1" si="78"/>
        <v>0.34236439512818384</v>
      </c>
      <c r="S140" s="307">
        <f t="shared" ca="1" si="79"/>
        <v>8.4887064104121226</v>
      </c>
      <c r="T140" s="304">
        <f t="shared" ca="1" si="59"/>
        <v>83.274209886142927</v>
      </c>
      <c r="U140" s="311">
        <f t="shared" ca="1" si="60"/>
        <v>0</v>
      </c>
      <c r="V140" s="306">
        <f t="shared" ca="1" si="61"/>
        <v>1.216197562859805</v>
      </c>
      <c r="W140" s="304">
        <f t="shared" ca="1" si="62"/>
        <v>39.990616949155672</v>
      </c>
      <c r="Y140" s="314" t="str">
        <f t="shared" ca="1" si="80"/>
        <v/>
      </c>
      <c r="Z140" s="315" t="str">
        <f t="shared" ca="1" si="81"/>
        <v/>
      </c>
      <c r="AA140" s="316" t="str">
        <f t="shared" ca="1" si="82"/>
        <v/>
      </c>
      <c r="AC140" s="310" t="e">
        <f t="shared" ca="1" si="83"/>
        <v>#N/A</v>
      </c>
      <c r="AD140" s="323" t="e">
        <f t="shared" ca="1" si="84"/>
        <v>#N/A</v>
      </c>
      <c r="AE140" s="324">
        <f t="shared" ca="1" si="63"/>
        <v>72.115729379012379</v>
      </c>
      <c r="AG140" s="306">
        <f t="shared" ca="1" si="85"/>
        <v>65.956446255107124</v>
      </c>
      <c r="AH140" s="304">
        <f t="shared" ca="1" si="86"/>
        <v>75.713796787057859</v>
      </c>
    </row>
    <row r="141" spans="1:34" x14ac:dyDescent="0.2">
      <c r="A141" s="347">
        <f t="shared" ca="1" si="64"/>
        <v>0.01</v>
      </c>
      <c r="B141" s="304">
        <f t="shared" ca="1" si="65"/>
        <v>1.370000000000001</v>
      </c>
      <c r="D141" s="306">
        <f t="shared" ca="1" si="66"/>
        <v>7.8185970409062397</v>
      </c>
      <c r="E141" s="307">
        <f t="shared" ca="1" si="67"/>
        <v>65.280508092399941</v>
      </c>
      <c r="F141" s="304">
        <f t="shared" ca="1" si="68"/>
        <v>65.747054660189619</v>
      </c>
      <c r="G141" s="306">
        <f t="shared" ca="1" si="69"/>
        <v>10.822237615733323</v>
      </c>
      <c r="H141" s="307">
        <f t="shared" ca="1" si="70"/>
        <v>103.83964190054755</v>
      </c>
      <c r="I141" s="304">
        <f t="shared" ca="1" si="71"/>
        <v>104.40206921821685</v>
      </c>
      <c r="J141" s="306">
        <f t="shared" ca="1" si="72"/>
        <v>7.1962532496875022</v>
      </c>
      <c r="K141" s="307">
        <f t="shared" ca="1" si="73"/>
        <v>73.15086177261324</v>
      </c>
      <c r="L141" s="304">
        <f t="shared" ca="1" si="58"/>
        <v>73.503977027842566</v>
      </c>
      <c r="M141" s="306">
        <f t="shared" ca="1" si="74"/>
        <v>1.4669505576096384</v>
      </c>
      <c r="N141" s="304">
        <f t="shared" ca="1" si="75"/>
        <v>84.050075705395017</v>
      </c>
      <c r="P141" s="310">
        <f t="shared" ca="1" si="76"/>
        <v>4</v>
      </c>
      <c r="Q141" s="304">
        <f t="shared" ca="1" si="77"/>
        <v>680.5999999999998</v>
      </c>
      <c r="R141" s="306">
        <f t="shared" ca="1" si="78"/>
        <v>0.34156142967493686</v>
      </c>
      <c r="S141" s="307">
        <f t="shared" ca="1" si="79"/>
        <v>8.4852907961153736</v>
      </c>
      <c r="T141" s="304">
        <f t="shared" ca="1" si="59"/>
        <v>83.240702709891821</v>
      </c>
      <c r="U141" s="311">
        <f t="shared" ca="1" si="60"/>
        <v>0</v>
      </c>
      <c r="V141" s="306">
        <f t="shared" ca="1" si="61"/>
        <v>1.2160716751656457</v>
      </c>
      <c r="W141" s="304">
        <f t="shared" ca="1" si="62"/>
        <v>40.494842856459634</v>
      </c>
      <c r="Y141" s="314" t="str">
        <f t="shared" ca="1" si="80"/>
        <v/>
      </c>
      <c r="Z141" s="315" t="str">
        <f t="shared" ca="1" si="81"/>
        <v/>
      </c>
      <c r="AA141" s="316" t="str">
        <f t="shared" ca="1" si="82"/>
        <v/>
      </c>
      <c r="AC141" s="310" t="e">
        <f t="shared" ca="1" si="83"/>
        <v>#N/A</v>
      </c>
      <c r="AD141" s="323" t="e">
        <f t="shared" ca="1" si="84"/>
        <v>#N/A</v>
      </c>
      <c r="AE141" s="324">
        <f t="shared" ca="1" si="63"/>
        <v>73.15086177261324</v>
      </c>
      <c r="AG141" s="306">
        <f t="shared" ca="1" si="85"/>
        <v>65.739204795413045</v>
      </c>
      <c r="AH141" s="304">
        <f t="shared" ca="1" si="86"/>
        <v>75.496455978163965</v>
      </c>
    </row>
    <row r="142" spans="1:34" x14ac:dyDescent="0.2">
      <c r="A142" s="347">
        <f t="shared" ca="1" si="64"/>
        <v>0.01</v>
      </c>
      <c r="B142" s="304">
        <f t="shared" ca="1" si="65"/>
        <v>1.380000000000001</v>
      </c>
      <c r="D142" s="306">
        <f t="shared" ca="1" si="66"/>
        <v>7.8033319128068532</v>
      </c>
      <c r="E142" s="307">
        <f t="shared" ca="1" si="67"/>
        <v>65.06316581175183</v>
      </c>
      <c r="F142" s="304">
        <f t="shared" ca="1" si="68"/>
        <v>65.529440211167241</v>
      </c>
      <c r="G142" s="306">
        <f t="shared" ca="1" si="69"/>
        <v>10.900270934861393</v>
      </c>
      <c r="H142" s="307">
        <f t="shared" ca="1" si="70"/>
        <v>104.49027355866507</v>
      </c>
      <c r="I142" s="304">
        <f t="shared" ca="1" si="71"/>
        <v>105.05728520582494</v>
      </c>
      <c r="J142" s="306">
        <f t="shared" ca="1" si="72"/>
        <v>7.3048657924404754</v>
      </c>
      <c r="K142" s="307">
        <f t="shared" ca="1" si="73"/>
        <v>74.192511349909296</v>
      </c>
      <c r="L142" s="304">
        <f t="shared" ca="1" si="58"/>
        <v>74.551256224506275</v>
      </c>
      <c r="M142" s="306">
        <f t="shared" ca="1" si="74"/>
        <v>1.4668537630846448</v>
      </c>
      <c r="N142" s="304">
        <f t="shared" ca="1" si="75"/>
        <v>84.044529787632897</v>
      </c>
      <c r="P142" s="310">
        <f t="shared" ca="1" si="76"/>
        <v>4</v>
      </c>
      <c r="Q142" s="304">
        <f t="shared" ca="1" si="77"/>
        <v>678.99999999999977</v>
      </c>
      <c r="R142" s="306">
        <f t="shared" ca="1" si="78"/>
        <v>0.34075846422168982</v>
      </c>
      <c r="S142" s="307">
        <f t="shared" ca="1" si="79"/>
        <v>8.481883211473157</v>
      </c>
      <c r="T142" s="304">
        <f t="shared" ca="1" si="59"/>
        <v>83.207274304551675</v>
      </c>
      <c r="U142" s="311">
        <f t="shared" ca="1" si="60"/>
        <v>0</v>
      </c>
      <c r="V142" s="306">
        <f t="shared" ca="1" si="61"/>
        <v>1.2159450079895118</v>
      </c>
      <c r="W142" s="304">
        <f t="shared" ca="1" si="62"/>
        <v>41.000449153443824</v>
      </c>
      <c r="Y142" s="314" t="str">
        <f t="shared" ca="1" si="80"/>
        <v/>
      </c>
      <c r="Z142" s="315" t="str">
        <f t="shared" ca="1" si="81"/>
        <v/>
      </c>
      <c r="AA142" s="316" t="str">
        <f t="shared" ca="1" si="82"/>
        <v/>
      </c>
      <c r="AC142" s="310" t="e">
        <f t="shared" ca="1" si="83"/>
        <v>#N/A</v>
      </c>
      <c r="AD142" s="323" t="e">
        <f t="shared" ca="1" si="84"/>
        <v>#N/A</v>
      </c>
      <c r="AE142" s="324">
        <f t="shared" ca="1" si="63"/>
        <v>74.192511349909296</v>
      </c>
      <c r="AG142" s="306">
        <f t="shared" ca="1" si="85"/>
        <v>65.521549545777503</v>
      </c>
      <c r="AH142" s="304">
        <f t="shared" ca="1" si="86"/>
        <v>75.278701819409136</v>
      </c>
    </row>
    <row r="143" spans="1:34" x14ac:dyDescent="0.2">
      <c r="A143" s="347">
        <f t="shared" ca="1" si="64"/>
        <v>0.01</v>
      </c>
      <c r="B143" s="304">
        <f t="shared" ca="1" si="65"/>
        <v>1.390000000000001</v>
      </c>
      <c r="D143" s="306">
        <f t="shared" ca="1" si="66"/>
        <v>7.7879435685156295</v>
      </c>
      <c r="E143" s="307">
        <f t="shared" ca="1" si="67"/>
        <v>64.845424511610275</v>
      </c>
      <c r="F143" s="304">
        <f t="shared" ca="1" si="68"/>
        <v>65.311416652200478</v>
      </c>
      <c r="G143" s="306">
        <f t="shared" ca="1" si="69"/>
        <v>10.978150370546549</v>
      </c>
      <c r="H143" s="307">
        <f t="shared" ca="1" si="70"/>
        <v>105.13872780378117</v>
      </c>
      <c r="I143" s="304">
        <f t="shared" ca="1" si="71"/>
        <v>105.71032054513844</v>
      </c>
      <c r="J143" s="306">
        <f t="shared" ca="1" si="72"/>
        <v>7.4142578989675147</v>
      </c>
      <c r="K143" s="307">
        <f t="shared" ca="1" si="73"/>
        <v>75.24065635672153</v>
      </c>
      <c r="L143" s="304">
        <f t="shared" ca="1" si="58"/>
        <v>75.605076477592831</v>
      </c>
      <c r="M143" s="306">
        <f t="shared" ca="1" si="74"/>
        <v>1.4667574771751184</v>
      </c>
      <c r="N143" s="304">
        <f t="shared" ca="1" si="75"/>
        <v>84.039013011390466</v>
      </c>
      <c r="P143" s="310">
        <f t="shared" ca="1" si="76"/>
        <v>4</v>
      </c>
      <c r="Q143" s="304">
        <f t="shared" ca="1" si="77"/>
        <v>677.39999999999986</v>
      </c>
      <c r="R143" s="306">
        <f t="shared" ca="1" si="78"/>
        <v>0.33995549876844289</v>
      </c>
      <c r="S143" s="307">
        <f t="shared" ca="1" si="79"/>
        <v>8.4784836564854729</v>
      </c>
      <c r="T143" s="304">
        <f t="shared" ca="1" si="59"/>
        <v>83.173924670122489</v>
      </c>
      <c r="U143" s="311">
        <f t="shared" ca="1" si="60"/>
        <v>0</v>
      </c>
      <c r="V143" s="306">
        <f t="shared" ca="1" si="61"/>
        <v>1.21581756422105</v>
      </c>
      <c r="W143" s="304">
        <f t="shared" ca="1" si="62"/>
        <v>41.507399487955496</v>
      </c>
      <c r="Y143" s="314" t="str">
        <f t="shared" ca="1" si="80"/>
        <v/>
      </c>
      <c r="Z143" s="315" t="str">
        <f t="shared" ca="1" si="81"/>
        <v/>
      </c>
      <c r="AA143" s="316" t="str">
        <f t="shared" ca="1" si="82"/>
        <v/>
      </c>
      <c r="AC143" s="310" t="e">
        <f t="shared" ca="1" si="83"/>
        <v>#N/A</v>
      </c>
      <c r="AD143" s="323" t="e">
        <f t="shared" ca="1" si="84"/>
        <v>#N/A</v>
      </c>
      <c r="AE143" s="324">
        <f t="shared" ca="1" si="63"/>
        <v>75.24065635672153</v>
      </c>
      <c r="AG143" s="306">
        <f t="shared" ca="1" si="85"/>
        <v>65.303484929456047</v>
      </c>
      <c r="AH143" s="304">
        <f t="shared" ca="1" si="86"/>
        <v>75.060538727317464</v>
      </c>
    </row>
    <row r="144" spans="1:34" x14ac:dyDescent="0.2">
      <c r="A144" s="347">
        <f t="shared" ca="1" si="64"/>
        <v>0.01</v>
      </c>
      <c r="B144" s="304">
        <f t="shared" ca="1" si="65"/>
        <v>1.400000000000001</v>
      </c>
      <c r="D144" s="306">
        <f t="shared" ca="1" si="66"/>
        <v>7.7724332755529186</v>
      </c>
      <c r="E144" s="307">
        <f t="shared" ca="1" si="67"/>
        <v>64.627288518459721</v>
      </c>
      <c r="F144" s="304">
        <f t="shared" ca="1" si="68"/>
        <v>65.092988410973717</v>
      </c>
      <c r="G144" s="306">
        <f t="shared" ca="1" si="69"/>
        <v>11.055874703302079</v>
      </c>
      <c r="H144" s="307">
        <f t="shared" ca="1" si="70"/>
        <v>105.78500068896577</v>
      </c>
      <c r="I144" s="304">
        <f t="shared" ca="1" si="71"/>
        <v>106.36117118676158</v>
      </c>
      <c r="J144" s="306">
        <f t="shared" ca="1" si="72"/>
        <v>7.5244280243367578</v>
      </c>
      <c r="K144" s="307">
        <f t="shared" ca="1" si="73"/>
        <v>76.295274999185267</v>
      </c>
      <c r="L144" s="304">
        <f t="shared" ca="1" si="58"/>
        <v>76.665415959836338</v>
      </c>
      <c r="M144" s="306">
        <f t="shared" ca="1" si="74"/>
        <v>1.4666616921356441</v>
      </c>
      <c r="N144" s="304">
        <f t="shared" ca="1" si="75"/>
        <v>84.033524932888085</v>
      </c>
      <c r="P144" s="310">
        <f t="shared" ca="1" si="76"/>
        <v>4</v>
      </c>
      <c r="Q144" s="304">
        <f t="shared" ca="1" si="77"/>
        <v>675.79999999999984</v>
      </c>
      <c r="R144" s="306">
        <f t="shared" ca="1" si="78"/>
        <v>0.3391525333151959</v>
      </c>
      <c r="S144" s="307">
        <f t="shared" ca="1" si="79"/>
        <v>8.4750921311523211</v>
      </c>
      <c r="T144" s="304">
        <f t="shared" ca="1" si="59"/>
        <v>83.140653806604277</v>
      </c>
      <c r="U144" s="311">
        <f t="shared" ca="1" si="60"/>
        <v>0</v>
      </c>
      <c r="V144" s="306">
        <f t="shared" ca="1" si="61"/>
        <v>1.2156893467550871</v>
      </c>
      <c r="W144" s="304">
        <f t="shared" ca="1" si="62"/>
        <v>42.015657583198902</v>
      </c>
      <c r="Y144" s="314" t="str">
        <f t="shared" ca="1" si="80"/>
        <v/>
      </c>
      <c r="Z144" s="315" t="str">
        <f t="shared" ca="1" si="81"/>
        <v/>
      </c>
      <c r="AA144" s="316" t="str">
        <f t="shared" ca="1" si="82"/>
        <v/>
      </c>
      <c r="AC144" s="310" t="e">
        <f t="shared" ca="1" si="83"/>
        <v>#N/A</v>
      </c>
      <c r="AD144" s="323" t="e">
        <f t="shared" ca="1" si="84"/>
        <v>#N/A</v>
      </c>
      <c r="AE144" s="324">
        <f t="shared" ca="1" si="63"/>
        <v>76.295274999185267</v>
      </c>
      <c r="AG144" s="306">
        <f t="shared" ca="1" si="85"/>
        <v>65.085015370329828</v>
      </c>
      <c r="AH144" s="304">
        <f t="shared" ca="1" si="86"/>
        <v>74.841971119174417</v>
      </c>
    </row>
    <row r="145" spans="1:34" x14ac:dyDescent="0.2">
      <c r="A145" s="347">
        <f t="shared" ca="1" si="64"/>
        <v>0.01</v>
      </c>
      <c r="B145" s="304">
        <f t="shared" ca="1" si="65"/>
        <v>1.410000000000001</v>
      </c>
      <c r="D145" s="306">
        <f t="shared" ca="1" si="66"/>
        <v>7.7568022851760992</v>
      </c>
      <c r="E145" s="307">
        <f t="shared" ca="1" si="67"/>
        <v>64.408762160577666</v>
      </c>
      <c r="F145" s="304">
        <f t="shared" ca="1" si="68"/>
        <v>64.874159915556319</v>
      </c>
      <c r="G145" s="306">
        <f t="shared" ca="1" si="69"/>
        <v>11.13344272615384</v>
      </c>
      <c r="H145" s="307">
        <f t="shared" ca="1" si="70"/>
        <v>106.42908831057154</v>
      </c>
      <c r="I145" s="304">
        <f t="shared" ca="1" si="71"/>
        <v>107.00983312554031</v>
      </c>
      <c r="J145" s="306">
        <f t="shared" ca="1" si="72"/>
        <v>7.6353746114840373</v>
      </c>
      <c r="K145" s="307">
        <f t="shared" ca="1" si="73"/>
        <v>77.356345444182949</v>
      </c>
      <c r="L145" s="304">
        <f t="shared" ca="1" si="58"/>
        <v>77.732252803694422</v>
      </c>
      <c r="M145" s="306">
        <f t="shared" ca="1" si="74"/>
        <v>1.4665664003821686</v>
      </c>
      <c r="N145" s="304">
        <f t="shared" ca="1" si="75"/>
        <v>84.028065117591538</v>
      </c>
      <c r="P145" s="310">
        <f t="shared" ca="1" si="76"/>
        <v>4</v>
      </c>
      <c r="Q145" s="304">
        <f t="shared" ca="1" si="77"/>
        <v>674.19999999999982</v>
      </c>
      <c r="R145" s="306">
        <f t="shared" ca="1" si="78"/>
        <v>0.33834956786194892</v>
      </c>
      <c r="S145" s="307">
        <f t="shared" ca="1" si="79"/>
        <v>8.4717086354737017</v>
      </c>
      <c r="T145" s="304">
        <f t="shared" ca="1" si="59"/>
        <v>83.107461713997012</v>
      </c>
      <c r="U145" s="311">
        <f t="shared" ca="1" si="60"/>
        <v>0</v>
      </c>
      <c r="V145" s="306">
        <f t="shared" ca="1" si="61"/>
        <v>1.2155603584915575</v>
      </c>
      <c r="W145" s="304">
        <f t="shared" ca="1" si="62"/>
        <v>42.525187239701175</v>
      </c>
      <c r="Y145" s="314" t="str">
        <f t="shared" ca="1" si="80"/>
        <v/>
      </c>
      <c r="Z145" s="315" t="str">
        <f t="shared" ca="1" si="81"/>
        <v/>
      </c>
      <c r="AA145" s="316" t="str">
        <f t="shared" ca="1" si="82"/>
        <v/>
      </c>
      <c r="AC145" s="310" t="e">
        <f t="shared" ca="1" si="83"/>
        <v>#N/A</v>
      </c>
      <c r="AD145" s="323" t="e">
        <f t="shared" ca="1" si="84"/>
        <v>#N/A</v>
      </c>
      <c r="AE145" s="324">
        <f t="shared" ca="1" si="63"/>
        <v>77.356345444182949</v>
      </c>
      <c r="AG145" s="306">
        <f t="shared" ca="1" si="85"/>
        <v>64.866145292635323</v>
      </c>
      <c r="AH145" s="304">
        <f t="shared" ca="1" si="86"/>
        <v>74.623003412752752</v>
      </c>
    </row>
    <row r="146" spans="1:34" x14ac:dyDescent="0.2">
      <c r="A146" s="347">
        <f t="shared" ca="1" si="64"/>
        <v>0.01</v>
      </c>
      <c r="B146" s="304">
        <f t="shared" ca="1" si="65"/>
        <v>1.420000000000001</v>
      </c>
      <c r="D146" s="306">
        <f t="shared" ca="1" si="66"/>
        <v>7.7410518328298199</v>
      </c>
      <c r="E146" s="307">
        <f t="shared" ca="1" si="67"/>
        <v>64.189849767725192</v>
      </c>
      <c r="F146" s="304">
        <f t="shared" ca="1" si="68"/>
        <v>64.654935594134557</v>
      </c>
      <c r="G146" s="306">
        <f t="shared" ca="1" si="69"/>
        <v>11.210853244482138</v>
      </c>
      <c r="H146" s="307">
        <f t="shared" ca="1" si="70"/>
        <v>107.07098680824879</v>
      </c>
      <c r="I146" s="304">
        <f t="shared" ca="1" si="71"/>
        <v>107.65630240056316</v>
      </c>
      <c r="J146" s="306">
        <f t="shared" ca="1" si="72"/>
        <v>7.7470960913372169</v>
      </c>
      <c r="K146" s="307">
        <f t="shared" ca="1" si="73"/>
        <v>78.423845819777057</v>
      </c>
      <c r="L146" s="304">
        <f t="shared" ca="1" si="58"/>
        <v>78.805565101790719</v>
      </c>
      <c r="M146" s="306">
        <f t="shared" ca="1" si="74"/>
        <v>1.4664715944874385</v>
      </c>
      <c r="N146" s="304">
        <f t="shared" ca="1" si="75"/>
        <v>84.022633139950543</v>
      </c>
      <c r="P146" s="310">
        <f t="shared" ca="1" si="76"/>
        <v>4</v>
      </c>
      <c r="Q146" s="304">
        <f t="shared" ca="1" si="77"/>
        <v>672.5999999999998</v>
      </c>
      <c r="R146" s="306">
        <f t="shared" ca="1" si="78"/>
        <v>0.33754660240870188</v>
      </c>
      <c r="S146" s="307">
        <f t="shared" ca="1" si="79"/>
        <v>8.4683331694496147</v>
      </c>
      <c r="T146" s="304">
        <f t="shared" ca="1" si="59"/>
        <v>83.07434839230072</v>
      </c>
      <c r="U146" s="311">
        <f t="shared" ca="1" si="60"/>
        <v>0</v>
      </c>
      <c r="V146" s="306">
        <f t="shared" ca="1" si="61"/>
        <v>1.2154306023354293</v>
      </c>
      <c r="W146" s="304">
        <f t="shared" ca="1" si="62"/>
        <v>43.035952337262941</v>
      </c>
      <c r="Y146" s="314" t="str">
        <f t="shared" ca="1" si="80"/>
        <v/>
      </c>
      <c r="Z146" s="315" t="str">
        <f t="shared" ca="1" si="81"/>
        <v/>
      </c>
      <c r="AA146" s="316" t="str">
        <f t="shared" ca="1" si="82"/>
        <v/>
      </c>
      <c r="AC146" s="310" t="e">
        <f t="shared" ca="1" si="83"/>
        <v>#N/A</v>
      </c>
      <c r="AD146" s="323" t="e">
        <f t="shared" ca="1" si="84"/>
        <v>#N/A</v>
      </c>
      <c r="AE146" s="324">
        <f t="shared" ca="1" si="63"/>
        <v>78.423845819777057</v>
      </c>
      <c r="AG146" s="306">
        <f t="shared" ca="1" si="85"/>
        <v>64.646879120694962</v>
      </c>
      <c r="AH146" s="304">
        <f t="shared" ca="1" si="86"/>
        <v>74.403640026039426</v>
      </c>
    </row>
    <row r="147" spans="1:34" x14ac:dyDescent="0.2">
      <c r="A147" s="347">
        <f t="shared" ca="1" si="64"/>
        <v>0.01</v>
      </c>
      <c r="B147" s="304">
        <f t="shared" ca="1" si="65"/>
        <v>1.430000000000001</v>
      </c>
      <c r="D147" s="306">
        <f t="shared" ca="1" si="66"/>
        <v>7.7251831385793066</v>
      </c>
      <c r="E147" s="307">
        <f t="shared" ca="1" si="67"/>
        <v>63.970555670839872</v>
      </c>
      <c r="F147" s="304">
        <f t="shared" ca="1" si="68"/>
        <v>64.435319874744266</v>
      </c>
      <c r="G147" s="306">
        <f t="shared" ca="1" si="69"/>
        <v>11.28810507586793</v>
      </c>
      <c r="H147" s="307">
        <f t="shared" ca="1" si="70"/>
        <v>107.71069236495718</v>
      </c>
      <c r="I147" s="304">
        <f t="shared" ca="1" si="71"/>
        <v>108.3005750951595</v>
      </c>
      <c r="J147" s="306">
        <f t="shared" ca="1" si="72"/>
        <v>7.8595908829389671</v>
      </c>
      <c r="K147" s="307">
        <f t="shared" ca="1" si="73"/>
        <v>79.497754215643084</v>
      </c>
      <c r="L147" s="304">
        <f t="shared" ca="1" si="58"/>
        <v>79.8853309073573</v>
      </c>
      <c r="M147" s="306">
        <f t="shared" ca="1" si="74"/>
        <v>1.4663772671766013</v>
      </c>
      <c r="N147" s="304">
        <f t="shared" ca="1" si="75"/>
        <v>84.01722858314676</v>
      </c>
      <c r="P147" s="310">
        <f t="shared" ca="1" si="76"/>
        <v>4</v>
      </c>
      <c r="Q147" s="304">
        <f t="shared" ca="1" si="77"/>
        <v>670.99999999999977</v>
      </c>
      <c r="R147" s="306">
        <f t="shared" ca="1" si="78"/>
        <v>0.33674363695545489</v>
      </c>
      <c r="S147" s="307">
        <f t="shared" ca="1" si="79"/>
        <v>8.4649657330800601</v>
      </c>
      <c r="T147" s="304">
        <f t="shared" ca="1" si="59"/>
        <v>83.04131384151539</v>
      </c>
      <c r="U147" s="311">
        <f t="shared" ca="1" si="60"/>
        <v>0</v>
      </c>
      <c r="V147" s="306">
        <f t="shared" ca="1" si="61"/>
        <v>1.2153000811966308</v>
      </c>
      <c r="W147" s="304">
        <f t="shared" ca="1" si="62"/>
        <v>43.547916836893869</v>
      </c>
      <c r="Y147" s="314" t="str">
        <f t="shared" ca="1" si="80"/>
        <v/>
      </c>
      <c r="Z147" s="315" t="str">
        <f t="shared" ca="1" si="81"/>
        <v/>
      </c>
      <c r="AA147" s="316" t="str">
        <f t="shared" ca="1" si="82"/>
        <v/>
      </c>
      <c r="AC147" s="310" t="e">
        <f t="shared" ca="1" si="83"/>
        <v>#N/A</v>
      </c>
      <c r="AD147" s="323" t="e">
        <f t="shared" ca="1" si="84"/>
        <v>#N/A</v>
      </c>
      <c r="AE147" s="324">
        <f t="shared" ca="1" si="63"/>
        <v>79.497754215643084</v>
      </c>
      <c r="AG147" s="306">
        <f t="shared" ca="1" si="85"/>
        <v>64.427221278648688</v>
      </c>
      <c r="AH147" s="304">
        <f t="shared" ca="1" si="86"/>
        <v>74.183885376963715</v>
      </c>
    </row>
    <row r="148" spans="1:34" x14ac:dyDescent="0.2">
      <c r="A148" s="347">
        <f t="shared" ca="1" si="64"/>
        <v>0.01</v>
      </c>
      <c r="B148" s="304">
        <f t="shared" ca="1" si="65"/>
        <v>1.4400000000000011</v>
      </c>
      <c r="D148" s="306">
        <f t="shared" ca="1" si="66"/>
        <v>7.7091974075272605</v>
      </c>
      <c r="E148" s="307">
        <f t="shared" ca="1" si="67"/>
        <v>63.750884201731139</v>
      </c>
      <c r="F148" s="304">
        <f t="shared" ca="1" si="68"/>
        <v>64.215317185004679</v>
      </c>
      <c r="G148" s="306">
        <f t="shared" ca="1" si="69"/>
        <v>11.365197049943204</v>
      </c>
      <c r="H148" s="307">
        <f t="shared" ca="1" si="70"/>
        <v>108.34820120697449</v>
      </c>
      <c r="I148" s="304">
        <f t="shared" ca="1" si="71"/>
        <v>108.94264733689496</v>
      </c>
      <c r="J148" s="306">
        <f t="shared" ca="1" si="72"/>
        <v>7.9728573935680229</v>
      </c>
      <c r="K148" s="307">
        <f t="shared" ca="1" si="73"/>
        <v>80.578048683502743</v>
      </c>
      <c r="L148" s="304">
        <f t="shared" ca="1" si="58"/>
        <v>80.971528234677095</v>
      </c>
      <c r="M148" s="306">
        <f t="shared" ca="1" si="74"/>
        <v>1.4662834113229566</v>
      </c>
      <c r="N148" s="304">
        <f t="shared" ca="1" si="75"/>
        <v>84.011851038850324</v>
      </c>
      <c r="P148" s="310">
        <f t="shared" ca="1" si="76"/>
        <v>4</v>
      </c>
      <c r="Q148" s="304">
        <f t="shared" ca="1" si="77"/>
        <v>669.39999999999986</v>
      </c>
      <c r="R148" s="306">
        <f t="shared" ca="1" si="78"/>
        <v>0.33594067150220797</v>
      </c>
      <c r="S148" s="307">
        <f t="shared" ca="1" si="79"/>
        <v>8.4616063263650378</v>
      </c>
      <c r="T148" s="304">
        <f t="shared" ca="1" si="59"/>
        <v>83.008358061641019</v>
      </c>
      <c r="U148" s="311">
        <f t="shared" ca="1" si="60"/>
        <v>0</v>
      </c>
      <c r="V148" s="306">
        <f t="shared" ca="1" si="61"/>
        <v>1.2151687979899801</v>
      </c>
      <c r="W148" s="304">
        <f t="shared" ca="1" si="62"/>
        <v>44.061044782732857</v>
      </c>
      <c r="Y148" s="314" t="str">
        <f t="shared" ca="1" si="80"/>
        <v/>
      </c>
      <c r="Z148" s="315" t="str">
        <f t="shared" ca="1" si="81"/>
        <v/>
      </c>
      <c r="AA148" s="316" t="str">
        <f t="shared" ca="1" si="82"/>
        <v/>
      </c>
      <c r="AC148" s="310" t="e">
        <f t="shared" ca="1" si="83"/>
        <v>#N/A</v>
      </c>
      <c r="AD148" s="323" t="e">
        <f t="shared" ca="1" si="84"/>
        <v>#N/A</v>
      </c>
      <c r="AE148" s="324">
        <f t="shared" ca="1" si="63"/>
        <v>80.578048683502743</v>
      </c>
      <c r="AG148" s="306">
        <f t="shared" ca="1" si="85"/>
        <v>64.207176190186672</v>
      </c>
      <c r="AH148" s="304">
        <f t="shared" ca="1" si="86"/>
        <v>73.96374388312644</v>
      </c>
    </row>
    <row r="149" spans="1:34" x14ac:dyDescent="0.2">
      <c r="A149" s="347">
        <f t="shared" ca="1" si="64"/>
        <v>0.01</v>
      </c>
      <c r="B149" s="304">
        <f t="shared" ca="1" si="65"/>
        <v>1.4500000000000011</v>
      </c>
      <c r="D149" s="306">
        <f t="shared" ca="1" si="66"/>
        <v>7.6930958302154187</v>
      </c>
      <c r="E149" s="307">
        <f t="shared" ca="1" si="67"/>
        <v>63.530839692777946</v>
      </c>
      <c r="F149" s="304">
        <f t="shared" ca="1" si="68"/>
        <v>63.994931951853246</v>
      </c>
      <c r="G149" s="306">
        <f t="shared" ca="1" si="69"/>
        <v>11.442128008245358</v>
      </c>
      <c r="H149" s="307">
        <f t="shared" ca="1" si="70"/>
        <v>108.98350960390228</v>
      </c>
      <c r="I149" s="304">
        <f t="shared" ca="1" si="71"/>
        <v>109.58251529756438</v>
      </c>
      <c r="J149" s="306">
        <f t="shared" ca="1" si="72"/>
        <v>8.0868940188589651</v>
      </c>
      <c r="K149" s="307">
        <f t="shared" ca="1" si="73"/>
        <v>81.664707237557124</v>
      </c>
      <c r="L149" s="304">
        <f t="shared" ca="1" si="58"/>
        <v>82.064135059526294</v>
      </c>
      <c r="M149" s="306">
        <f t="shared" ca="1" si="74"/>
        <v>1.4661900199438569</v>
      </c>
      <c r="N149" s="304">
        <f t="shared" ca="1" si="75"/>
        <v>84.006500106985001</v>
      </c>
      <c r="P149" s="310">
        <f t="shared" ca="1" si="76"/>
        <v>4</v>
      </c>
      <c r="Q149" s="304">
        <f t="shared" ca="1" si="77"/>
        <v>667.79999999999984</v>
      </c>
      <c r="R149" s="306">
        <f t="shared" ca="1" si="78"/>
        <v>0.33513770604896098</v>
      </c>
      <c r="S149" s="307">
        <f t="shared" ca="1" si="79"/>
        <v>8.458254949304548</v>
      </c>
      <c r="T149" s="304">
        <f t="shared" ca="1" si="59"/>
        <v>82.975481052677623</v>
      </c>
      <c r="U149" s="311">
        <f t="shared" ca="1" si="60"/>
        <v>0</v>
      </c>
      <c r="V149" s="306">
        <f t="shared" ca="1" si="61"/>
        <v>1.2150367556351092</v>
      </c>
      <c r="W149" s="304">
        <f t="shared" ca="1" si="62"/>
        <v>44.575300303952659</v>
      </c>
      <c r="Y149" s="314" t="str">
        <f t="shared" ca="1" si="80"/>
        <v/>
      </c>
      <c r="Z149" s="315" t="str">
        <f t="shared" ca="1" si="81"/>
        <v/>
      </c>
      <c r="AA149" s="316" t="str">
        <f t="shared" ca="1" si="82"/>
        <v/>
      </c>
      <c r="AC149" s="310" t="e">
        <f t="shared" ca="1" si="83"/>
        <v>#N/A</v>
      </c>
      <c r="AD149" s="323" t="e">
        <f t="shared" ca="1" si="84"/>
        <v>#N/A</v>
      </c>
      <c r="AE149" s="324">
        <f t="shared" ca="1" si="63"/>
        <v>81.664707237557124</v>
      </c>
      <c r="AG149" s="306">
        <f t="shared" ca="1" si="85"/>
        <v>63.98674827828286</v>
      </c>
      <c r="AH149" s="304">
        <f t="shared" ca="1" si="86"/>
        <v>73.74321996153023</v>
      </c>
    </row>
    <row r="150" spans="1:34" x14ac:dyDescent="0.2">
      <c r="A150" s="347">
        <f t="shared" ca="1" si="64"/>
        <v>0.01</v>
      </c>
      <c r="B150" s="304">
        <f t="shared" ca="1" si="65"/>
        <v>1.4600000000000011</v>
      </c>
      <c r="D150" s="306">
        <f t="shared" ca="1" si="66"/>
        <v>7.6768795830110115</v>
      </c>
      <c r="E150" s="307">
        <f t="shared" ca="1" si="67"/>
        <v>63.310426476628933</v>
      </c>
      <c r="F150" s="304">
        <f t="shared" ca="1" si="68"/>
        <v>63.77416860128158</v>
      </c>
      <c r="G150" s="306">
        <f t="shared" ca="1" si="69"/>
        <v>11.518896804075469</v>
      </c>
      <c r="H150" s="307">
        <f t="shared" ca="1" si="70"/>
        <v>109.61661386866857</v>
      </c>
      <c r="I150" s="304">
        <f t="shared" ca="1" si="71"/>
        <v>110.22017519318194</v>
      </c>
      <c r="J150" s="306">
        <f t="shared" ca="1" si="72"/>
        <v>8.2016991429205692</v>
      </c>
      <c r="K150" s="307">
        <f t="shared" ca="1" si="73"/>
        <v>82.757707854919971</v>
      </c>
      <c r="L150" s="304">
        <f t="shared" ca="1" si="58"/>
        <v>83.163129319616559</v>
      </c>
      <c r="M150" s="306">
        <f t="shared" ca="1" si="74"/>
        <v>1.4660970861967497</v>
      </c>
      <c r="N150" s="304">
        <f t="shared" ca="1" si="75"/>
        <v>84.00117539550142</v>
      </c>
      <c r="P150" s="310">
        <f t="shared" ca="1" si="76"/>
        <v>4</v>
      </c>
      <c r="Q150" s="304">
        <f t="shared" ca="1" si="77"/>
        <v>666.19999999999982</v>
      </c>
      <c r="R150" s="306">
        <f t="shared" ca="1" si="78"/>
        <v>0.33433474059571394</v>
      </c>
      <c r="S150" s="307">
        <f t="shared" ca="1" si="79"/>
        <v>8.4549116018985906</v>
      </c>
      <c r="T150" s="304">
        <f t="shared" ca="1" si="59"/>
        <v>82.942682814625172</v>
      </c>
      <c r="U150" s="311">
        <f t="shared" ca="1" si="60"/>
        <v>0</v>
      </c>
      <c r="V150" s="306">
        <f t="shared" ca="1" si="61"/>
        <v>1.2149039570563935</v>
      </c>
      <c r="W150" s="304">
        <f t="shared" ca="1" si="62"/>
        <v>45.090647616648987</v>
      </c>
      <c r="Y150" s="314" t="str">
        <f t="shared" ca="1" si="80"/>
        <v/>
      </c>
      <c r="Z150" s="315" t="str">
        <f t="shared" ca="1" si="81"/>
        <v/>
      </c>
      <c r="AA150" s="316" t="str">
        <f t="shared" ca="1" si="82"/>
        <v/>
      </c>
      <c r="AC150" s="310" t="e">
        <f t="shared" ca="1" si="83"/>
        <v>#N/A</v>
      </c>
      <c r="AD150" s="323" t="e">
        <f t="shared" ca="1" si="84"/>
        <v>#N/A</v>
      </c>
      <c r="AE150" s="324">
        <f t="shared" ca="1" si="63"/>
        <v>82.757707854919971</v>
      </c>
      <c r="AG150" s="306">
        <f t="shared" ca="1" si="85"/>
        <v>63.765941964929922</v>
      </c>
      <c r="AH150" s="304">
        <f t="shared" ca="1" si="86"/>
        <v>73.522318028311304</v>
      </c>
    </row>
    <row r="151" spans="1:34" x14ac:dyDescent="0.2">
      <c r="A151" s="347">
        <f t="shared" ca="1" si="64"/>
        <v>0.01</v>
      </c>
      <c r="B151" s="304">
        <f t="shared" ca="1" si="65"/>
        <v>1.4700000000000011</v>
      </c>
      <c r="D151" s="306">
        <f t="shared" ca="1" si="66"/>
        <v>7.6605498284789615</v>
      </c>
      <c r="E151" s="307">
        <f t="shared" ca="1" si="67"/>
        <v>63.089648885904879</v>
      </c>
      <c r="F151" s="304">
        <f t="shared" ca="1" si="68"/>
        <v>63.553031558072568</v>
      </c>
      <c r="G151" s="306">
        <f t="shared" ca="1" si="69"/>
        <v>11.595502302360259</v>
      </c>
      <c r="H151" s="307">
        <f t="shared" ca="1" si="70"/>
        <v>110.24751035752762</v>
      </c>
      <c r="I151" s="304">
        <f t="shared" ca="1" si="71"/>
        <v>110.85562328396878</v>
      </c>
      <c r="J151" s="306">
        <f t="shared" ca="1" si="72"/>
        <v>8.3172711384527478</v>
      </c>
      <c r="K151" s="307">
        <f t="shared" ca="1" si="73"/>
        <v>83.857028476050957</v>
      </c>
      <c r="L151" s="304">
        <f t="shared" ca="1" si="58"/>
        <v>84.268488915037281</v>
      </c>
      <c r="M151" s="306">
        <f t="shared" ca="1" si="74"/>
        <v>1.4660046033753529</v>
      </c>
      <c r="N151" s="304">
        <f t="shared" ca="1" si="75"/>
        <v>83.995876520157921</v>
      </c>
      <c r="P151" s="310">
        <f t="shared" ca="1" si="76"/>
        <v>4</v>
      </c>
      <c r="Q151" s="304">
        <f t="shared" ca="1" si="77"/>
        <v>664.5999999999998</v>
      </c>
      <c r="R151" s="306">
        <f t="shared" ca="1" si="78"/>
        <v>0.33353177514246696</v>
      </c>
      <c r="S151" s="307">
        <f t="shared" ca="1" si="79"/>
        <v>8.4515762841471656</v>
      </c>
      <c r="T151" s="304">
        <f t="shared" ca="1" si="59"/>
        <v>82.909963347483696</v>
      </c>
      <c r="U151" s="311">
        <f t="shared" ca="1" si="60"/>
        <v>0</v>
      </c>
      <c r="V151" s="306">
        <f t="shared" ca="1" si="61"/>
        <v>1.2147704051828778</v>
      </c>
      <c r="W151" s="304">
        <f t="shared" ca="1" si="62"/>
        <v>45.607051025713716</v>
      </c>
      <c r="Y151" s="314" t="str">
        <f t="shared" ca="1" si="80"/>
        <v/>
      </c>
      <c r="Z151" s="315" t="str">
        <f t="shared" ca="1" si="81"/>
        <v/>
      </c>
      <c r="AA151" s="316" t="str">
        <f t="shared" ca="1" si="82"/>
        <v/>
      </c>
      <c r="AC151" s="310" t="e">
        <f t="shared" ca="1" si="83"/>
        <v>#N/A</v>
      </c>
      <c r="AD151" s="323" t="e">
        <f t="shared" ca="1" si="84"/>
        <v>#N/A</v>
      </c>
      <c r="AE151" s="324">
        <f t="shared" ca="1" si="63"/>
        <v>83.857028476050957</v>
      </c>
      <c r="AG151" s="306">
        <f t="shared" ca="1" si="85"/>
        <v>63.544761670875019</v>
      </c>
      <c r="AH151" s="304">
        <f t="shared" ca="1" si="86"/>
        <v>73.301042498472157</v>
      </c>
    </row>
    <row r="152" spans="1:34" x14ac:dyDescent="0.2">
      <c r="A152" s="347">
        <f t="shared" ca="1" si="64"/>
        <v>0.01</v>
      </c>
      <c r="B152" s="304">
        <f t="shared" ca="1" si="65"/>
        <v>1.4800000000000011</v>
      </c>
      <c r="D152" s="306">
        <f t="shared" ca="1" si="66"/>
        <v>7.6441077157404997</v>
      </c>
      <c r="E152" s="307">
        <f t="shared" ca="1" si="67"/>
        <v>62.868511252903374</v>
      </c>
      <c r="F152" s="304">
        <f t="shared" ca="1" si="68"/>
        <v>63.331525245538515</v>
      </c>
      <c r="G152" s="306">
        <f t="shared" ca="1" si="69"/>
        <v>11.671943379517664</v>
      </c>
      <c r="H152" s="307">
        <f t="shared" ca="1" si="70"/>
        <v>110.87619547005664</v>
      </c>
      <c r="I152" s="304">
        <f t="shared" ca="1" si="71"/>
        <v>111.48885587433784</v>
      </c>
      <c r="J152" s="306">
        <f t="shared" ca="1" si="72"/>
        <v>8.4336083668621367</v>
      </c>
      <c r="K152" s="307">
        <f t="shared" ca="1" si="73"/>
        <v>84.962647005188884</v>
      </c>
      <c r="L152" s="304">
        <f t="shared" ca="1" si="58"/>
        <v>85.38019170869751</v>
      </c>
      <c r="M152" s="306">
        <f t="shared" ca="1" si="74"/>
        <v>1.4659125649059623</v>
      </c>
      <c r="N152" s="304">
        <f t="shared" ca="1" si="75"/>
        <v>83.990603104309002</v>
      </c>
      <c r="P152" s="310">
        <f t="shared" ca="1" si="76"/>
        <v>4</v>
      </c>
      <c r="Q152" s="304">
        <f t="shared" ca="1" si="77"/>
        <v>662.99999999999977</v>
      </c>
      <c r="R152" s="306">
        <f t="shared" ca="1" si="78"/>
        <v>0.33272880968921997</v>
      </c>
      <c r="S152" s="307">
        <f t="shared" ca="1" si="79"/>
        <v>8.4482489960502729</v>
      </c>
      <c r="T152" s="304">
        <f t="shared" ca="1" si="59"/>
        <v>82.877322651253181</v>
      </c>
      <c r="U152" s="311">
        <f t="shared" ca="1" si="60"/>
        <v>0</v>
      </c>
      <c r="V152" s="306">
        <f t="shared" ca="1" si="61"/>
        <v>1.2146361029482051</v>
      </c>
      <c r="W152" s="304">
        <f t="shared" ca="1" si="62"/>
        <v>46.124474926692372</v>
      </c>
      <c r="Y152" s="314" t="str">
        <f t="shared" ca="1" si="80"/>
        <v/>
      </c>
      <c r="Z152" s="315" t="str">
        <f t="shared" ca="1" si="81"/>
        <v/>
      </c>
      <c r="AA152" s="316" t="str">
        <f t="shared" ca="1" si="82"/>
        <v/>
      </c>
      <c r="AC152" s="310" t="e">
        <f t="shared" ca="1" si="83"/>
        <v>#N/A</v>
      </c>
      <c r="AD152" s="323" t="e">
        <f t="shared" ca="1" si="84"/>
        <v>#N/A</v>
      </c>
      <c r="AE152" s="324">
        <f t="shared" ca="1" si="63"/>
        <v>84.962647005188884</v>
      </c>
      <c r="AG152" s="306">
        <f t="shared" ca="1" si="85"/>
        <v>63.323211815356899</v>
      </c>
      <c r="AH152" s="304">
        <f t="shared" ca="1" si="86"/>
        <v>73.079397785615654</v>
      </c>
    </row>
    <row r="153" spans="1:34" x14ac:dyDescent="0.2">
      <c r="A153" s="347">
        <f t="shared" ca="1" si="64"/>
        <v>0.01</v>
      </c>
      <c r="B153" s="304">
        <f t="shared" ca="1" si="65"/>
        <v>1.4900000000000011</v>
      </c>
      <c r="D153" s="306">
        <f t="shared" ca="1" si="66"/>
        <v>7.6275543808184789</v>
      </c>
      <c r="E153" s="307">
        <f t="shared" ca="1" si="67"/>
        <v>62.647017909305987</v>
      </c>
      <c r="F153" s="304">
        <f t="shared" ca="1" si="68"/>
        <v>63.109654085260587</v>
      </c>
      <c r="G153" s="306">
        <f t="shared" ca="1" si="69"/>
        <v>11.748218923325849</v>
      </c>
      <c r="H153" s="307">
        <f t="shared" ca="1" si="70"/>
        <v>111.50266564914971</v>
      </c>
      <c r="I153" s="304">
        <f t="shared" ca="1" si="71"/>
        <v>112.1198693128763</v>
      </c>
      <c r="J153" s="306">
        <f t="shared" ca="1" si="72"/>
        <v>8.5507091783763549</v>
      </c>
      <c r="K153" s="307">
        <f t="shared" ca="1" si="73"/>
        <v>86.074541310784923</v>
      </c>
      <c r="L153" s="304">
        <f t="shared" ca="1" si="58"/>
        <v>86.498215526767893</v>
      </c>
      <c r="M153" s="306">
        <f t="shared" ca="1" si="74"/>
        <v>1.465820964343882</v>
      </c>
      <c r="N153" s="304">
        <f t="shared" ca="1" si="75"/>
        <v>83.985354778700767</v>
      </c>
      <c r="P153" s="310">
        <f t="shared" ca="1" si="76"/>
        <v>4</v>
      </c>
      <c r="Q153" s="304">
        <f t="shared" ca="1" si="77"/>
        <v>661.39999999999986</v>
      </c>
      <c r="R153" s="306">
        <f t="shared" ca="1" si="78"/>
        <v>0.33192584423597304</v>
      </c>
      <c r="S153" s="307">
        <f t="shared" ca="1" si="79"/>
        <v>8.4449297376079127</v>
      </c>
      <c r="T153" s="304">
        <f t="shared" ca="1" si="59"/>
        <v>82.844760725933625</v>
      </c>
      <c r="U153" s="311">
        <f t="shared" ca="1" si="60"/>
        <v>0</v>
      </c>
      <c r="V153" s="306">
        <f t="shared" ca="1" si="61"/>
        <v>1.2145010532905423</v>
      </c>
      <c r="W153" s="304">
        <f t="shared" ca="1" si="62"/>
        <v>46.642883807625452</v>
      </c>
      <c r="Y153" s="314" t="str">
        <f t="shared" ca="1" si="80"/>
        <v/>
      </c>
      <c r="Z153" s="315" t="str">
        <f t="shared" ca="1" si="81"/>
        <v/>
      </c>
      <c r="AA153" s="316" t="str">
        <f t="shared" ca="1" si="82"/>
        <v/>
      </c>
      <c r="AC153" s="310" t="e">
        <f t="shared" ca="1" si="83"/>
        <v>#N/A</v>
      </c>
      <c r="AD153" s="323" t="e">
        <f t="shared" ca="1" si="84"/>
        <v>#N/A</v>
      </c>
      <c r="AE153" s="324">
        <f t="shared" ca="1" si="63"/>
        <v>86.074541310784923</v>
      </c>
      <c r="AG153" s="306">
        <f t="shared" ca="1" si="85"/>
        <v>63.101296815844094</v>
      </c>
      <c r="AH153" s="304">
        <f t="shared" ca="1" si="86"/>
        <v>72.857388301680373</v>
      </c>
    </row>
    <row r="154" spans="1:34" x14ac:dyDescent="0.2">
      <c r="A154" s="347">
        <f t="shared" ca="1" si="64"/>
        <v>0.01</v>
      </c>
      <c r="B154" s="304">
        <f t="shared" ca="1" si="65"/>
        <v>1.5000000000000011</v>
      </c>
      <c r="D154" s="306">
        <f t="shared" ca="1" si="66"/>
        <v>7.6108909469702448</v>
      </c>
      <c r="E154" s="307">
        <f t="shared" ca="1" si="67"/>
        <v>62.425173185887488</v>
      </c>
      <c r="F154" s="304">
        <f t="shared" ca="1" si="68"/>
        <v>62.887422496829359</v>
      </c>
      <c r="G154" s="306">
        <f t="shared" ca="1" si="69"/>
        <v>11.824327832795552</v>
      </c>
      <c r="H154" s="307">
        <f t="shared" ca="1" si="70"/>
        <v>112.12691738100858</v>
      </c>
      <c r="I154" s="304">
        <f t="shared" ca="1" si="71"/>
        <v>112.74865999232517</v>
      </c>
      <c r="J154" s="306">
        <f t="shared" ca="1" si="72"/>
        <v>8.6685719121569615</v>
      </c>
      <c r="K154" s="307">
        <f t="shared" ca="1" si="73"/>
        <v>87.192689225935709</v>
      </c>
      <c r="L154" s="304">
        <f t="shared" ca="1" si="58"/>
        <v>87.622538159122286</v>
      </c>
      <c r="M154" s="306">
        <f t="shared" ca="1" si="74"/>
        <v>1.4657297953699755</v>
      </c>
      <c r="N154" s="304">
        <f t="shared" ca="1" si="75"/>
        <v>83.980131181273393</v>
      </c>
      <c r="P154" s="310">
        <f t="shared" ca="1" si="76"/>
        <v>4</v>
      </c>
      <c r="Q154" s="304">
        <f t="shared" ca="1" si="77"/>
        <v>659.79999999999984</v>
      </c>
      <c r="R154" s="306">
        <f t="shared" ca="1" si="78"/>
        <v>0.331122878782726</v>
      </c>
      <c r="S154" s="307">
        <f t="shared" ca="1" si="79"/>
        <v>8.4416185088200848</v>
      </c>
      <c r="T154" s="304">
        <f t="shared" ca="1" si="59"/>
        <v>82.81227757152503</v>
      </c>
      <c r="U154" s="311">
        <f t="shared" ca="1" si="60"/>
        <v>0</v>
      </c>
      <c r="V154" s="306">
        <f t="shared" ca="1" si="61"/>
        <v>1.2143652591525087</v>
      </c>
      <c r="W154" s="304">
        <f t="shared" ca="1" si="62"/>
        <v>47.162242250873668</v>
      </c>
      <c r="Y154" s="314" t="str">
        <f t="shared" ca="1" si="80"/>
        <v/>
      </c>
      <c r="Z154" s="315" t="str">
        <f t="shared" ca="1" si="81"/>
        <v/>
      </c>
      <c r="AA154" s="316" t="str">
        <f t="shared" ca="1" si="82"/>
        <v/>
      </c>
      <c r="AC154" s="310" t="e">
        <f t="shared" ca="1" si="83"/>
        <v>#N/A</v>
      </c>
      <c r="AD154" s="323" t="e">
        <f t="shared" ca="1" si="84"/>
        <v>#N/A</v>
      </c>
      <c r="AE154" s="324">
        <f t="shared" ca="1" si="63"/>
        <v>87.192689225935709</v>
      </c>
      <c r="AG154" s="306">
        <f t="shared" ca="1" si="85"/>
        <v>62.879021087774255</v>
      </c>
      <c r="AH154" s="304">
        <f t="shared" ca="1" si="86"/>
        <v>72.635018456677159</v>
      </c>
    </row>
    <row r="155" spans="1:34" x14ac:dyDescent="0.2">
      <c r="A155" s="347">
        <f t="shared" ca="1" si="64"/>
        <v>0.01</v>
      </c>
      <c r="B155" s="304">
        <f t="shared" ca="1" si="65"/>
        <v>1.5100000000000011</v>
      </c>
      <c r="D155" s="306">
        <f t="shared" ca="1" si="66"/>
        <v>7.594988817380929</v>
      </c>
      <c r="E155" s="307">
        <f t="shared" ca="1" si="67"/>
        <v>62.211234160489013</v>
      </c>
      <c r="F155" s="304">
        <f t="shared" ca="1" si="68"/>
        <v>62.673132288942895</v>
      </c>
      <c r="G155" s="306">
        <f t="shared" ca="1" si="69"/>
        <v>11.900277720969362</v>
      </c>
      <c r="H155" s="307">
        <f t="shared" ca="1" si="70"/>
        <v>112.74902972261347</v>
      </c>
      <c r="I155" s="304">
        <f t="shared" ca="1" si="71"/>
        <v>113.37530733465279</v>
      </c>
      <c r="J155" s="306">
        <f t="shared" ca="1" si="72"/>
        <v>8.7871949399257865</v>
      </c>
      <c r="K155" s="307">
        <f t="shared" ca="1" si="73"/>
        <v>88.317068961453813</v>
      </c>
      <c r="L155" s="304">
        <f t="shared" ca="1" si="58"/>
        <v>88.753137774697549</v>
      </c>
      <c r="M155" s="306">
        <f t="shared" ca="1" si="74"/>
        <v>1.4656390518537501</v>
      </c>
      <c r="N155" s="304">
        <f t="shared" ca="1" si="75"/>
        <v>83.974931960775493</v>
      </c>
      <c r="P155" s="310">
        <f t="shared" ca="1" si="76"/>
        <v>5</v>
      </c>
      <c r="Q155" s="304">
        <f t="shared" ca="1" si="77"/>
        <v>658.26999999999987</v>
      </c>
      <c r="R155" s="306">
        <f t="shared" ca="1" si="78"/>
        <v>0.33035504306805863</v>
      </c>
      <c r="S155" s="307">
        <f t="shared" ca="1" si="79"/>
        <v>8.4383149583894035</v>
      </c>
      <c r="T155" s="304">
        <f t="shared" ca="1" si="59"/>
        <v>82.779869741800056</v>
      </c>
      <c r="U155" s="311">
        <f t="shared" ca="1" si="60"/>
        <v>0</v>
      </c>
      <c r="V155" s="306">
        <f t="shared" ca="1" si="61"/>
        <v>1.2142287234309994</v>
      </c>
      <c r="W155" s="304">
        <f t="shared" ca="1" si="62"/>
        <v>47.68258473550339</v>
      </c>
      <c r="Y155" s="314" t="str">
        <f t="shared" ca="1" si="80"/>
        <v/>
      </c>
      <c r="Z155" s="315" t="str">
        <f t="shared" ca="1" si="81"/>
        <v/>
      </c>
      <c r="AA155" s="316" t="str">
        <f t="shared" ca="1" si="82"/>
        <v/>
      </c>
      <c r="AC155" s="310" t="e">
        <f t="shared" ca="1" si="83"/>
        <v>#N/A</v>
      </c>
      <c r="AD155" s="323" t="e">
        <f t="shared" ca="1" si="84"/>
        <v>#N/A</v>
      </c>
      <c r="AE155" s="324">
        <f t="shared" ca="1" si="63"/>
        <v>88.317068961453813</v>
      </c>
      <c r="AG155" s="306">
        <f t="shared" ca="1" si="85"/>
        <v>62.664687553961166</v>
      </c>
      <c r="AH155" s="304">
        <f t="shared" ca="1" si="86"/>
        <v>72.420591168093424</v>
      </c>
    </row>
    <row r="156" spans="1:34" x14ac:dyDescent="0.2">
      <c r="A156" s="347">
        <f t="shared" ca="1" si="64"/>
        <v>0.01</v>
      </c>
      <c r="B156" s="304">
        <f t="shared" ca="1" si="65"/>
        <v>1.5200000000000011</v>
      </c>
      <c r="D156" s="306">
        <f t="shared" ca="1" si="66"/>
        <v>7.5798517978148299</v>
      </c>
      <c r="E156" s="307">
        <f t="shared" ca="1" si="67"/>
        <v>62.005209332376424</v>
      </c>
      <c r="F156" s="304">
        <f t="shared" ca="1" si="68"/>
        <v>62.466792279007386</v>
      </c>
      <c r="G156" s="306">
        <f t="shared" ca="1" si="69"/>
        <v>11.97607623894751</v>
      </c>
      <c r="H156" s="307">
        <f t="shared" ca="1" si="70"/>
        <v>113.36908181593724</v>
      </c>
      <c r="I156" s="304">
        <f t="shared" ca="1" si="71"/>
        <v>113.99989085025369</v>
      </c>
      <c r="J156" s="306">
        <f t="shared" ca="1" si="72"/>
        <v>8.9065767097253712</v>
      </c>
      <c r="K156" s="307">
        <f t="shared" ca="1" si="73"/>
        <v>89.447659519146569</v>
      </c>
      <c r="L156" s="304">
        <f t="shared" ca="1" si="58"/>
        <v>89.88999333707504</v>
      </c>
      <c r="M156" s="306">
        <f t="shared" ca="1" si="74"/>
        <v>1.4655487278475481</v>
      </c>
      <c r="N156" s="304">
        <f t="shared" ca="1" si="75"/>
        <v>83.96975677643141</v>
      </c>
      <c r="P156" s="310">
        <f t="shared" ca="1" si="76"/>
        <v>5</v>
      </c>
      <c r="Q156" s="304">
        <f t="shared" ca="1" si="77"/>
        <v>656.80999999999983</v>
      </c>
      <c r="R156" s="306">
        <f t="shared" ca="1" si="78"/>
        <v>0.3296223370919707</v>
      </c>
      <c r="S156" s="307">
        <f t="shared" ca="1" si="79"/>
        <v>8.4350187350184846</v>
      </c>
      <c r="T156" s="304">
        <f t="shared" ca="1" si="59"/>
        <v>82.747533790531335</v>
      </c>
      <c r="U156" s="311">
        <f t="shared" ca="1" si="60"/>
        <v>0</v>
      </c>
      <c r="V156" s="306">
        <f t="shared" ca="1" si="61"/>
        <v>1.2140914489270156</v>
      </c>
      <c r="W156" s="304">
        <f t="shared" ca="1" si="62"/>
        <v>48.203947378039068</v>
      </c>
      <c r="Y156" s="314" t="str">
        <f t="shared" ca="1" si="80"/>
        <v/>
      </c>
      <c r="Z156" s="315" t="str">
        <f t="shared" ca="1" si="81"/>
        <v/>
      </c>
      <c r="AA156" s="316" t="str">
        <f t="shared" ca="1" si="82"/>
        <v/>
      </c>
      <c r="AC156" s="310" t="e">
        <f t="shared" ca="1" si="83"/>
        <v>#N/A</v>
      </c>
      <c r="AD156" s="323" t="e">
        <f t="shared" ca="1" si="84"/>
        <v>#N/A</v>
      </c>
      <c r="AE156" s="324">
        <f t="shared" ca="1" si="63"/>
        <v>89.447659519146569</v>
      </c>
      <c r="AG156" s="306">
        <f t="shared" ca="1" si="85"/>
        <v>62.458305057104894</v>
      </c>
      <c r="AH156" s="304">
        <f t="shared" ca="1" si="86"/>
        <v>72.214115273469105</v>
      </c>
    </row>
    <row r="157" spans="1:34" x14ac:dyDescent="0.2">
      <c r="A157" s="347">
        <f t="shared" ca="1" si="64"/>
        <v>0.01</v>
      </c>
      <c r="B157" s="304">
        <f t="shared" ca="1" si="65"/>
        <v>1.5300000000000011</v>
      </c>
      <c r="D157" s="306">
        <f t="shared" ca="1" si="66"/>
        <v>7.564611165977368</v>
      </c>
      <c r="E157" s="307">
        <f t="shared" ca="1" si="67"/>
        <v>61.798847929044939</v>
      </c>
      <c r="F157" s="304">
        <f t="shared" ca="1" si="68"/>
        <v>62.260107191119189</v>
      </c>
      <c r="G157" s="306">
        <f t="shared" ca="1" si="69"/>
        <v>12.051722350607283</v>
      </c>
      <c r="H157" s="307">
        <f t="shared" ca="1" si="70"/>
        <v>113.98707029522768</v>
      </c>
      <c r="I157" s="304">
        <f t="shared" ca="1" si="71"/>
        <v>114.6224070856362</v>
      </c>
      <c r="J157" s="306">
        <f t="shared" ca="1" si="72"/>
        <v>9.0267157026731457</v>
      </c>
      <c r="K157" s="307">
        <f t="shared" ca="1" si="73"/>
        <v>90.584440279702392</v>
      </c>
      <c r="L157" s="304">
        <f t="shared" ca="1" si="58"/>
        <v>91.033084190111097</v>
      </c>
      <c r="M157" s="306">
        <f t="shared" ca="1" si="74"/>
        <v>1.4654588175158187</v>
      </c>
      <c r="N157" s="304">
        <f t="shared" ca="1" si="75"/>
        <v>83.964605293888695</v>
      </c>
      <c r="P157" s="310">
        <f t="shared" ca="1" si="76"/>
        <v>5</v>
      </c>
      <c r="Q157" s="304">
        <f t="shared" ca="1" si="77"/>
        <v>655.3499999999998</v>
      </c>
      <c r="R157" s="306">
        <f t="shared" ca="1" si="78"/>
        <v>0.32888963111588282</v>
      </c>
      <c r="S157" s="307">
        <f t="shared" ca="1" si="79"/>
        <v>8.4317298387073265</v>
      </c>
      <c r="T157" s="304">
        <f t="shared" ca="1" si="59"/>
        <v>82.715269717718883</v>
      </c>
      <c r="U157" s="311">
        <f t="shared" ca="1" si="60"/>
        <v>0</v>
      </c>
      <c r="V157" s="306">
        <f t="shared" ca="1" si="61"/>
        <v>1.2139534383957336</v>
      </c>
      <c r="W157" s="304">
        <f t="shared" ca="1" si="62"/>
        <v>48.726297311228137</v>
      </c>
      <c r="Y157" s="314" t="str">
        <f t="shared" ca="1" si="80"/>
        <v/>
      </c>
      <c r="Z157" s="315" t="str">
        <f t="shared" ca="1" si="81"/>
        <v/>
      </c>
      <c r="AA157" s="316" t="str">
        <f t="shared" ca="1" si="82"/>
        <v/>
      </c>
      <c r="AC157" s="310" t="e">
        <f t="shared" ca="1" si="83"/>
        <v>#N/A</v>
      </c>
      <c r="AD157" s="323" t="e">
        <f t="shared" ca="1" si="84"/>
        <v>#N/A</v>
      </c>
      <c r="AE157" s="324">
        <f t="shared" ca="1" si="63"/>
        <v>90.584440279702392</v>
      </c>
      <c r="AG157" s="306">
        <f t="shared" ca="1" si="85"/>
        <v>62.251577208632952</v>
      </c>
      <c r="AH157" s="304">
        <f t="shared" ca="1" si="86"/>
        <v>72.007294379232945</v>
      </c>
    </row>
    <row r="158" spans="1:34" x14ac:dyDescent="0.2">
      <c r="A158" s="347">
        <f t="shared" ca="1" si="64"/>
        <v>0.01</v>
      </c>
      <c r="B158" s="304">
        <f t="shared" ca="1" si="65"/>
        <v>1.5400000000000011</v>
      </c>
      <c r="D158" s="306">
        <f t="shared" ca="1" si="66"/>
        <v>7.549267930020827</v>
      </c>
      <c r="E158" s="307">
        <f t="shared" ca="1" si="67"/>
        <v>61.592153914824451</v>
      </c>
      <c r="F158" s="304">
        <f t="shared" ca="1" si="68"/>
        <v>62.053081068925707</v>
      </c>
      <c r="G158" s="306">
        <f t="shared" ca="1" si="69"/>
        <v>12.127215029907491</v>
      </c>
      <c r="H158" s="307">
        <f t="shared" ca="1" si="70"/>
        <v>114.60299183437593</v>
      </c>
      <c r="I158" s="304">
        <f t="shared" ca="1" si="71"/>
        <v>115.24285262770812</v>
      </c>
      <c r="J158" s="306">
        <f t="shared" ca="1" si="72"/>
        <v>9.1476103895757195</v>
      </c>
      <c r="K158" s="307">
        <f t="shared" ca="1" si="73"/>
        <v>91.72739059035041</v>
      </c>
      <c r="L158" s="304">
        <f t="shared" ca="1" si="58"/>
        <v>92.182389643327085</v>
      </c>
      <c r="M158" s="306">
        <f t="shared" ca="1" si="74"/>
        <v>1.4653693151322404</v>
      </c>
      <c r="N158" s="304">
        <f t="shared" ca="1" si="75"/>
        <v>83.959477185053302</v>
      </c>
      <c r="P158" s="310">
        <f t="shared" ca="1" si="76"/>
        <v>5</v>
      </c>
      <c r="Q158" s="304">
        <f t="shared" ca="1" si="77"/>
        <v>653.88999999999987</v>
      </c>
      <c r="R158" s="306">
        <f t="shared" ca="1" si="78"/>
        <v>0.328156925139795</v>
      </c>
      <c r="S158" s="307">
        <f t="shared" ca="1" si="79"/>
        <v>8.4284482694559291</v>
      </c>
      <c r="T158" s="304">
        <f t="shared" ca="1" si="59"/>
        <v>82.68307752336267</v>
      </c>
      <c r="U158" s="311">
        <f t="shared" ca="1" si="60"/>
        <v>0</v>
      </c>
      <c r="V158" s="306">
        <f t="shared" ca="1" si="61"/>
        <v>1.2138146945965631</v>
      </c>
      <c r="W158" s="304">
        <f t="shared" ca="1" si="62"/>
        <v>49.249601748718135</v>
      </c>
      <c r="Y158" s="314" t="str">
        <f t="shared" ca="1" si="80"/>
        <v/>
      </c>
      <c r="Z158" s="315" t="str">
        <f t="shared" ca="1" si="81"/>
        <v/>
      </c>
      <c r="AA158" s="316" t="str">
        <f t="shared" ca="1" si="82"/>
        <v/>
      </c>
      <c r="AC158" s="310" t="e">
        <f t="shared" ca="1" si="83"/>
        <v>#N/A</v>
      </c>
      <c r="AD158" s="323" t="e">
        <f t="shared" ca="1" si="84"/>
        <v>#N/A</v>
      </c>
      <c r="AE158" s="324">
        <f t="shared" ca="1" si="63"/>
        <v>91.72739059035041</v>
      </c>
      <c r="AG158" s="306">
        <f t="shared" ca="1" si="85"/>
        <v>62.044508048529082</v>
      </c>
      <c r="AH158" s="304">
        <f t="shared" ca="1" si="86"/>
        <v>71.800132520459329</v>
      </c>
    </row>
    <row r="159" spans="1:34" x14ac:dyDescent="0.2">
      <c r="A159" s="347">
        <f t="shared" ca="1" si="64"/>
        <v>0.01</v>
      </c>
      <c r="B159" s="304">
        <f t="shared" ca="1" si="65"/>
        <v>1.5500000000000012</v>
      </c>
      <c r="D159" s="306">
        <f t="shared" ca="1" si="66"/>
        <v>7.5338230876174634</v>
      </c>
      <c r="E159" s="307">
        <f t="shared" ca="1" si="67"/>
        <v>61.385131253349556</v>
      </c>
      <c r="F159" s="304">
        <f t="shared" ca="1" si="68"/>
        <v>61.845717954491164</v>
      </c>
      <c r="G159" s="306">
        <f t="shared" ca="1" si="69"/>
        <v>12.202553260783667</v>
      </c>
      <c r="H159" s="307">
        <f t="shared" ca="1" si="70"/>
        <v>115.21684314690943</v>
      </c>
      <c r="I159" s="304">
        <f t="shared" ca="1" si="71"/>
        <v>115.86122410376041</v>
      </c>
      <c r="J159" s="306">
        <f t="shared" ca="1" si="72"/>
        <v>9.2692592310291744</v>
      </c>
      <c r="K159" s="307">
        <f t="shared" ca="1" si="73"/>
        <v>92.876489765256835</v>
      </c>
      <c r="L159" s="304">
        <f t="shared" ca="1" si="58"/>
        <v>93.337888972313252</v>
      </c>
      <c r="M159" s="306">
        <f t="shared" ca="1" si="74"/>
        <v>1.4652802150769335</v>
      </c>
      <c r="N159" s="304">
        <f t="shared" ca="1" si="75"/>
        <v>83.95437212792983</v>
      </c>
      <c r="P159" s="310">
        <f t="shared" ca="1" si="76"/>
        <v>5</v>
      </c>
      <c r="Q159" s="304">
        <f t="shared" ca="1" si="77"/>
        <v>652.42999999999984</v>
      </c>
      <c r="R159" s="306">
        <f t="shared" ca="1" si="78"/>
        <v>0.32742421916370706</v>
      </c>
      <c r="S159" s="307">
        <f t="shared" ca="1" si="79"/>
        <v>8.4251740272642923</v>
      </c>
      <c r="T159" s="304">
        <f t="shared" ca="1" si="59"/>
        <v>82.65095720746271</v>
      </c>
      <c r="U159" s="311">
        <f t="shared" ca="1" si="60"/>
        <v>0</v>
      </c>
      <c r="V159" s="306">
        <f t="shared" ca="1" si="61"/>
        <v>1.2136752202930832</v>
      </c>
      <c r="W159" s="304">
        <f t="shared" ca="1" si="62"/>
        <v>49.773827986684481</v>
      </c>
      <c r="Y159" s="314" t="str">
        <f t="shared" ca="1" si="80"/>
        <v/>
      </c>
      <c r="Z159" s="315" t="str">
        <f t="shared" ca="1" si="81"/>
        <v/>
      </c>
      <c r="AA159" s="316" t="str">
        <f t="shared" ca="1" si="82"/>
        <v/>
      </c>
      <c r="AC159" s="310" t="e">
        <f t="shared" ca="1" si="83"/>
        <v>#N/A</v>
      </c>
      <c r="AD159" s="323" t="e">
        <f t="shared" ca="1" si="84"/>
        <v>#N/A</v>
      </c>
      <c r="AE159" s="324">
        <f t="shared" ca="1" si="63"/>
        <v>92.876489765256835</v>
      </c>
      <c r="AG159" s="306">
        <f t="shared" ca="1" si="85"/>
        <v>61.837101615160321</v>
      </c>
      <c r="AH159" s="304">
        <f t="shared" ca="1" si="86"/>
        <v>71.592633730693194</v>
      </c>
    </row>
    <row r="160" spans="1:34" x14ac:dyDescent="0.2">
      <c r="A160" s="347">
        <f t="shared" ca="1" si="64"/>
        <v>0.01</v>
      </c>
      <c r="B160" s="304">
        <f t="shared" ca="1" si="65"/>
        <v>1.5600000000000012</v>
      </c>
      <c r="D160" s="306">
        <f t="shared" ca="1" si="66"/>
        <v>7.5182776262097155</v>
      </c>
      <c r="E160" s="307">
        <f t="shared" ca="1" si="67"/>
        <v>61.177783907307585</v>
      </c>
      <c r="F160" s="304">
        <f t="shared" ca="1" si="68"/>
        <v>61.638021888068316</v>
      </c>
      <c r="G160" s="306">
        <f t="shared" ca="1" si="69"/>
        <v>12.277736037045765</v>
      </c>
      <c r="H160" s="307">
        <f t="shared" ca="1" si="70"/>
        <v>115.8286209859825</v>
      </c>
      <c r="I160" s="304">
        <f t="shared" ca="1" si="71"/>
        <v>116.47751818144889</v>
      </c>
      <c r="J160" s="306">
        <f t="shared" ca="1" si="72"/>
        <v>9.3916606775183222</v>
      </c>
      <c r="K160" s="307">
        <f t="shared" ca="1" si="73"/>
        <v>94.031717085921301</v>
      </c>
      <c r="L160" s="304">
        <f t="shared" ca="1" si="58"/>
        <v>94.499561419132462</v>
      </c>
      <c r="M160" s="306">
        <f t="shared" ca="1" si="74"/>
        <v>1.4651915118337646</v>
      </c>
      <c r="N160" s="304">
        <f t="shared" ca="1" si="75"/>
        <v>83.949289806467121</v>
      </c>
      <c r="P160" s="310">
        <f t="shared" ca="1" si="76"/>
        <v>5</v>
      </c>
      <c r="Q160" s="304">
        <f t="shared" ca="1" si="77"/>
        <v>650.9699999999998</v>
      </c>
      <c r="R160" s="306">
        <f t="shared" ca="1" si="78"/>
        <v>0.32669151318761919</v>
      </c>
      <c r="S160" s="307">
        <f t="shared" ca="1" si="79"/>
        <v>8.4219071121324163</v>
      </c>
      <c r="T160" s="304">
        <f t="shared" ca="1" si="59"/>
        <v>82.618908770019004</v>
      </c>
      <c r="U160" s="311">
        <f t="shared" ca="1" si="60"/>
        <v>0</v>
      </c>
      <c r="V160" s="306">
        <f t="shared" ca="1" si="61"/>
        <v>1.2135350182529765</v>
      </c>
      <c r="W160" s="304">
        <f t="shared" ca="1" si="62"/>
        <v>50.298943405444398</v>
      </c>
      <c r="Y160" s="314" t="str">
        <f t="shared" ca="1" si="80"/>
        <v/>
      </c>
      <c r="Z160" s="315" t="str">
        <f t="shared" ca="1" si="81"/>
        <v/>
      </c>
      <c r="AA160" s="316" t="str">
        <f t="shared" ca="1" si="82"/>
        <v/>
      </c>
      <c r="AC160" s="310" t="e">
        <f t="shared" ca="1" si="83"/>
        <v>#N/A</v>
      </c>
      <c r="AD160" s="323" t="e">
        <f t="shared" ca="1" si="84"/>
        <v>#N/A</v>
      </c>
      <c r="AE160" s="324">
        <f t="shared" ca="1" si="63"/>
        <v>94.031717085921301</v>
      </c>
      <c r="AG160" s="306">
        <f t="shared" ca="1" si="85"/>
        <v>61.629361945047918</v>
      </c>
      <c r="AH160" s="304">
        <f t="shared" ca="1" si="86"/>
        <v>71.384802041718686</v>
      </c>
    </row>
    <row r="161" spans="1:34" x14ac:dyDescent="0.2">
      <c r="A161" s="347">
        <f t="shared" ca="1" si="64"/>
        <v>0.01</v>
      </c>
      <c r="B161" s="304">
        <f t="shared" ca="1" si="65"/>
        <v>1.5700000000000012</v>
      </c>
      <c r="D161" s="306">
        <f t="shared" ca="1" si="66"/>
        <v>7.5026325232514859</v>
      </c>
      <c r="E161" s="307">
        <f t="shared" ca="1" si="67"/>
        <v>60.970115838188619</v>
      </c>
      <c r="F161" s="304">
        <f t="shared" ca="1" si="68"/>
        <v>61.429996907871399</v>
      </c>
      <c r="G161" s="306">
        <f t="shared" ca="1" si="69"/>
        <v>12.352762362278279</v>
      </c>
      <c r="H161" s="307">
        <f t="shared" ca="1" si="70"/>
        <v>116.43832214436438</v>
      </c>
      <c r="I161" s="304">
        <f t="shared" ca="1" si="71"/>
        <v>117.09173156877344</v>
      </c>
      <c r="J161" s="306">
        <f t="shared" ca="1" si="72"/>
        <v>9.5148131695149427</v>
      </c>
      <c r="K161" s="307">
        <f t="shared" ca="1" si="73"/>
        <v>95.193051801573034</v>
      </c>
      <c r="L161" s="304">
        <f t="shared" ca="1" si="58"/>
        <v>95.667386192723697</v>
      </c>
      <c r="M161" s="306">
        <f t="shared" ca="1" si="74"/>
        <v>1.4651031999877324</v>
      </c>
      <c r="N161" s="304">
        <f t="shared" ca="1" si="75"/>
        <v>83.944229910408467</v>
      </c>
      <c r="P161" s="310">
        <f t="shared" ca="1" si="76"/>
        <v>5</v>
      </c>
      <c r="Q161" s="304">
        <f t="shared" ca="1" si="77"/>
        <v>649.50999999999976</v>
      </c>
      <c r="R161" s="306">
        <f t="shared" ca="1" si="78"/>
        <v>0.32595880721153131</v>
      </c>
      <c r="S161" s="307">
        <f t="shared" ca="1" si="79"/>
        <v>8.4186475240603009</v>
      </c>
      <c r="T161" s="304">
        <f t="shared" ca="1" si="59"/>
        <v>82.586932211031552</v>
      </c>
      <c r="U161" s="311">
        <f t="shared" ca="1" si="60"/>
        <v>0</v>
      </c>
      <c r="V161" s="306">
        <f t="shared" ca="1" si="61"/>
        <v>1.2133940912479593</v>
      </c>
      <c r="W161" s="304">
        <f t="shared" ca="1" si="62"/>
        <v>50.824915471056471</v>
      </c>
      <c r="Y161" s="314" t="str">
        <f t="shared" ca="1" si="80"/>
        <v/>
      </c>
      <c r="Z161" s="315" t="str">
        <f t="shared" ca="1" si="81"/>
        <v/>
      </c>
      <c r="AA161" s="316" t="str">
        <f t="shared" ca="1" si="82"/>
        <v/>
      </c>
      <c r="AC161" s="310" t="e">
        <f t="shared" ca="1" si="83"/>
        <v>#N/A</v>
      </c>
      <c r="AD161" s="323" t="e">
        <f t="shared" ca="1" si="84"/>
        <v>#N/A</v>
      </c>
      <c r="AE161" s="324">
        <f t="shared" ca="1" si="63"/>
        <v>95.193051801573034</v>
      </c>
      <c r="AG161" s="306">
        <f t="shared" ca="1" si="85"/>
        <v>61.421293072639202</v>
      </c>
      <c r="AH161" s="304">
        <f t="shared" ca="1" si="86"/>
        <v>71.176641483328993</v>
      </c>
    </row>
    <row r="162" spans="1:34" x14ac:dyDescent="0.2">
      <c r="A162" s="347">
        <f t="shared" ca="1" si="64"/>
        <v>0.01</v>
      </c>
      <c r="B162" s="304">
        <f t="shared" ca="1" si="65"/>
        <v>1.5800000000000012</v>
      </c>
      <c r="D162" s="306">
        <f t="shared" ca="1" si="66"/>
        <v>7.4868887464412737</v>
      </c>
      <c r="E162" s="307">
        <f t="shared" ca="1" si="67"/>
        <v>60.762131006037038</v>
      </c>
      <c r="F162" s="304">
        <f t="shared" ca="1" si="68"/>
        <v>61.221647049849913</v>
      </c>
      <c r="G162" s="306">
        <f t="shared" ca="1" si="69"/>
        <v>12.427631249742692</v>
      </c>
      <c r="H162" s="307">
        <f t="shared" ca="1" si="70"/>
        <v>117.04594345442474</v>
      </c>
      <c r="I162" s="304">
        <f t="shared" ca="1" si="71"/>
        <v>117.70386101405499</v>
      </c>
      <c r="J162" s="306">
        <f t="shared" ca="1" si="72"/>
        <v>9.6387151375750477</v>
      </c>
      <c r="K162" s="307">
        <f t="shared" ca="1" si="73"/>
        <v>96.360473129566984</v>
      </c>
      <c r="L162" s="304">
        <f t="shared" ca="1" si="58"/>
        <v>96.84134246930553</v>
      </c>
      <c r="M162" s="306">
        <f t="shared" ca="1" si="74"/>
        <v>1.4650152742224378</v>
      </c>
      <c r="N162" s="304">
        <f t="shared" ca="1" si="75"/>
        <v>83.939192135146641</v>
      </c>
      <c r="P162" s="310">
        <f t="shared" ca="1" si="76"/>
        <v>5</v>
      </c>
      <c r="Q162" s="304">
        <f t="shared" ca="1" si="77"/>
        <v>648.04999999999984</v>
      </c>
      <c r="R162" s="306">
        <f t="shared" ca="1" si="78"/>
        <v>0.32522610123544349</v>
      </c>
      <c r="S162" s="307">
        <f t="shared" ca="1" si="79"/>
        <v>8.4153952630479463</v>
      </c>
      <c r="T162" s="304">
        <f t="shared" ca="1" si="59"/>
        <v>82.555027530500354</v>
      </c>
      <c r="U162" s="311">
        <f t="shared" ca="1" si="60"/>
        <v>0</v>
      </c>
      <c r="V162" s="306">
        <f t="shared" ca="1" si="61"/>
        <v>1.2132524420537192</v>
      </c>
      <c r="W162" s="304">
        <f t="shared" ca="1" si="62"/>
        <v>51.351711736906182</v>
      </c>
      <c r="Y162" s="314" t="str">
        <f t="shared" ca="1" si="80"/>
        <v/>
      </c>
      <c r="Z162" s="315" t="str">
        <f t="shared" ca="1" si="81"/>
        <v/>
      </c>
      <c r="AA162" s="316" t="str">
        <f t="shared" ca="1" si="82"/>
        <v/>
      </c>
      <c r="AC162" s="310" t="e">
        <f t="shared" ca="1" si="83"/>
        <v>#N/A</v>
      </c>
      <c r="AD162" s="323" t="e">
        <f t="shared" ca="1" si="84"/>
        <v>#N/A</v>
      </c>
      <c r="AE162" s="324">
        <f t="shared" ca="1" si="63"/>
        <v>96.360473129566984</v>
      </c>
      <c r="AG162" s="306">
        <f t="shared" ca="1" si="85"/>
        <v>61.212899030080493</v>
      </c>
      <c r="AH162" s="304">
        <f t="shared" ca="1" si="86"/>
        <v>70.968156083097185</v>
      </c>
    </row>
    <row r="163" spans="1:34" x14ac:dyDescent="0.2">
      <c r="A163" s="347">
        <f t="shared" ca="1" si="64"/>
        <v>0.01</v>
      </c>
      <c r="B163" s="304">
        <f t="shared" ca="1" si="65"/>
        <v>1.5900000000000012</v>
      </c>
      <c r="D163" s="306">
        <f t="shared" ca="1" si="66"/>
        <v>7.4710472539470612</v>
      </c>
      <c r="E163" s="307">
        <f t="shared" ca="1" si="67"/>
        <v>60.553833369205293</v>
      </c>
      <c r="F163" s="304">
        <f t="shared" ca="1" si="68"/>
        <v>61.012976347463912</v>
      </c>
      <c r="G163" s="306">
        <f t="shared" ca="1" si="69"/>
        <v>12.502341722282162</v>
      </c>
      <c r="H163" s="307">
        <f t="shared" ca="1" si="70"/>
        <v>117.6514817881168</v>
      </c>
      <c r="I163" s="304">
        <f t="shared" ca="1" si="71"/>
        <v>118.31390330591032</v>
      </c>
      <c r="J163" s="306">
        <f t="shared" ca="1" si="72"/>
        <v>9.7633650024351724</v>
      </c>
      <c r="K163" s="307">
        <f t="shared" ca="1" si="73"/>
        <v>97.533960255779689</v>
      </c>
      <c r="L163" s="304">
        <f t="shared" ca="1" si="58"/>
        <v>98.021409392779034</v>
      </c>
      <c r="M163" s="306">
        <f t="shared" ca="1" si="74"/>
        <v>1.4649277293176324</v>
      </c>
      <c r="N163" s="304">
        <f t="shared" ca="1" si="75"/>
        <v>83.93417618158341</v>
      </c>
      <c r="P163" s="310">
        <f t="shared" ca="1" si="76"/>
        <v>5</v>
      </c>
      <c r="Q163" s="304">
        <f t="shared" ca="1" si="77"/>
        <v>646.5899999999998</v>
      </c>
      <c r="R163" s="306">
        <f t="shared" ca="1" si="78"/>
        <v>0.32449339525935555</v>
      </c>
      <c r="S163" s="307">
        <f t="shared" ca="1" si="79"/>
        <v>8.4121503290953523</v>
      </c>
      <c r="T163" s="304">
        <f t="shared" ca="1" si="59"/>
        <v>82.523194728425409</v>
      </c>
      <c r="U163" s="311">
        <f t="shared" ca="1" si="60"/>
        <v>0</v>
      </c>
      <c r="V163" s="306">
        <f t="shared" ca="1" si="61"/>
        <v>1.2131100734498463</v>
      </c>
      <c r="W163" s="304">
        <f t="shared" ca="1" si="62"/>
        <v>51.879299845277046</v>
      </c>
      <c r="Y163" s="314" t="str">
        <f t="shared" ca="1" si="80"/>
        <v/>
      </c>
      <c r="Z163" s="315" t="str">
        <f t="shared" ca="1" si="81"/>
        <v/>
      </c>
      <c r="AA163" s="316" t="str">
        <f t="shared" ca="1" si="82"/>
        <v/>
      </c>
      <c r="AC163" s="310" t="e">
        <f t="shared" ca="1" si="83"/>
        <v>#N/A</v>
      </c>
      <c r="AD163" s="323" t="e">
        <f t="shared" ca="1" si="84"/>
        <v>#N/A</v>
      </c>
      <c r="AE163" s="324">
        <f t="shared" ca="1" si="63"/>
        <v>97.533960255779689</v>
      </c>
      <c r="AG163" s="306">
        <f t="shared" ca="1" si="85"/>
        <v>61.004183846991268</v>
      </c>
      <c r="AH163" s="304">
        <f t="shared" ca="1" si="86"/>
        <v>70.759349866148426</v>
      </c>
    </row>
    <row r="164" spans="1:34" x14ac:dyDescent="0.2">
      <c r="A164" s="347">
        <f t="shared" ca="1" si="64"/>
        <v>0.01</v>
      </c>
      <c r="B164" s="304">
        <f t="shared" ca="1" si="65"/>
        <v>1.6000000000000012</v>
      </c>
      <c r="D164" s="306">
        <f t="shared" ca="1" si="66"/>
        <v>7.4551089946234708</v>
      </c>
      <c r="E164" s="307">
        <f t="shared" ca="1" si="67"/>
        <v>60.345226884109209</v>
      </c>
      <c r="F164" s="304">
        <f t="shared" ca="1" si="68"/>
        <v>60.803988831460167</v>
      </c>
      <c r="G164" s="306">
        <f t="shared" ca="1" si="69"/>
        <v>12.576892812228397</v>
      </c>
      <c r="H164" s="307">
        <f t="shared" ca="1" si="70"/>
        <v>118.25493405695789</v>
      </c>
      <c r="I164" s="304">
        <f t="shared" ca="1" si="71"/>
        <v>118.92185527322445</v>
      </c>
      <c r="J164" s="306">
        <f t="shared" ca="1" si="72"/>
        <v>9.8887611751077245</v>
      </c>
      <c r="K164" s="307">
        <f t="shared" ca="1" si="73"/>
        <v>98.713492335005057</v>
      </c>
      <c r="L164" s="304">
        <f t="shared" ca="1" si="58"/>
        <v>99.207566075130671</v>
      </c>
      <c r="M164" s="306">
        <f t="shared" ca="1" si="74"/>
        <v>1.4648405601468413</v>
      </c>
      <c r="N164" s="304">
        <f t="shared" ca="1" si="75"/>
        <v>83.929181755993426</v>
      </c>
      <c r="P164" s="310">
        <f t="shared" ca="1" si="76"/>
        <v>5</v>
      </c>
      <c r="Q164" s="304">
        <f t="shared" ca="1" si="77"/>
        <v>645.12999999999977</v>
      </c>
      <c r="R164" s="306">
        <f t="shared" ca="1" si="78"/>
        <v>0.32376068928326768</v>
      </c>
      <c r="S164" s="307">
        <f t="shared" ca="1" si="79"/>
        <v>8.4089127222025191</v>
      </c>
      <c r="T164" s="304">
        <f t="shared" ca="1" si="59"/>
        <v>82.491433804806718</v>
      </c>
      <c r="U164" s="311">
        <f t="shared" ca="1" si="60"/>
        <v>0</v>
      </c>
      <c r="V164" s="306">
        <f t="shared" ca="1" si="61"/>
        <v>1.2129669882197687</v>
      </c>
      <c r="W164" s="304">
        <f t="shared" ca="1" si="62"/>
        <v>52.407647528907376</v>
      </c>
      <c r="Y164" s="314" t="str">
        <f t="shared" ca="1" si="80"/>
        <v/>
      </c>
      <c r="Z164" s="315" t="str">
        <f t="shared" ca="1" si="81"/>
        <v/>
      </c>
      <c r="AA164" s="316" t="str">
        <f t="shared" ca="1" si="82"/>
        <v/>
      </c>
      <c r="AC164" s="310" t="e">
        <f t="shared" ca="1" si="83"/>
        <v>#N/A</v>
      </c>
      <c r="AD164" s="323" t="e">
        <f t="shared" ca="1" si="84"/>
        <v>#N/A</v>
      </c>
      <c r="AE164" s="324">
        <f t="shared" ca="1" si="63"/>
        <v>98.713492335005057</v>
      </c>
      <c r="AG164" s="306">
        <f t="shared" ca="1" si="85"/>
        <v>60.795151550239439</v>
      </c>
      <c r="AH164" s="304">
        <f t="shared" ca="1" si="86"/>
        <v>70.550226854933328</v>
      </c>
    </row>
    <row r="165" spans="1:34" x14ac:dyDescent="0.2">
      <c r="A165" s="347">
        <f t="shared" ca="1" si="64"/>
        <v>0.01</v>
      </c>
      <c r="B165" s="304">
        <f t="shared" ca="1" si="65"/>
        <v>1.6100000000000012</v>
      </c>
      <c r="D165" s="306">
        <f t="shared" ca="1" si="66"/>
        <v>7.439074908221551</v>
      </c>
      <c r="E165" s="307">
        <f t="shared" ca="1" si="67"/>
        <v>60.136315504985262</v>
      </c>
      <c r="F165" s="304">
        <f t="shared" ca="1" si="68"/>
        <v>60.594688529649709</v>
      </c>
      <c r="G165" s="306">
        <f t="shared" ca="1" si="69"/>
        <v>12.651283561310613</v>
      </c>
      <c r="H165" s="307">
        <f t="shared" ca="1" si="70"/>
        <v>118.85629721200775</v>
      </c>
      <c r="I165" s="304">
        <f t="shared" ca="1" si="71"/>
        <v>119.52771378512101</v>
      </c>
      <c r="J165" s="306">
        <f t="shared" ca="1" si="72"/>
        <v>10.014902056975419</v>
      </c>
      <c r="K165" s="307">
        <f t="shared" ca="1" si="73"/>
        <v>99.899048491349888</v>
      </c>
      <c r="L165" s="304">
        <f t="shared" ca="1" si="58"/>
        <v>100.39979159683493</v>
      </c>
      <c r="M165" s="306">
        <f t="shared" ca="1" si="74"/>
        <v>1.4647537616750619</v>
      </c>
      <c r="N165" s="304">
        <f t="shared" ca="1" si="75"/>
        <v>83.924208569892272</v>
      </c>
      <c r="P165" s="310">
        <f t="shared" ca="1" si="76"/>
        <v>5</v>
      </c>
      <c r="Q165" s="304">
        <f t="shared" ca="1" si="77"/>
        <v>643.66999999999985</v>
      </c>
      <c r="R165" s="306">
        <f t="shared" ca="1" si="78"/>
        <v>0.32302798330717986</v>
      </c>
      <c r="S165" s="307">
        <f t="shared" ca="1" si="79"/>
        <v>8.4056824423694465</v>
      </c>
      <c r="T165" s="304">
        <f t="shared" ca="1" si="59"/>
        <v>82.459744759644281</v>
      </c>
      <c r="U165" s="311">
        <f t="shared" ca="1" si="60"/>
        <v>0</v>
      </c>
      <c r="V165" s="306">
        <f t="shared" ca="1" si="61"/>
        <v>1.2128231891506853</v>
      </c>
      <c r="W165" s="304">
        <f t="shared" ca="1" si="62"/>
        <v>52.936722612532435</v>
      </c>
      <c r="Y165" s="314" t="str">
        <f t="shared" ca="1" si="80"/>
        <v/>
      </c>
      <c r="Z165" s="315" t="str">
        <f t="shared" ca="1" si="81"/>
        <v/>
      </c>
      <c r="AA165" s="316" t="str">
        <f t="shared" ca="1" si="82"/>
        <v/>
      </c>
      <c r="AC165" s="310" t="e">
        <f t="shared" ca="1" si="83"/>
        <v>#N/A</v>
      </c>
      <c r="AD165" s="323" t="e">
        <f t="shared" ca="1" si="84"/>
        <v>#N/A</v>
      </c>
      <c r="AE165" s="324">
        <f t="shared" ca="1" si="63"/>
        <v>99.899048491349888</v>
      </c>
      <c r="AG165" s="306">
        <f t="shared" ca="1" si="85"/>
        <v>60.585806163717869</v>
      </c>
      <c r="AH165" s="304">
        <f t="shared" ca="1" si="86"/>
        <v>70.340791069002577</v>
      </c>
    </row>
    <row r="166" spans="1:34" x14ac:dyDescent="0.2">
      <c r="A166" s="347">
        <f t="shared" ca="1" si="64"/>
        <v>0.01</v>
      </c>
      <c r="B166" s="304">
        <f t="shared" ca="1" si="65"/>
        <v>1.6200000000000012</v>
      </c>
      <c r="D166" s="306">
        <f t="shared" ca="1" si="66"/>
        <v>7.4229459255911703</v>
      </c>
      <c r="E166" s="307">
        <f t="shared" ca="1" si="67"/>
        <v>59.927103183649407</v>
      </c>
      <c r="F166" s="304">
        <f t="shared" ca="1" si="68"/>
        <v>60.38507946668625</v>
      </c>
      <c r="G166" s="306">
        <f t="shared" ca="1" si="69"/>
        <v>12.725513020566526</v>
      </c>
      <c r="H166" s="307">
        <f t="shared" ca="1" si="70"/>
        <v>119.45556824384424</v>
      </c>
      <c r="I166" s="304">
        <f t="shared" ca="1" si="71"/>
        <v>120.13147575093022</v>
      </c>
      <c r="J166" s="306">
        <f t="shared" ca="1" si="72"/>
        <v>10.141786039884805</v>
      </c>
      <c r="K166" s="307">
        <f t="shared" ca="1" si="73"/>
        <v>101.09060781862915</v>
      </c>
      <c r="L166" s="304">
        <f t="shared" ca="1" si="58"/>
        <v>101.59806500725635</v>
      </c>
      <c r="M166" s="306">
        <f t="shared" ca="1" si="74"/>
        <v>1.4646673289565295</v>
      </c>
      <c r="N166" s="304">
        <f t="shared" ca="1" si="75"/>
        <v>83.919256339908529</v>
      </c>
      <c r="P166" s="310">
        <f t="shared" ca="1" si="76"/>
        <v>5</v>
      </c>
      <c r="Q166" s="304">
        <f t="shared" ca="1" si="77"/>
        <v>642.20999999999981</v>
      </c>
      <c r="R166" s="306">
        <f t="shared" ca="1" si="78"/>
        <v>0.32229527733109198</v>
      </c>
      <c r="S166" s="307">
        <f t="shared" ca="1" si="79"/>
        <v>8.4024594895961364</v>
      </c>
      <c r="T166" s="304">
        <f t="shared" ca="1" si="59"/>
        <v>82.428127592938097</v>
      </c>
      <c r="U166" s="311">
        <f t="shared" ca="1" si="60"/>
        <v>0</v>
      </c>
      <c r="V166" s="306">
        <f t="shared" ca="1" si="61"/>
        <v>1.2126786790334994</v>
      </c>
      <c r="W166" s="304">
        <f t="shared" ca="1" si="62"/>
        <v>53.466493014412158</v>
      </c>
      <c r="Y166" s="314" t="str">
        <f t="shared" ca="1" si="80"/>
        <v/>
      </c>
      <c r="Z166" s="315" t="str">
        <f t="shared" ca="1" si="81"/>
        <v/>
      </c>
      <c r="AA166" s="316" t="str">
        <f t="shared" ca="1" si="82"/>
        <v/>
      </c>
      <c r="AC166" s="310" t="e">
        <f t="shared" ca="1" si="83"/>
        <v>#N/A</v>
      </c>
      <c r="AD166" s="323" t="e">
        <f t="shared" ca="1" si="84"/>
        <v>#N/A</v>
      </c>
      <c r="AE166" s="324">
        <f t="shared" ca="1" si="63"/>
        <v>101.09060781862915</v>
      </c>
      <c r="AG166" s="306">
        <f t="shared" ca="1" si="85"/>
        <v>60.376151708121732</v>
      </c>
      <c r="AH166" s="304">
        <f t="shared" ca="1" si="86"/>
        <v>70.131046524782562</v>
      </c>
    </row>
    <row r="167" spans="1:34" x14ac:dyDescent="0.2">
      <c r="A167" s="347">
        <f t="shared" ca="1" si="64"/>
        <v>0.01</v>
      </c>
      <c r="B167" s="304">
        <f t="shared" ca="1" si="65"/>
        <v>1.6300000000000012</v>
      </c>
      <c r="D167" s="306">
        <f t="shared" ca="1" si="66"/>
        <v>7.4067229688767595</v>
      </c>
      <c r="E167" s="307">
        <f t="shared" ca="1" si="67"/>
        <v>59.717593869258238</v>
      </c>
      <c r="F167" s="304">
        <f t="shared" ca="1" si="68"/>
        <v>60.175165663846371</v>
      </c>
      <c r="G167" s="306">
        <f t="shared" ca="1" si="69"/>
        <v>12.799580250255293</v>
      </c>
      <c r="H167" s="307">
        <f t="shared" ca="1" si="70"/>
        <v>120.05274418253683</v>
      </c>
      <c r="I167" s="304">
        <f t="shared" ca="1" si="71"/>
        <v>120.73313812015472</v>
      </c>
      <c r="J167" s="306">
        <f t="shared" ca="1" si="72"/>
        <v>10.269411506238914</v>
      </c>
      <c r="K167" s="307">
        <f t="shared" ca="1" si="73"/>
        <v>102.28814938076106</v>
      </c>
      <c r="L167" s="304">
        <f t="shared" ca="1" si="58"/>
        <v>102.80236532505154</v>
      </c>
      <c r="M167" s="306">
        <f t="shared" ca="1" si="74"/>
        <v>1.4645812571325534</v>
      </c>
      <c r="N167" s="304">
        <f t="shared" ca="1" si="75"/>
        <v>83.914324787659709</v>
      </c>
      <c r="P167" s="310">
        <f t="shared" ca="1" si="76"/>
        <v>5</v>
      </c>
      <c r="Q167" s="304">
        <f t="shared" ca="1" si="77"/>
        <v>640.74999999999977</v>
      </c>
      <c r="R167" s="306">
        <f t="shared" ca="1" si="78"/>
        <v>0.32156257135500405</v>
      </c>
      <c r="S167" s="307">
        <f t="shared" ca="1" si="79"/>
        <v>8.399243863882587</v>
      </c>
      <c r="T167" s="304">
        <f t="shared" ca="1" si="59"/>
        <v>82.396582304688181</v>
      </c>
      <c r="U167" s="311">
        <f t="shared" ca="1" si="60"/>
        <v>0</v>
      </c>
      <c r="V167" s="306">
        <f t="shared" ca="1" si="61"/>
        <v>1.2125334606627562</v>
      </c>
      <c r="W167" s="304">
        <f t="shared" ca="1" si="62"/>
        <v>53.996926747844206</v>
      </c>
      <c r="Y167" s="314" t="str">
        <f t="shared" ca="1" si="80"/>
        <v/>
      </c>
      <c r="Z167" s="315" t="str">
        <f t="shared" ca="1" si="81"/>
        <v/>
      </c>
      <c r="AA167" s="316" t="str">
        <f t="shared" ca="1" si="82"/>
        <v/>
      </c>
      <c r="AC167" s="310" t="e">
        <f t="shared" ca="1" si="83"/>
        <v>#N/A</v>
      </c>
      <c r="AD167" s="323" t="e">
        <f t="shared" ca="1" si="84"/>
        <v>#N/A</v>
      </c>
      <c r="AE167" s="324">
        <f t="shared" ca="1" si="63"/>
        <v>102.28814938076106</v>
      </c>
      <c r="AG167" s="306">
        <f t="shared" ca="1" si="85"/>
        <v>60.166192200727657</v>
      </c>
      <c r="AH167" s="304">
        <f t="shared" ca="1" si="86"/>
        <v>69.920997235352715</v>
      </c>
    </row>
    <row r="168" spans="1:34" x14ac:dyDescent="0.2">
      <c r="A168" s="347">
        <f t="shared" ca="1" si="64"/>
        <v>0.01</v>
      </c>
      <c r="B168" s="304">
        <f t="shared" ca="1" si="65"/>
        <v>1.6400000000000012</v>
      </c>
      <c r="D168" s="306">
        <f t="shared" ca="1" si="66"/>
        <v>7.3904069517061739</v>
      </c>
      <c r="E168" s="307">
        <f t="shared" ca="1" si="67"/>
        <v>59.507791508071264</v>
      </c>
      <c r="F168" s="304">
        <f t="shared" ca="1" si="68"/>
        <v>59.964951138810292</v>
      </c>
      <c r="G168" s="306">
        <f t="shared" ca="1" si="69"/>
        <v>12.873484319772354</v>
      </c>
      <c r="H168" s="307">
        <f t="shared" ca="1" si="70"/>
        <v>120.64782209761754</v>
      </c>
      <c r="I168" s="304">
        <f t="shared" ca="1" si="71"/>
        <v>121.33269788243314</v>
      </c>
      <c r="J168" s="306">
        <f t="shared" ca="1" si="72"/>
        <v>10.397776829089052</v>
      </c>
      <c r="K168" s="307">
        <f t="shared" ca="1" si="73"/>
        <v>103.49165221216182</v>
      </c>
      <c r="L168" s="304">
        <f t="shared" ca="1" si="58"/>
        <v>104.01267153857073</v>
      </c>
      <c r="M168" s="306">
        <f t="shared" ca="1" si="74"/>
        <v>1.4644955414294174</v>
      </c>
      <c r="N168" s="304">
        <f t="shared" ca="1" si="75"/>
        <v>83.909413639632021</v>
      </c>
      <c r="P168" s="310">
        <f t="shared" ca="1" si="76"/>
        <v>5</v>
      </c>
      <c r="Q168" s="304">
        <f t="shared" ca="1" si="77"/>
        <v>639.28999999999985</v>
      </c>
      <c r="R168" s="306">
        <f t="shared" ca="1" si="78"/>
        <v>0.32082986537891622</v>
      </c>
      <c r="S168" s="307">
        <f t="shared" ca="1" si="79"/>
        <v>8.3960355652287983</v>
      </c>
      <c r="T168" s="304">
        <f t="shared" ca="1" si="59"/>
        <v>82.365108894894519</v>
      </c>
      <c r="U168" s="311">
        <f t="shared" ca="1" si="60"/>
        <v>0</v>
      </c>
      <c r="V168" s="306">
        <f t="shared" ca="1" si="61"/>
        <v>1.2123875368365729</v>
      </c>
      <c r="W168" s="304">
        <f t="shared" ca="1" si="62"/>
        <v>54.527991922661897</v>
      </c>
      <c r="Y168" s="314" t="str">
        <f t="shared" ca="1" si="80"/>
        <v/>
      </c>
      <c r="Z168" s="315" t="str">
        <f t="shared" ca="1" si="81"/>
        <v/>
      </c>
      <c r="AA168" s="316" t="str">
        <f t="shared" ca="1" si="82"/>
        <v/>
      </c>
      <c r="AC168" s="310" t="e">
        <f t="shared" ca="1" si="83"/>
        <v>#N/A</v>
      </c>
      <c r="AD168" s="323" t="e">
        <f t="shared" ca="1" si="84"/>
        <v>#N/A</v>
      </c>
      <c r="AE168" s="324">
        <f t="shared" ca="1" si="63"/>
        <v>103.49165221216182</v>
      </c>
      <c r="AG168" s="306">
        <f t="shared" ca="1" si="85"/>
        <v>59.955931655173558</v>
      </c>
      <c r="AH168" s="304">
        <f t="shared" ca="1" si="86"/>
        <v>69.710647210223669</v>
      </c>
    </row>
    <row r="169" spans="1:34" x14ac:dyDescent="0.2">
      <c r="A169" s="347">
        <f t="shared" ca="1" si="64"/>
        <v>0.01</v>
      </c>
      <c r="B169" s="304">
        <f t="shared" ca="1" si="65"/>
        <v>1.6500000000000012</v>
      </c>
      <c r="D169" s="306">
        <f t="shared" ca="1" si="66"/>
        <v>7.3739987793732036</v>
      </c>
      <c r="E169" s="307">
        <f t="shared" ca="1" si="67"/>
        <v>59.297700043215585</v>
      </c>
      <c r="F169" s="304">
        <f t="shared" ca="1" si="68"/>
        <v>59.754439905444407</v>
      </c>
      <c r="G169" s="306">
        <f t="shared" ca="1" si="69"/>
        <v>12.947224307566087</v>
      </c>
      <c r="H169" s="307">
        <f t="shared" ca="1" si="70"/>
        <v>121.24079909804969</v>
      </c>
      <c r="I169" s="304">
        <f t="shared" ca="1" si="71"/>
        <v>121.93015206750165</v>
      </c>
      <c r="J169" s="306">
        <f t="shared" ca="1" si="72"/>
        <v>10.526880372225744</v>
      </c>
      <c r="K169" s="307">
        <f t="shared" ca="1" si="73"/>
        <v>104.70109531814016</v>
      </c>
      <c r="L169" s="304">
        <f t="shared" ca="1" si="58"/>
        <v>105.22896260625885</v>
      </c>
      <c r="M169" s="306">
        <f t="shared" ca="1" si="74"/>
        <v>1.4644101771563429</v>
      </c>
      <c r="N169" s="304">
        <f t="shared" ca="1" si="75"/>
        <v>83.904522627063642</v>
      </c>
      <c r="P169" s="310">
        <f t="shared" ca="1" si="76"/>
        <v>5</v>
      </c>
      <c r="Q169" s="304">
        <f t="shared" ca="1" si="77"/>
        <v>637.82999999999981</v>
      </c>
      <c r="R169" s="306">
        <f t="shared" ca="1" si="78"/>
        <v>0.32009715940282835</v>
      </c>
      <c r="S169" s="307">
        <f t="shared" ca="1" si="79"/>
        <v>8.3928345936347704</v>
      </c>
      <c r="T169" s="304">
        <f t="shared" ca="1" si="59"/>
        <v>82.333707363557096</v>
      </c>
      <c r="U169" s="311">
        <f t="shared" ca="1" si="60"/>
        <v>0</v>
      </c>
      <c r="V169" s="306">
        <f t="shared" ca="1" si="61"/>
        <v>1.2122409103565743</v>
      </c>
      <c r="W169" s="304">
        <f t="shared" ca="1" si="62"/>
        <v>55.059656746717813</v>
      </c>
      <c r="Y169" s="314" t="str">
        <f t="shared" ca="1" si="80"/>
        <v/>
      </c>
      <c r="Z169" s="315" t="str">
        <f t="shared" ca="1" si="81"/>
        <v/>
      </c>
      <c r="AA169" s="316" t="str">
        <f t="shared" ca="1" si="82"/>
        <v/>
      </c>
      <c r="AC169" s="310" t="e">
        <f t="shared" ca="1" si="83"/>
        <v>#N/A</v>
      </c>
      <c r="AD169" s="323" t="e">
        <f t="shared" ca="1" si="84"/>
        <v>#N/A</v>
      </c>
      <c r="AE169" s="324">
        <f t="shared" ca="1" si="63"/>
        <v>104.70109531814016</v>
      </c>
      <c r="AG169" s="306">
        <f t="shared" ca="1" si="85"/>
        <v>59.745374081239994</v>
      </c>
      <c r="AH169" s="304">
        <f t="shared" ca="1" si="86"/>
        <v>69.500000455116961</v>
      </c>
    </row>
    <row r="170" spans="1:34" x14ac:dyDescent="0.2">
      <c r="A170" s="347">
        <f t="shared" ca="1" si="64"/>
        <v>0.01</v>
      </c>
      <c r="B170" s="304">
        <f t="shared" ca="1" si="65"/>
        <v>1.6600000000000013</v>
      </c>
      <c r="D170" s="306">
        <f t="shared" ca="1" si="66"/>
        <v>7.3574993490139837</v>
      </c>
      <c r="E170" s="307">
        <f t="shared" ca="1" si="67"/>
        <v>59.087323414452015</v>
      </c>
      <c r="F170" s="304">
        <f t="shared" ca="1" si="68"/>
        <v>59.54363597358487</v>
      </c>
      <c r="G170" s="306">
        <f t="shared" ca="1" si="69"/>
        <v>13.020799301056227</v>
      </c>
      <c r="H170" s="307">
        <f t="shared" ca="1" si="70"/>
        <v>121.83167233219422</v>
      </c>
      <c r="I170" s="304">
        <f t="shared" ca="1" si="71"/>
        <v>122.52549774515313</v>
      </c>
      <c r="J170" s="306">
        <f t="shared" ca="1" si="72"/>
        <v>10.656720490268855</v>
      </c>
      <c r="K170" s="307">
        <f t="shared" ca="1" si="73"/>
        <v>105.91645767529138</v>
      </c>
      <c r="L170" s="304">
        <f t="shared" ca="1" si="58"/>
        <v>106.45121745705639</v>
      </c>
      <c r="M170" s="306">
        <f t="shared" ca="1" si="74"/>
        <v>1.4643251597035134</v>
      </c>
      <c r="N170" s="304">
        <f t="shared" ca="1" si="75"/>
        <v>83.899651485831569</v>
      </c>
      <c r="P170" s="310">
        <f t="shared" ca="1" si="76"/>
        <v>5</v>
      </c>
      <c r="Q170" s="304">
        <f t="shared" ca="1" si="77"/>
        <v>636.36999999999978</v>
      </c>
      <c r="R170" s="306">
        <f t="shared" ca="1" si="78"/>
        <v>0.31936445342674041</v>
      </c>
      <c r="S170" s="307">
        <f t="shared" ca="1" si="79"/>
        <v>8.3896409491005031</v>
      </c>
      <c r="T170" s="304">
        <f t="shared" ca="1" si="59"/>
        <v>82.302377710675941</v>
      </c>
      <c r="U170" s="311">
        <f t="shared" ca="1" si="60"/>
        <v>0</v>
      </c>
      <c r="V170" s="306">
        <f t="shared" ca="1" si="61"/>
        <v>1.2120935840278295</v>
      </c>
      <c r="W170" s="304">
        <f t="shared" ca="1" si="62"/>
        <v>55.59188952735218</v>
      </c>
      <c r="Y170" s="314" t="str">
        <f t="shared" ca="1" si="80"/>
        <v/>
      </c>
      <c r="Z170" s="315" t="str">
        <f t="shared" ca="1" si="81"/>
        <v/>
      </c>
      <c r="AA170" s="316" t="str">
        <f t="shared" ca="1" si="82"/>
        <v/>
      </c>
      <c r="AC170" s="310" t="e">
        <f t="shared" ca="1" si="83"/>
        <v>#N/A</v>
      </c>
      <c r="AD170" s="323" t="e">
        <f t="shared" ca="1" si="84"/>
        <v>#N/A</v>
      </c>
      <c r="AE170" s="324">
        <f t="shared" ca="1" si="63"/>
        <v>105.91645767529138</v>
      </c>
      <c r="AG170" s="306">
        <f t="shared" ca="1" si="85"/>
        <v>59.534523484632743</v>
      </c>
      <c r="AH170" s="304">
        <f t="shared" ca="1" si="86"/>
        <v>69.289060971746025</v>
      </c>
    </row>
    <row r="171" spans="1:34" x14ac:dyDescent="0.2">
      <c r="A171" s="347">
        <f t="shared" ca="1" si="64"/>
        <v>0.01</v>
      </c>
      <c r="B171" s="304">
        <f t="shared" ca="1" si="65"/>
        <v>1.6700000000000013</v>
      </c>
      <c r="D171" s="306">
        <f t="shared" ca="1" si="66"/>
        <v>7.3409095497773498</v>
      </c>
      <c r="E171" s="307">
        <f t="shared" ca="1" si="67"/>
        <v>58.876665557943127</v>
      </c>
      <c r="F171" s="304">
        <f t="shared" ca="1" si="68"/>
        <v>59.332543348822483</v>
      </c>
      <c r="G171" s="306">
        <f t="shared" ca="1" si="69"/>
        <v>13.094208396554</v>
      </c>
      <c r="H171" s="307">
        <f t="shared" ca="1" si="70"/>
        <v>122.42043898777365</v>
      </c>
      <c r="I171" s="304">
        <f t="shared" ca="1" si="71"/>
        <v>123.11873202519426</v>
      </c>
      <c r="J171" s="306">
        <f t="shared" ca="1" si="72"/>
        <v>10.787295528756905</v>
      </c>
      <c r="K171" s="307">
        <f t="shared" ca="1" si="73"/>
        <v>107.13771823189123</v>
      </c>
      <c r="L171" s="304">
        <f t="shared" ca="1" si="58"/>
        <v>107.67941499079969</v>
      </c>
      <c r="M171" s="306">
        <f t="shared" ca="1" si="74"/>
        <v>1.4642404845401567</v>
      </c>
      <c r="N171" s="304">
        <f t="shared" ca="1" si="75"/>
        <v>83.894799956341643</v>
      </c>
      <c r="P171" s="310">
        <f t="shared" ca="1" si="76"/>
        <v>5</v>
      </c>
      <c r="Q171" s="304">
        <f t="shared" ca="1" si="77"/>
        <v>634.90999999999985</v>
      </c>
      <c r="R171" s="306">
        <f t="shared" ca="1" si="78"/>
        <v>0.31863174745065259</v>
      </c>
      <c r="S171" s="307">
        <f t="shared" ca="1" si="79"/>
        <v>8.3864546316259965</v>
      </c>
      <c r="T171" s="304">
        <f t="shared" ca="1" si="59"/>
        <v>82.271119936251026</v>
      </c>
      <c r="U171" s="311">
        <f t="shared" ca="1" si="60"/>
        <v>0</v>
      </c>
      <c r="V171" s="306">
        <f t="shared" ca="1" si="61"/>
        <v>1.2119455606587841</v>
      </c>
      <c r="W171" s="304">
        <f t="shared" ca="1" si="62"/>
        <v>56.124658672846223</v>
      </c>
      <c r="Y171" s="314" t="str">
        <f t="shared" ca="1" si="80"/>
        <v/>
      </c>
      <c r="Z171" s="315" t="str">
        <f t="shared" ca="1" si="81"/>
        <v/>
      </c>
      <c r="AA171" s="316" t="str">
        <f t="shared" ca="1" si="82"/>
        <v/>
      </c>
      <c r="AC171" s="310" t="e">
        <f t="shared" ca="1" si="83"/>
        <v>#N/A</v>
      </c>
      <c r="AD171" s="323" t="e">
        <f t="shared" ca="1" si="84"/>
        <v>#N/A</v>
      </c>
      <c r="AE171" s="324">
        <f t="shared" ca="1" si="63"/>
        <v>107.13771823189123</v>
      </c>
      <c r="AG171" s="306">
        <f t="shared" ca="1" si="85"/>
        <v>59.323383866766655</v>
      </c>
      <c r="AH171" s="304">
        <f t="shared" ca="1" si="86"/>
        <v>69.077832757598472</v>
      </c>
    </row>
    <row r="172" spans="1:34" x14ac:dyDescent="0.2">
      <c r="A172" s="347">
        <f t="shared" ca="1" si="64"/>
        <v>0.01</v>
      </c>
      <c r="B172" s="304">
        <f t="shared" ca="1" si="65"/>
        <v>1.6800000000000013</v>
      </c>
      <c r="D172" s="306">
        <f t="shared" ca="1" si="66"/>
        <v>7.3242302629895395</v>
      </c>
      <c r="E172" s="307">
        <f t="shared" ca="1" si="67"/>
        <v>58.665730406023158</v>
      </c>
      <c r="F172" s="304">
        <f t="shared" ca="1" si="68"/>
        <v>59.12116603228899</v>
      </c>
      <c r="G172" s="306">
        <f t="shared" ca="1" si="69"/>
        <v>13.167450699183895</v>
      </c>
      <c r="H172" s="307">
        <f t="shared" ca="1" si="70"/>
        <v>123.00709629183388</v>
      </c>
      <c r="I172" s="304">
        <f t="shared" ca="1" si="71"/>
        <v>123.70985205740054</v>
      </c>
      <c r="J172" s="306">
        <f t="shared" ca="1" si="72"/>
        <v>10.918603824235595</v>
      </c>
      <c r="K172" s="307">
        <f t="shared" ca="1" si="73"/>
        <v>108.36485590828927</v>
      </c>
      <c r="L172" s="304">
        <f t="shared" ca="1" si="58"/>
        <v>108.91353407862087</v>
      </c>
      <c r="M172" s="306">
        <f t="shared" ca="1" si="74"/>
        <v>1.4641561472126838</v>
      </c>
      <c r="N172" s="304">
        <f t="shared" ca="1" si="75"/>
        <v>83.889967783422037</v>
      </c>
      <c r="P172" s="310">
        <f t="shared" ca="1" si="76"/>
        <v>5</v>
      </c>
      <c r="Q172" s="304">
        <f t="shared" ca="1" si="77"/>
        <v>633.44999999999982</v>
      </c>
      <c r="R172" s="306">
        <f t="shared" ca="1" si="78"/>
        <v>0.31789904147456471</v>
      </c>
      <c r="S172" s="307">
        <f t="shared" ca="1" si="79"/>
        <v>8.3832756412112506</v>
      </c>
      <c r="T172" s="304">
        <f t="shared" ca="1" si="59"/>
        <v>82.239934040282378</v>
      </c>
      <c r="U172" s="311">
        <f t="shared" ca="1" si="60"/>
        <v>0</v>
      </c>
      <c r="V172" s="306">
        <f t="shared" ca="1" si="61"/>
        <v>1.211796843061195</v>
      </c>
      <c r="W172" s="304">
        <f t="shared" ca="1" si="62"/>
        <v>56.657932693860573</v>
      </c>
      <c r="Y172" s="314" t="str">
        <f t="shared" ca="1" si="80"/>
        <v/>
      </c>
      <c r="Z172" s="315" t="str">
        <f t="shared" ca="1" si="81"/>
        <v/>
      </c>
      <c r="AA172" s="316" t="str">
        <f t="shared" ca="1" si="82"/>
        <v/>
      </c>
      <c r="AC172" s="310" t="e">
        <f t="shared" ca="1" si="83"/>
        <v>#N/A</v>
      </c>
      <c r="AD172" s="323" t="e">
        <f t="shared" ca="1" si="84"/>
        <v>#N/A</v>
      </c>
      <c r="AE172" s="324">
        <f t="shared" ca="1" si="63"/>
        <v>108.36485590828927</v>
      </c>
      <c r="AG172" s="306">
        <f t="shared" ca="1" si="85"/>
        <v>59.111959224550709</v>
      </c>
      <c r="AH172" s="304">
        <f t="shared" ca="1" si="86"/>
        <v>68.866319805719669</v>
      </c>
    </row>
    <row r="173" spans="1:34" x14ac:dyDescent="0.2">
      <c r="A173" s="347">
        <f t="shared" ca="1" si="64"/>
        <v>0.01</v>
      </c>
      <c r="B173" s="304">
        <f t="shared" ca="1" si="65"/>
        <v>1.6900000000000013</v>
      </c>
      <c r="D173" s="306">
        <f t="shared" ca="1" si="66"/>
        <v>7.3074623623133599</v>
      </c>
      <c r="E173" s="307">
        <f t="shared" ca="1" si="67"/>
        <v>58.454521886969573</v>
      </c>
      <c r="F173" s="304">
        <f t="shared" ca="1" si="68"/>
        <v>58.90950802044464</v>
      </c>
      <c r="G173" s="306">
        <f t="shared" ca="1" si="69"/>
        <v>13.240525322807029</v>
      </c>
      <c r="H173" s="307">
        <f t="shared" ca="1" si="70"/>
        <v>123.59164151070357</v>
      </c>
      <c r="I173" s="304">
        <f t="shared" ca="1" si="71"/>
        <v>124.29885503146906</v>
      </c>
      <c r="J173" s="306">
        <f t="shared" ca="1" si="72"/>
        <v>11.05064370434555</v>
      </c>
      <c r="K173" s="307">
        <f t="shared" ca="1" si="73"/>
        <v>109.59784959730196</v>
      </c>
      <c r="L173" s="304">
        <f t="shared" ca="1" si="58"/>
        <v>110.15355356334726</v>
      </c>
      <c r="M173" s="306">
        <f t="shared" ca="1" si="74"/>
        <v>1.4640721433428834</v>
      </c>
      <c r="N173" s="304">
        <f t="shared" ca="1" si="75"/>
        <v>83.885154716219702</v>
      </c>
      <c r="P173" s="310">
        <f t="shared" ca="1" si="76"/>
        <v>5</v>
      </c>
      <c r="Q173" s="304">
        <f t="shared" ca="1" si="77"/>
        <v>631.98999999999978</v>
      </c>
      <c r="R173" s="306">
        <f t="shared" ca="1" si="78"/>
        <v>0.31716633549847684</v>
      </c>
      <c r="S173" s="307">
        <f t="shared" ca="1" si="79"/>
        <v>8.3801039778562654</v>
      </c>
      <c r="T173" s="304">
        <f t="shared" ca="1" si="59"/>
        <v>82.20882002276997</v>
      </c>
      <c r="U173" s="311">
        <f t="shared" ca="1" si="60"/>
        <v>0</v>
      </c>
      <c r="V173" s="306">
        <f t="shared" ca="1" si="61"/>
        <v>1.2116474340500665</v>
      </c>
      <c r="W173" s="304">
        <f t="shared" ca="1" si="62"/>
        <v>57.191680204858528</v>
      </c>
      <c r="Y173" s="314" t="str">
        <f t="shared" ca="1" si="80"/>
        <v/>
      </c>
      <c r="Z173" s="315" t="str">
        <f t="shared" ca="1" si="81"/>
        <v/>
      </c>
      <c r="AA173" s="316" t="str">
        <f t="shared" ca="1" si="82"/>
        <v/>
      </c>
      <c r="AC173" s="310" t="e">
        <f t="shared" ca="1" si="83"/>
        <v>#N/A</v>
      </c>
      <c r="AD173" s="323" t="e">
        <f t="shared" ca="1" si="84"/>
        <v>#N/A</v>
      </c>
      <c r="AE173" s="324">
        <f t="shared" ca="1" si="63"/>
        <v>109.59784959730196</v>
      </c>
      <c r="AG173" s="306">
        <f t="shared" ca="1" si="85"/>
        <v>58.900253550174597</v>
      </c>
      <c r="AH173" s="304">
        <f t="shared" ca="1" si="86"/>
        <v>68.654526104497833</v>
      </c>
    </row>
    <row r="174" spans="1:34" x14ac:dyDescent="0.2">
      <c r="A174" s="347">
        <f t="shared" ca="1" si="64"/>
        <v>0.01</v>
      </c>
      <c r="B174" s="304">
        <f t="shared" ca="1" si="65"/>
        <v>1.7000000000000013</v>
      </c>
      <c r="D174" s="306">
        <f t="shared" ca="1" si="66"/>
        <v>7.2906067139019886</v>
      </c>
      <c r="E174" s="307">
        <f t="shared" ca="1" si="67"/>
        <v>58.2430439247766</v>
      </c>
      <c r="F174" s="304">
        <f t="shared" ca="1" si="68"/>
        <v>58.69757330486712</v>
      </c>
      <c r="G174" s="306">
        <f t="shared" ca="1" si="69"/>
        <v>13.313431389946048</v>
      </c>
      <c r="H174" s="307">
        <f t="shared" ca="1" si="70"/>
        <v>124.17407194995134</v>
      </c>
      <c r="I174" s="304">
        <f t="shared" ca="1" si="71"/>
        <v>124.88573817696917</v>
      </c>
      <c r="J174" s="306">
        <f t="shared" ca="1" si="72"/>
        <v>11.183413487909315</v>
      </c>
      <c r="K174" s="307">
        <f t="shared" ca="1" si="73"/>
        <v>110.83667816460523</v>
      </c>
      <c r="L174" s="304">
        <f t="shared" ca="1" si="58"/>
        <v>111.39945225990041</v>
      </c>
      <c r="M174" s="306">
        <f t="shared" ca="1" si="74"/>
        <v>1.4639884686261668</v>
      </c>
      <c r="N174" s="304">
        <f t="shared" ca="1" si="75"/>
        <v>83.880360508099898</v>
      </c>
      <c r="P174" s="310">
        <f t="shared" ca="1" si="76"/>
        <v>5</v>
      </c>
      <c r="Q174" s="304">
        <f t="shared" ca="1" si="77"/>
        <v>630.52999999999975</v>
      </c>
      <c r="R174" s="306">
        <f t="shared" ca="1" si="78"/>
        <v>0.3164336295223889</v>
      </c>
      <c r="S174" s="307">
        <f t="shared" ca="1" si="79"/>
        <v>8.3769396415610409</v>
      </c>
      <c r="T174" s="304">
        <f t="shared" ca="1" si="59"/>
        <v>82.177777883713816</v>
      </c>
      <c r="U174" s="311">
        <f t="shared" ca="1" si="60"/>
        <v>0</v>
      </c>
      <c r="V174" s="306">
        <f t="shared" ca="1" si="61"/>
        <v>1.2114973364435844</v>
      </c>
      <c r="W174" s="304">
        <f t="shared" ca="1" si="62"/>
        <v>57.725869925513948</v>
      </c>
      <c r="Y174" s="314" t="str">
        <f t="shared" ca="1" si="80"/>
        <v/>
      </c>
      <c r="Z174" s="315" t="str">
        <f t="shared" ca="1" si="81"/>
        <v/>
      </c>
      <c r="AA174" s="316" t="str">
        <f t="shared" ca="1" si="82"/>
        <v/>
      </c>
      <c r="AC174" s="310" t="e">
        <f t="shared" ca="1" si="83"/>
        <v>#N/A</v>
      </c>
      <c r="AD174" s="323" t="e">
        <f t="shared" ca="1" si="84"/>
        <v>#N/A</v>
      </c>
      <c r="AE174" s="324">
        <f t="shared" ca="1" si="63"/>
        <v>110.83667816460523</v>
      </c>
      <c r="AG174" s="306">
        <f t="shared" ca="1" si="85"/>
        <v>58.688270830896485</v>
      </c>
      <c r="AH174" s="304">
        <f t="shared" ca="1" si="86"/>
        <v>68.442455637450394</v>
      </c>
    </row>
    <row r="175" spans="1:34" x14ac:dyDescent="0.2">
      <c r="A175" s="347">
        <f t="shared" ca="1" si="64"/>
        <v>0.01</v>
      </c>
      <c r="B175" s="304">
        <f t="shared" ca="1" si="65"/>
        <v>1.7100000000000013</v>
      </c>
      <c r="D175" s="306">
        <f t="shared" ca="1" si="66"/>
        <v>7.2736641765476939</v>
      </c>
      <c r="E175" s="307">
        <f t="shared" ca="1" si="67"/>
        <v>58.031300438930387</v>
      </c>
      <c r="F175" s="304">
        <f t="shared" ca="1" si="68"/>
        <v>58.485365872041825</v>
      </c>
      <c r="G175" s="306">
        <f t="shared" ca="1" si="69"/>
        <v>13.386168031711525</v>
      </c>
      <c r="H175" s="307">
        <f t="shared" ca="1" si="70"/>
        <v>124.75438495434065</v>
      </c>
      <c r="I175" s="304">
        <f t="shared" ca="1" si="71"/>
        <v>125.4704987632911</v>
      </c>
      <c r="J175" s="306">
        <f t="shared" ca="1" si="72"/>
        <v>11.316911485017602</v>
      </c>
      <c r="K175" s="307">
        <f t="shared" ca="1" si="73"/>
        <v>112.08132044912669</v>
      </c>
      <c r="L175" s="304">
        <f t="shared" ca="1" si="58"/>
        <v>112.65120895569453</v>
      </c>
      <c r="M175" s="306">
        <f t="shared" ca="1" si="74"/>
        <v>1.4639051188298657</v>
      </c>
      <c r="N175" s="304">
        <f t="shared" ca="1" si="75"/>
        <v>83.875584916548561</v>
      </c>
      <c r="P175" s="310">
        <f t="shared" ca="1" si="76"/>
        <v>5</v>
      </c>
      <c r="Q175" s="304">
        <f t="shared" ca="1" si="77"/>
        <v>629.06999999999982</v>
      </c>
      <c r="R175" s="306">
        <f t="shared" ca="1" si="78"/>
        <v>0.31570092354630108</v>
      </c>
      <c r="S175" s="307">
        <f t="shared" ca="1" si="79"/>
        <v>8.3737826323255771</v>
      </c>
      <c r="T175" s="304">
        <f t="shared" ca="1" si="59"/>
        <v>82.146807623113915</v>
      </c>
      <c r="U175" s="311">
        <f t="shared" ca="1" si="60"/>
        <v>0</v>
      </c>
      <c r="V175" s="306">
        <f t="shared" ca="1" si="61"/>
        <v>1.2113465530630507</v>
      </c>
      <c r="W175" s="304">
        <f t="shared" ca="1" si="62"/>
        <v>58.260470682104021</v>
      </c>
      <c r="Y175" s="314" t="str">
        <f t="shared" ca="1" si="80"/>
        <v/>
      </c>
      <c r="Z175" s="315" t="str">
        <f t="shared" ca="1" si="81"/>
        <v/>
      </c>
      <c r="AA175" s="316" t="str">
        <f t="shared" ca="1" si="82"/>
        <v/>
      </c>
      <c r="AC175" s="310" t="e">
        <f t="shared" ca="1" si="83"/>
        <v>#N/A</v>
      </c>
      <c r="AD175" s="323" t="e">
        <f t="shared" ca="1" si="84"/>
        <v>#N/A</v>
      </c>
      <c r="AE175" s="324">
        <f t="shared" ca="1" si="63"/>
        <v>112.08132044912669</v>
      </c>
      <c r="AG175" s="306">
        <f t="shared" ca="1" si="85"/>
        <v>58.47601504883216</v>
      </c>
      <c r="AH175" s="304">
        <f t="shared" ca="1" si="86"/>
        <v>68.230112383011729</v>
      </c>
    </row>
    <row r="176" spans="1:34" x14ac:dyDescent="0.2">
      <c r="A176" s="347">
        <f t="shared" ca="1" si="64"/>
        <v>0.01</v>
      </c>
      <c r="B176" s="304">
        <f t="shared" ca="1" si="65"/>
        <v>1.7200000000000013</v>
      </c>
      <c r="D176" s="306">
        <f t="shared" ca="1" si="66"/>
        <v>7.2566356018255798</v>
      </c>
      <c r="E176" s="307">
        <f t="shared" ca="1" si="67"/>
        <v>57.819295344186102</v>
      </c>
      <c r="F176" s="304">
        <f t="shared" ca="1" si="68"/>
        <v>58.272889703153588</v>
      </c>
      <c r="G176" s="306">
        <f t="shared" ca="1" si="69"/>
        <v>13.45873438772978</v>
      </c>
      <c r="H176" s="307">
        <f t="shared" ca="1" si="70"/>
        <v>125.33257790778251</v>
      </c>
      <c r="I176" s="304">
        <f t="shared" ca="1" si="71"/>
        <v>126.05313409959244</v>
      </c>
      <c r="J176" s="306">
        <f t="shared" ca="1" si="72"/>
        <v>11.451135997114809</v>
      </c>
      <c r="K176" s="307">
        <f t="shared" ca="1" si="73"/>
        <v>113.33175526343732</v>
      </c>
      <c r="L176" s="304">
        <f t="shared" ca="1" si="58"/>
        <v>113.90880241103439</v>
      </c>
      <c r="M176" s="306">
        <f t="shared" ca="1" si="74"/>
        <v>1.4638220897915772</v>
      </c>
      <c r="N176" s="304">
        <f t="shared" ca="1" si="75"/>
        <v>83.870827703077609</v>
      </c>
      <c r="P176" s="310">
        <f t="shared" ca="1" si="76"/>
        <v>5</v>
      </c>
      <c r="Q176" s="304">
        <f t="shared" ca="1" si="77"/>
        <v>627.60999999999979</v>
      </c>
      <c r="R176" s="306">
        <f t="shared" ca="1" si="78"/>
        <v>0.3149682175702132</v>
      </c>
      <c r="S176" s="307">
        <f t="shared" ca="1" si="79"/>
        <v>8.3706329501498757</v>
      </c>
      <c r="T176" s="304">
        <f t="shared" ca="1" si="59"/>
        <v>82.115909240970282</v>
      </c>
      <c r="U176" s="311">
        <f t="shared" ca="1" si="60"/>
        <v>0</v>
      </c>
      <c r="V176" s="306">
        <f t="shared" ca="1" si="61"/>
        <v>1.2111950867328205</v>
      </c>
      <c r="W176" s="304">
        <f t="shared" ca="1" si="62"/>
        <v>58.795451408886699</v>
      </c>
      <c r="Y176" s="314" t="str">
        <f t="shared" ca="1" si="80"/>
        <v/>
      </c>
      <c r="Z176" s="315" t="str">
        <f t="shared" ca="1" si="81"/>
        <v/>
      </c>
      <c r="AA176" s="316" t="str">
        <f t="shared" ca="1" si="82"/>
        <v/>
      </c>
      <c r="AC176" s="310" t="e">
        <f t="shared" ca="1" si="83"/>
        <v>#N/A</v>
      </c>
      <c r="AD176" s="323" t="e">
        <f t="shared" ca="1" si="84"/>
        <v>#N/A</v>
      </c>
      <c r="AE176" s="324">
        <f t="shared" ca="1" si="63"/>
        <v>113.33175526343732</v>
      </c>
      <c r="AG176" s="306">
        <f t="shared" ca="1" si="85"/>
        <v>58.263490180745464</v>
      </c>
      <c r="AH176" s="304">
        <f t="shared" ca="1" si="86"/>
        <v>68.017500314322305</v>
      </c>
    </row>
    <row r="177" spans="1:34" x14ac:dyDescent="0.2">
      <c r="A177" s="347">
        <f t="shared" ca="1" si="64"/>
        <v>0.01</v>
      </c>
      <c r="B177" s="304">
        <f t="shared" ca="1" si="65"/>
        <v>1.7300000000000013</v>
      </c>
      <c r="D177" s="306">
        <f t="shared" ca="1" si="66"/>
        <v>7.2395218342326055</v>
      </c>
      <c r="E177" s="307">
        <f t="shared" ca="1" si="67"/>
        <v>57.607032550346815</v>
      </c>
      <c r="F177" s="304">
        <f t="shared" ca="1" si="68"/>
        <v>58.060148773879732</v>
      </c>
      <c r="G177" s="306">
        <f t="shared" ca="1" si="69"/>
        <v>13.531129606072106</v>
      </c>
      <c r="H177" s="307">
        <f t="shared" ca="1" si="70"/>
        <v>125.90864823328597</v>
      </c>
      <c r="I177" s="304">
        <f t="shared" ca="1" si="71"/>
        <v>126.63364153474252</v>
      </c>
      <c r="J177" s="306">
        <f t="shared" ca="1" si="72"/>
        <v>11.586085317083819</v>
      </c>
      <c r="K177" s="307">
        <f t="shared" ca="1" si="73"/>
        <v>114.58796139414265</v>
      </c>
      <c r="L177" s="304">
        <f t="shared" ca="1" si="58"/>
        <v>115.17221135951273</v>
      </c>
      <c r="M177" s="306">
        <f t="shared" ca="1" si="74"/>
        <v>1.4637393774175569</v>
      </c>
      <c r="N177" s="304">
        <f t="shared" ca="1" si="75"/>
        <v>83.866088633132733</v>
      </c>
      <c r="P177" s="310">
        <f t="shared" ca="1" si="76"/>
        <v>5</v>
      </c>
      <c r="Q177" s="304">
        <f t="shared" ca="1" si="77"/>
        <v>626.14999999999975</v>
      </c>
      <c r="R177" s="306">
        <f t="shared" ca="1" si="78"/>
        <v>0.31423551159412527</v>
      </c>
      <c r="S177" s="307">
        <f t="shared" ca="1" si="79"/>
        <v>8.3674905950339351</v>
      </c>
      <c r="T177" s="304">
        <f t="shared" ca="1" si="59"/>
        <v>82.085082737282903</v>
      </c>
      <c r="U177" s="311">
        <f t="shared" ca="1" si="60"/>
        <v>0</v>
      </c>
      <c r="V177" s="306">
        <f t="shared" ca="1" si="61"/>
        <v>1.2110429402802347</v>
      </c>
      <c r="W177" s="304">
        <f t="shared" ca="1" si="62"/>
        <v>59.330781149462553</v>
      </c>
      <c r="Y177" s="314" t="str">
        <f t="shared" ca="1" si="80"/>
        <v/>
      </c>
      <c r="Z177" s="315" t="str">
        <f t="shared" ca="1" si="81"/>
        <v/>
      </c>
      <c r="AA177" s="316" t="str">
        <f t="shared" ca="1" si="82"/>
        <v/>
      </c>
      <c r="AC177" s="310" t="e">
        <f t="shared" ca="1" si="83"/>
        <v>#N/A</v>
      </c>
      <c r="AD177" s="323" t="e">
        <f t="shared" ca="1" si="84"/>
        <v>#N/A</v>
      </c>
      <c r="AE177" s="324">
        <f t="shared" ca="1" si="63"/>
        <v>114.58796139414265</v>
      </c>
      <c r="AG177" s="306">
        <f t="shared" ca="1" si="85"/>
        <v>58.050700197840399</v>
      </c>
      <c r="AH177" s="304">
        <f t="shared" ca="1" si="86"/>
        <v>67.804623399019434</v>
      </c>
    </row>
    <row r="178" spans="1:34" x14ac:dyDescent="0.2">
      <c r="A178" s="347">
        <f t="shared" ca="1" si="64"/>
        <v>0.01</v>
      </c>
      <c r="B178" s="304">
        <f t="shared" ca="1" si="65"/>
        <v>1.7400000000000013</v>
      </c>
      <c r="D178" s="306">
        <f t="shared" ca="1" si="66"/>
        <v>7.2223237113219909</v>
      </c>
      <c r="E178" s="307">
        <f t="shared" ca="1" si="67"/>
        <v>57.394515962044224</v>
      </c>
      <c r="F178" s="304">
        <f t="shared" ca="1" si="68"/>
        <v>57.847147054184731</v>
      </c>
      <c r="G178" s="306">
        <f t="shared" ca="1" si="69"/>
        <v>13.603352843185327</v>
      </c>
      <c r="H178" s="307">
        <f t="shared" ca="1" si="70"/>
        <v>126.48259339290641</v>
      </c>
      <c r="I178" s="304">
        <f t="shared" ca="1" si="71"/>
        <v>127.21201845726483</v>
      </c>
      <c r="J178" s="306">
        <f t="shared" ca="1" si="72"/>
        <v>11.721757729330106</v>
      </c>
      <c r="K178" s="307">
        <f t="shared" ca="1" si="73"/>
        <v>115.84991760227362</v>
      </c>
      <c r="L178" s="304">
        <f t="shared" ca="1" si="58"/>
        <v>116.44141450840718</v>
      </c>
      <c r="M178" s="306">
        <f t="shared" ca="1" si="74"/>
        <v>1.4636569776811574</v>
      </c>
      <c r="N178" s="304">
        <f t="shared" ca="1" si="75"/>
        <v>83.861367476004048</v>
      </c>
      <c r="P178" s="310">
        <f t="shared" ca="1" si="76"/>
        <v>5</v>
      </c>
      <c r="Q178" s="304">
        <f t="shared" ca="1" si="77"/>
        <v>624.68999999999983</v>
      </c>
      <c r="R178" s="306">
        <f t="shared" ca="1" si="78"/>
        <v>0.31350280561803745</v>
      </c>
      <c r="S178" s="307">
        <f t="shared" ca="1" si="79"/>
        <v>8.3643555669777552</v>
      </c>
      <c r="T178" s="304">
        <f t="shared" ca="1" si="59"/>
        <v>82.054328112051778</v>
      </c>
      <c r="U178" s="311">
        <f t="shared" ca="1" si="60"/>
        <v>0</v>
      </c>
      <c r="V178" s="306">
        <f t="shared" ca="1" si="61"/>
        <v>1.2108901165355581</v>
      </c>
      <c r="W178" s="304">
        <f t="shared" ca="1" si="62"/>
        <v>59.866429058121383</v>
      </c>
      <c r="Y178" s="314" t="str">
        <f t="shared" ca="1" si="80"/>
        <v/>
      </c>
      <c r="Z178" s="315" t="str">
        <f t="shared" ca="1" si="81"/>
        <v/>
      </c>
      <c r="AA178" s="316" t="str">
        <f t="shared" ca="1" si="82"/>
        <v/>
      </c>
      <c r="AC178" s="310" t="e">
        <f t="shared" ca="1" si="83"/>
        <v>#N/A</v>
      </c>
      <c r="AD178" s="323" t="e">
        <f t="shared" ca="1" si="84"/>
        <v>#N/A</v>
      </c>
      <c r="AE178" s="324">
        <f t="shared" ca="1" si="63"/>
        <v>115.84991760227362</v>
      </c>
      <c r="AG178" s="306">
        <f t="shared" ca="1" si="85"/>
        <v>57.837649065554373</v>
      </c>
      <c r="AH178" s="304">
        <f t="shared" ca="1" si="86"/>
        <v>67.591485599029269</v>
      </c>
    </row>
    <row r="179" spans="1:34" x14ac:dyDescent="0.2">
      <c r="A179" s="347">
        <f t="shared" ca="1" si="64"/>
        <v>0.01</v>
      </c>
      <c r="B179" s="304">
        <f t="shared" ca="1" si="65"/>
        <v>1.7500000000000013</v>
      </c>
      <c r="D179" s="306">
        <f t="shared" ca="1" si="66"/>
        <v>7.2050420638331554</v>
      </c>
      <c r="E179" s="307">
        <f t="shared" ca="1" si="67"/>
        <v>57.181749478520942</v>
      </c>
      <c r="F179" s="304">
        <f t="shared" ca="1" si="68"/>
        <v>57.633888508115916</v>
      </c>
      <c r="G179" s="306">
        <f t="shared" ca="1" si="69"/>
        <v>13.675403263823659</v>
      </c>
      <c r="H179" s="307">
        <f t="shared" ca="1" si="70"/>
        <v>127.05441088769162</v>
      </c>
      <c r="I179" s="304">
        <f t="shared" ca="1" si="71"/>
        <v>127.78826229527721</v>
      </c>
      <c r="J179" s="306">
        <f t="shared" ca="1" si="72"/>
        <v>11.85815150986515</v>
      </c>
      <c r="K179" s="307">
        <f t="shared" ca="1" si="73"/>
        <v>117.11760262367662</v>
      </c>
      <c r="L179" s="304">
        <f t="shared" ca="1" si="58"/>
        <v>117.71639053907633</v>
      </c>
      <c r="M179" s="306">
        <f t="shared" ca="1" si="74"/>
        <v>1.4635748866213119</v>
      </c>
      <c r="N179" s="304">
        <f t="shared" ca="1" si="75"/>
        <v>83.856664004739145</v>
      </c>
      <c r="P179" s="310">
        <f t="shared" ca="1" si="76"/>
        <v>5</v>
      </c>
      <c r="Q179" s="304">
        <f t="shared" ca="1" si="77"/>
        <v>623.22999999999979</v>
      </c>
      <c r="R179" s="306">
        <f t="shared" ca="1" si="78"/>
        <v>0.31277009964194957</v>
      </c>
      <c r="S179" s="307">
        <f t="shared" ca="1" si="79"/>
        <v>8.3612278659813359</v>
      </c>
      <c r="T179" s="304">
        <f t="shared" ca="1" si="59"/>
        <v>82.023645365276906</v>
      </c>
      <c r="U179" s="311">
        <f t="shared" ca="1" si="60"/>
        <v>0</v>
      </c>
      <c r="V179" s="306">
        <f t="shared" ca="1" si="61"/>
        <v>1.2107366183319135</v>
      </c>
      <c r="W179" s="304">
        <f t="shared" ca="1" si="62"/>
        <v>60.402364401173173</v>
      </c>
      <c r="Y179" s="314" t="str">
        <f t="shared" ca="1" si="80"/>
        <v/>
      </c>
      <c r="Z179" s="315" t="str">
        <f t="shared" ca="1" si="81"/>
        <v/>
      </c>
      <c r="AA179" s="316" t="str">
        <f t="shared" ca="1" si="82"/>
        <v/>
      </c>
      <c r="AC179" s="310" t="e">
        <f t="shared" ca="1" si="83"/>
        <v>#N/A</v>
      </c>
      <c r="AD179" s="323" t="e">
        <f t="shared" ca="1" si="84"/>
        <v>#N/A</v>
      </c>
      <c r="AE179" s="324">
        <f t="shared" ca="1" si="63"/>
        <v>117.11760262367662</v>
      </c>
      <c r="AG179" s="306">
        <f t="shared" ca="1" si="85"/>
        <v>57.624340743352818</v>
      </c>
      <c r="AH179" s="304">
        <f t="shared" ca="1" si="86"/>
        <v>67.378090870360197</v>
      </c>
    </row>
    <row r="180" spans="1:34" x14ac:dyDescent="0.2">
      <c r="A180" s="347">
        <f t="shared" ca="1" si="64"/>
        <v>0.01</v>
      </c>
      <c r="B180" s="304">
        <f t="shared" ca="1" si="65"/>
        <v>1.7600000000000013</v>
      </c>
      <c r="D180" s="306">
        <f t="shared" ca="1" si="66"/>
        <v>7.1876777158174079</v>
      </c>
      <c r="E180" s="307">
        <f t="shared" ca="1" si="67"/>
        <v>56.968736993415021</v>
      </c>
      <c r="F180" s="304">
        <f t="shared" ca="1" si="68"/>
        <v>57.420377093601111</v>
      </c>
      <c r="G180" s="306">
        <f t="shared" ca="1" si="69"/>
        <v>13.747280040981833</v>
      </c>
      <c r="H180" s="307">
        <f t="shared" ca="1" si="70"/>
        <v>127.62409825762576</v>
      </c>
      <c r="I180" s="304">
        <f t="shared" ca="1" si="71"/>
        <v>128.36237051643013</v>
      </c>
      <c r="J180" s="306">
        <f t="shared" ca="1" si="72"/>
        <v>11.995264926389178</v>
      </c>
      <c r="K180" s="307">
        <f t="shared" ca="1" si="73"/>
        <v>118.3909951694032</v>
      </c>
      <c r="L180" s="304">
        <f t="shared" ca="1" si="58"/>
        <v>118.9971181073555</v>
      </c>
      <c r="M180" s="306">
        <f t="shared" ca="1" si="74"/>
        <v>1.4634931003410585</v>
      </c>
      <c r="N180" s="304">
        <f t="shared" ca="1" si="75"/>
        <v>83.851977996058551</v>
      </c>
      <c r="P180" s="310">
        <f t="shared" ca="1" si="76"/>
        <v>5</v>
      </c>
      <c r="Q180" s="304">
        <f t="shared" ca="1" si="77"/>
        <v>621.76999999999975</v>
      </c>
      <c r="R180" s="306">
        <f t="shared" ca="1" si="78"/>
        <v>0.3120373936658617</v>
      </c>
      <c r="S180" s="307">
        <f t="shared" ca="1" si="79"/>
        <v>8.3581074920446774</v>
      </c>
      <c r="T180" s="304">
        <f t="shared" ca="1" si="59"/>
        <v>81.993034496958288</v>
      </c>
      <c r="U180" s="311">
        <f t="shared" ca="1" si="60"/>
        <v>0</v>
      </c>
      <c r="V180" s="306">
        <f t="shared" ca="1" si="61"/>
        <v>1.2105824485052168</v>
      </c>
      <c r="W180" s="304">
        <f t="shared" ca="1" si="62"/>
        <v>60.938556558263393</v>
      </c>
      <c r="Y180" s="314" t="str">
        <f t="shared" ca="1" si="80"/>
        <v/>
      </c>
      <c r="Z180" s="315" t="str">
        <f t="shared" ca="1" si="81"/>
        <v/>
      </c>
      <c r="AA180" s="316" t="str">
        <f t="shared" ca="1" si="82"/>
        <v/>
      </c>
      <c r="AC180" s="310" t="e">
        <f t="shared" ca="1" si="83"/>
        <v>#N/A</v>
      </c>
      <c r="AD180" s="323" t="e">
        <f t="shared" ca="1" si="84"/>
        <v>#N/A</v>
      </c>
      <c r="AE180" s="324">
        <f t="shared" ca="1" si="63"/>
        <v>118.3909951694032</v>
      </c>
      <c r="AG180" s="306">
        <f t="shared" ca="1" si="85"/>
        <v>57.410779184525552</v>
      </c>
      <c r="AH180" s="304">
        <f t="shared" ca="1" si="86"/>
        <v>67.164443162897996</v>
      </c>
    </row>
    <row r="181" spans="1:34" x14ac:dyDescent="0.2">
      <c r="A181" s="347">
        <f t="shared" ca="1" si="64"/>
        <v>0.01</v>
      </c>
      <c r="B181" s="304">
        <f t="shared" ca="1" si="65"/>
        <v>1.7700000000000014</v>
      </c>
      <c r="D181" s="306">
        <f t="shared" ca="1" si="66"/>
        <v>7.1702314847594995</v>
      </c>
      <c r="E181" s="307">
        <f t="shared" ca="1" si="67"/>
        <v>56.755482394545936</v>
      </c>
      <c r="F181" s="304">
        <f t="shared" ca="1" si="68"/>
        <v>57.206616762247442</v>
      </c>
      <c r="G181" s="306">
        <f t="shared" ca="1" si="69"/>
        <v>13.818982355829428</v>
      </c>
      <c r="H181" s="307">
        <f t="shared" ca="1" si="70"/>
        <v>128.19165308157122</v>
      </c>
      <c r="I181" s="304">
        <f t="shared" ca="1" si="71"/>
        <v>128.93434062784294</v>
      </c>
      <c r="J181" s="306">
        <f t="shared" ca="1" si="72"/>
        <v>12.133096238373234</v>
      </c>
      <c r="K181" s="307">
        <f t="shared" ca="1" si="73"/>
        <v>119.67007392609918</v>
      </c>
      <c r="L181" s="304">
        <f t="shared" ca="1" si="58"/>
        <v>120.28357584395165</v>
      </c>
      <c r="M181" s="306">
        <f t="shared" ca="1" si="74"/>
        <v>1.4634116150061069</v>
      </c>
      <c r="N181" s="304">
        <f t="shared" ca="1" si="75"/>
        <v>83.847309230273623</v>
      </c>
      <c r="P181" s="310">
        <f t="shared" ca="1" si="76"/>
        <v>5</v>
      </c>
      <c r="Q181" s="304">
        <f t="shared" ca="1" si="77"/>
        <v>620.30999999999983</v>
      </c>
      <c r="R181" s="306">
        <f t="shared" ca="1" si="78"/>
        <v>0.31130468768977382</v>
      </c>
      <c r="S181" s="307">
        <f t="shared" ca="1" si="79"/>
        <v>8.3549944451677796</v>
      </c>
      <c r="T181" s="304">
        <f t="shared" ca="1" si="59"/>
        <v>81.962495507095923</v>
      </c>
      <c r="U181" s="311">
        <f t="shared" ca="1" si="60"/>
        <v>0</v>
      </c>
      <c r="V181" s="306">
        <f t="shared" ca="1" si="61"/>
        <v>1.2104276098941154</v>
      </c>
      <c r="W181" s="304">
        <f t="shared" ca="1" si="62"/>
        <v>61.474975023672975</v>
      </c>
      <c r="Y181" s="314" t="str">
        <f t="shared" ca="1" si="80"/>
        <v/>
      </c>
      <c r="Z181" s="315" t="str">
        <f t="shared" ca="1" si="81"/>
        <v/>
      </c>
      <c r="AA181" s="316" t="str">
        <f t="shared" ca="1" si="82"/>
        <v/>
      </c>
      <c r="AC181" s="310" t="e">
        <f t="shared" ca="1" si="83"/>
        <v>#N/A</v>
      </c>
      <c r="AD181" s="323" t="e">
        <f t="shared" ca="1" si="84"/>
        <v>#N/A</v>
      </c>
      <c r="AE181" s="324">
        <f t="shared" ca="1" si="63"/>
        <v>119.67007392609918</v>
      </c>
      <c r="AG181" s="306">
        <f t="shared" ca="1" si="85"/>
        <v>57.196968335984259</v>
      </c>
      <c r="AH181" s="304">
        <f t="shared" ca="1" si="86"/>
        <v>66.950546420202144</v>
      </c>
    </row>
    <row r="182" spans="1:34" x14ac:dyDescent="0.2">
      <c r="A182" s="347">
        <f t="shared" ca="1" si="64"/>
        <v>0.01</v>
      </c>
      <c r="B182" s="304">
        <f t="shared" ca="1" si="65"/>
        <v>1.7800000000000014</v>
      </c>
      <c r="D182" s="306">
        <f t="shared" ca="1" si="66"/>
        <v>7.1527041816952641</v>
      </c>
      <c r="E182" s="307">
        <f t="shared" ca="1" si="67"/>
        <v>56.541989563702501</v>
      </c>
      <c r="F182" s="304">
        <f t="shared" ca="1" si="68"/>
        <v>56.992611459141649</v>
      </c>
      <c r="G182" s="306">
        <f t="shared" ca="1" si="69"/>
        <v>13.890509397646381</v>
      </c>
      <c r="H182" s="307">
        <f t="shared" ca="1" si="70"/>
        <v>128.75707297720825</v>
      </c>
      <c r="I182" s="304">
        <f t="shared" ca="1" si="71"/>
        <v>129.50417017603809</v>
      </c>
      <c r="J182" s="306">
        <f t="shared" ca="1" si="72"/>
        <v>12.271643697140613</v>
      </c>
      <c r="K182" s="307">
        <f t="shared" ca="1" si="73"/>
        <v>120.95481755639308</v>
      </c>
      <c r="L182" s="304">
        <f t="shared" ca="1" si="58"/>
        <v>121.57574235483781</v>
      </c>
      <c r="M182" s="306">
        <f t="shared" ca="1" si="74"/>
        <v>1.4633304268434453</v>
      </c>
      <c r="N182" s="304">
        <f t="shared" ca="1" si="75"/>
        <v>83.84265749120668</v>
      </c>
      <c r="P182" s="310">
        <f t="shared" ca="1" si="76"/>
        <v>5</v>
      </c>
      <c r="Q182" s="304">
        <f t="shared" ca="1" si="77"/>
        <v>618.8499999999998</v>
      </c>
      <c r="R182" s="306">
        <f t="shared" ca="1" si="78"/>
        <v>0.31057198171368594</v>
      </c>
      <c r="S182" s="307">
        <f t="shared" ca="1" si="79"/>
        <v>8.3518887253506424</v>
      </c>
      <c r="T182" s="304">
        <f t="shared" ca="1" si="59"/>
        <v>81.932028395689812</v>
      </c>
      <c r="U182" s="311">
        <f t="shared" ca="1" si="60"/>
        <v>0</v>
      </c>
      <c r="V182" s="306">
        <f t="shared" ca="1" si="61"/>
        <v>1.2102721053399217</v>
      </c>
      <c r="W182" s="304">
        <f t="shared" ca="1" si="62"/>
        <v>62.011589407602337</v>
      </c>
      <c r="Y182" s="314" t="str">
        <f t="shared" ca="1" si="80"/>
        <v/>
      </c>
      <c r="Z182" s="315" t="str">
        <f t="shared" ca="1" si="81"/>
        <v/>
      </c>
      <c r="AA182" s="316" t="str">
        <f t="shared" ca="1" si="82"/>
        <v/>
      </c>
      <c r="AC182" s="310" t="e">
        <f t="shared" ca="1" si="83"/>
        <v>#N/A</v>
      </c>
      <c r="AD182" s="323" t="e">
        <f t="shared" ca="1" si="84"/>
        <v>#N/A</v>
      </c>
      <c r="AE182" s="324">
        <f t="shared" ca="1" si="63"/>
        <v>120.95481755639308</v>
      </c>
      <c r="AG182" s="306">
        <f t="shared" ca="1" si="85"/>
        <v>56.98291213806165</v>
      </c>
      <c r="AH182" s="304">
        <f t="shared" ca="1" si="86"/>
        <v>66.736404579303851</v>
      </c>
    </row>
    <row r="183" spans="1:34" x14ac:dyDescent="0.2">
      <c r="A183" s="347">
        <f t="shared" ca="1" si="64"/>
        <v>0.01</v>
      </c>
      <c r="B183" s="304">
        <f t="shared" ca="1" si="65"/>
        <v>1.7900000000000014</v>
      </c>
      <c r="D183" s="306">
        <f t="shared" ca="1" si="66"/>
        <v>7.1350966113252845</v>
      </c>
      <c r="E183" s="307">
        <f t="shared" ca="1" si="67"/>
        <v>56.328262376432761</v>
      </c>
      <c r="F183" s="304">
        <f t="shared" ca="1" si="68"/>
        <v>56.778365122652097</v>
      </c>
      <c r="G183" s="306">
        <f t="shared" ca="1" si="69"/>
        <v>13.961860363759634</v>
      </c>
      <c r="H183" s="307">
        <f t="shared" ca="1" si="70"/>
        <v>129.32035560097259</v>
      </c>
      <c r="I183" s="304">
        <f t="shared" ca="1" si="71"/>
        <v>130.07185674687329</v>
      </c>
      <c r="J183" s="306">
        <f t="shared" ca="1" si="72"/>
        <v>12.410905545947642</v>
      </c>
      <c r="K183" s="307">
        <f t="shared" ca="1" si="73"/>
        <v>122.24520469928399</v>
      </c>
      <c r="L183" s="304">
        <f t="shared" ca="1" si="58"/>
        <v>122.87359622164674</v>
      </c>
      <c r="M183" s="306">
        <f t="shared" ca="1" si="74"/>
        <v>1.4632495321399839</v>
      </c>
      <c r="N183" s="304">
        <f t="shared" ca="1" si="75"/>
        <v>83.838022566113381</v>
      </c>
      <c r="P183" s="310">
        <f t="shared" ca="1" si="76"/>
        <v>5</v>
      </c>
      <c r="Q183" s="304">
        <f t="shared" ca="1" si="77"/>
        <v>617.38999999999976</v>
      </c>
      <c r="R183" s="306">
        <f t="shared" ca="1" si="78"/>
        <v>0.30983927573759806</v>
      </c>
      <c r="S183" s="307">
        <f t="shared" ca="1" si="79"/>
        <v>8.348790332593266</v>
      </c>
      <c r="T183" s="304">
        <f t="shared" ca="1" si="59"/>
        <v>81.901633162739941</v>
      </c>
      <c r="U183" s="311">
        <f t="shared" ca="1" si="60"/>
        <v>0</v>
      </c>
      <c r="V183" s="306">
        <f t="shared" ca="1" si="61"/>
        <v>1.2101159376865509</v>
      </c>
      <c r="W183" s="304">
        <f t="shared" ca="1" si="62"/>
        <v>62.548369437439753</v>
      </c>
      <c r="Y183" s="314" t="str">
        <f t="shared" ca="1" si="80"/>
        <v/>
      </c>
      <c r="Z183" s="315" t="str">
        <f t="shared" ca="1" si="81"/>
        <v/>
      </c>
      <c r="AA183" s="316" t="str">
        <f t="shared" ca="1" si="82"/>
        <v/>
      </c>
      <c r="AC183" s="310" t="e">
        <f t="shared" ca="1" si="83"/>
        <v>#N/A</v>
      </c>
      <c r="AD183" s="323" t="e">
        <f t="shared" ca="1" si="84"/>
        <v>#N/A</v>
      </c>
      <c r="AE183" s="324">
        <f t="shared" ca="1" si="63"/>
        <v>122.24520469928399</v>
      </c>
      <c r="AG183" s="306">
        <f t="shared" ca="1" si="85"/>
        <v>56.768614524312049</v>
      </c>
      <c r="AH183" s="304">
        <f t="shared" ca="1" si="86"/>
        <v>66.522021570505558</v>
      </c>
    </row>
    <row r="184" spans="1:34" x14ac:dyDescent="0.2">
      <c r="A184" s="347">
        <f t="shared" ca="1" si="64"/>
        <v>0.01</v>
      </c>
      <c r="B184" s="304">
        <f t="shared" ca="1" si="65"/>
        <v>1.8000000000000014</v>
      </c>
      <c r="D184" s="306">
        <f t="shared" ca="1" si="66"/>
        <v>7.1174095721249815</v>
      </c>
      <c r="E184" s="307">
        <f t="shared" ca="1" si="67"/>
        <v>56.114304701835351</v>
      </c>
      <c r="F184" s="304">
        <f t="shared" ca="1" si="68"/>
        <v>56.563881684232008</v>
      </c>
      <c r="G184" s="306">
        <f t="shared" ca="1" si="69"/>
        <v>14.033034459480884</v>
      </c>
      <c r="H184" s="307">
        <f t="shared" ca="1" si="70"/>
        <v>129.88149864799095</v>
      </c>
      <c r="I184" s="304">
        <f t="shared" ca="1" si="71"/>
        <v>130.63739796547179</v>
      </c>
      <c r="J184" s="306">
        <f t="shared" ca="1" si="72"/>
        <v>12.550880020063845</v>
      </c>
      <c r="K184" s="307">
        <f t="shared" ca="1" si="73"/>
        <v>123.5412139705288</v>
      </c>
      <c r="L184" s="304">
        <f t="shared" ca="1" si="58"/>
        <v>124.17711600206384</v>
      </c>
      <c r="M184" s="306">
        <f t="shared" ca="1" si="74"/>
        <v>1.4631689272412385</v>
      </c>
      <c r="N184" s="304">
        <f t="shared" ca="1" si="75"/>
        <v>83.833404245607198</v>
      </c>
      <c r="P184" s="310">
        <f t="shared" ca="1" si="76"/>
        <v>5</v>
      </c>
      <c r="Q184" s="304">
        <f t="shared" ca="1" si="77"/>
        <v>615.92999999999984</v>
      </c>
      <c r="R184" s="306">
        <f t="shared" ca="1" si="78"/>
        <v>0.30910656976151019</v>
      </c>
      <c r="S184" s="307">
        <f t="shared" ca="1" si="79"/>
        <v>8.3456992668956502</v>
      </c>
      <c r="T184" s="304">
        <f t="shared" ca="1" si="59"/>
        <v>81.871309808246338</v>
      </c>
      <c r="U184" s="311">
        <f t="shared" ca="1" si="60"/>
        <v>0</v>
      </c>
      <c r="V184" s="306">
        <f t="shared" ca="1" si="61"/>
        <v>1.2099591097804563</v>
      </c>
      <c r="W184" s="304">
        <f t="shared" ca="1" si="62"/>
        <v>63.085284959014011</v>
      </c>
      <c r="Y184" s="314" t="str">
        <f t="shared" ca="1" si="80"/>
        <v/>
      </c>
      <c r="Z184" s="315" t="str">
        <f t="shared" ca="1" si="81"/>
        <v/>
      </c>
      <c r="AA184" s="316" t="str">
        <f t="shared" ca="1" si="82"/>
        <v/>
      </c>
      <c r="AC184" s="310" t="e">
        <f t="shared" ca="1" si="83"/>
        <v>#N/A</v>
      </c>
      <c r="AD184" s="323" t="e">
        <f t="shared" ca="1" si="84"/>
        <v>#N/A</v>
      </c>
      <c r="AE184" s="324">
        <f t="shared" ca="1" si="63"/>
        <v>123.5412139705288</v>
      </c>
      <c r="AG184" s="306">
        <f t="shared" ca="1" si="85"/>
        <v>56.554079421313396</v>
      </c>
      <c r="AH184" s="304">
        <f t="shared" ca="1" si="86"/>
        <v>66.307401317181828</v>
      </c>
    </row>
    <row r="185" spans="1:34" x14ac:dyDescent="0.2">
      <c r="A185" s="347">
        <f t="shared" ca="1" si="64"/>
        <v>0.01</v>
      </c>
      <c r="B185" s="304">
        <f t="shared" ca="1" si="65"/>
        <v>1.8100000000000014</v>
      </c>
      <c r="D185" s="306">
        <f t="shared" ca="1" si="66"/>
        <v>7.0996438564510065</v>
      </c>
      <c r="E185" s="307">
        <f t="shared" ca="1" si="67"/>
        <v>55.900120402353096</v>
      </c>
      <c r="F185" s="304">
        <f t="shared" ca="1" si="68"/>
        <v>56.349165068224529</v>
      </c>
      <c r="G185" s="306">
        <f t="shared" ca="1" si="69"/>
        <v>14.104030898045394</v>
      </c>
      <c r="H185" s="307">
        <f t="shared" ca="1" si="70"/>
        <v>130.44049985201448</v>
      </c>
      <c r="I185" s="304">
        <f t="shared" ca="1" si="71"/>
        <v>131.20079149615071</v>
      </c>
      <c r="J185" s="306">
        <f t="shared" ca="1" si="72"/>
        <v>12.691565346851476</v>
      </c>
      <c r="K185" s="307">
        <f t="shared" ca="1" si="73"/>
        <v>124.84282396302883</v>
      </c>
      <c r="L185" s="304">
        <f t="shared" ca="1" si="58"/>
        <v>125.48628023021962</v>
      </c>
      <c r="M185" s="306">
        <f t="shared" ca="1" si="74"/>
        <v>1.4630886085500463</v>
      </c>
      <c r="N185" s="304">
        <f t="shared" ca="1" si="75"/>
        <v>83.828802323585862</v>
      </c>
      <c r="P185" s="310">
        <f t="shared" ca="1" si="76"/>
        <v>5</v>
      </c>
      <c r="Q185" s="304">
        <f t="shared" ca="1" si="77"/>
        <v>614.4699999999998</v>
      </c>
      <c r="R185" s="306">
        <f t="shared" ca="1" si="78"/>
        <v>0.30837386378542231</v>
      </c>
      <c r="S185" s="307">
        <f t="shared" ca="1" si="79"/>
        <v>8.3426155282577952</v>
      </c>
      <c r="T185" s="304">
        <f t="shared" ca="1" si="59"/>
        <v>81.841058332208974</v>
      </c>
      <c r="U185" s="311">
        <f t="shared" ca="1" si="60"/>
        <v>0</v>
      </c>
      <c r="V185" s="306">
        <f t="shared" ca="1" si="61"/>
        <v>1.2098016244705661</v>
      </c>
      <c r="W185" s="304">
        <f t="shared" ca="1" si="62"/>
        <v>63.6223059378313</v>
      </c>
      <c r="Y185" s="314" t="str">
        <f t="shared" ca="1" si="80"/>
        <v/>
      </c>
      <c r="Z185" s="315" t="str">
        <f t="shared" ca="1" si="81"/>
        <v/>
      </c>
      <c r="AA185" s="316" t="str">
        <f t="shared" ca="1" si="82"/>
        <v/>
      </c>
      <c r="AC185" s="310" t="e">
        <f t="shared" ca="1" si="83"/>
        <v>#N/A</v>
      </c>
      <c r="AD185" s="323" t="e">
        <f t="shared" ca="1" si="84"/>
        <v>#N/A</v>
      </c>
      <c r="AE185" s="324">
        <f t="shared" ca="1" si="63"/>
        <v>124.84282396302883</v>
      </c>
      <c r="AG185" s="306">
        <f t="shared" ca="1" si="85"/>
        <v>56.339310748470893</v>
      </c>
      <c r="AH185" s="304">
        <f t="shared" ca="1" si="86"/>
        <v>66.092547735581988</v>
      </c>
    </row>
    <row r="186" spans="1:34" x14ac:dyDescent="0.2">
      <c r="A186" s="347">
        <f t="shared" ca="1" si="64"/>
        <v>0.01</v>
      </c>
      <c r="B186" s="304">
        <f t="shared" ca="1" si="65"/>
        <v>1.8200000000000014</v>
      </c>
      <c r="D186" s="306">
        <f t="shared" ca="1" si="66"/>
        <v>7.0818002506443358</v>
      </c>
      <c r="E186" s="307">
        <f t="shared" ca="1" si="67"/>
        <v>55.685713333568089</v>
      </c>
      <c r="F186" s="304">
        <f t="shared" ca="1" si="68"/>
        <v>56.134219191669075</v>
      </c>
      <c r="G186" s="306">
        <f t="shared" ca="1" si="69"/>
        <v>14.174848900551838</v>
      </c>
      <c r="H186" s="307">
        <f t="shared" ca="1" si="70"/>
        <v>130.99735698535017</v>
      </c>
      <c r="I186" s="304">
        <f t="shared" ca="1" si="71"/>
        <v>131.76203504234726</v>
      </c>
      <c r="J186" s="306">
        <f t="shared" ca="1" si="72"/>
        <v>12.832959745844462</v>
      </c>
      <c r="K186" s="307">
        <f t="shared" ca="1" si="73"/>
        <v>126.15001324721565</v>
      </c>
      <c r="L186" s="304">
        <f t="shared" ca="1" si="58"/>
        <v>126.80106741708111</v>
      </c>
      <c r="M186" s="306">
        <f t="shared" ca="1" si="74"/>
        <v>1.4630085725253206</v>
      </c>
      <c r="N186" s="304">
        <f t="shared" ca="1" si="75"/>
        <v>83.824216597160074</v>
      </c>
      <c r="P186" s="310">
        <f t="shared" ca="1" si="76"/>
        <v>5</v>
      </c>
      <c r="Q186" s="304">
        <f t="shared" ca="1" si="77"/>
        <v>613.00999999999976</v>
      </c>
      <c r="R186" s="306">
        <f t="shared" ca="1" si="78"/>
        <v>0.30764115780933443</v>
      </c>
      <c r="S186" s="307">
        <f t="shared" ca="1" si="79"/>
        <v>8.3395391166797026</v>
      </c>
      <c r="T186" s="304">
        <f t="shared" ca="1" si="59"/>
        <v>81.810878734627892</v>
      </c>
      <c r="U186" s="311">
        <f t="shared" ca="1" si="60"/>
        <v>0</v>
      </c>
      <c r="V186" s="306">
        <f t="shared" ca="1" si="61"/>
        <v>1.2096434846082211</v>
      </c>
      <c r="W186" s="304">
        <f t="shared" ca="1" si="62"/>
        <v>64.159402460296164</v>
      </c>
      <c r="Y186" s="314" t="str">
        <f t="shared" ca="1" si="80"/>
        <v/>
      </c>
      <c r="Z186" s="315" t="str">
        <f t="shared" ca="1" si="81"/>
        <v/>
      </c>
      <c r="AA186" s="316" t="str">
        <f t="shared" ca="1" si="82"/>
        <v/>
      </c>
      <c r="AC186" s="310" t="e">
        <f t="shared" ca="1" si="83"/>
        <v>#N/A</v>
      </c>
      <c r="AD186" s="323" t="e">
        <f t="shared" ca="1" si="84"/>
        <v>#N/A</v>
      </c>
      <c r="AE186" s="324">
        <f t="shared" ca="1" si="63"/>
        <v>126.15001324721565</v>
      </c>
      <c r="AG186" s="306">
        <f t="shared" ca="1" si="85"/>
        <v>56.124312417821983</v>
      </c>
      <c r="AH186" s="304">
        <f t="shared" ca="1" si="86"/>
        <v>65.877464734634074</v>
      </c>
    </row>
    <row r="187" spans="1:34" x14ac:dyDescent="0.2">
      <c r="A187" s="347">
        <f t="shared" ca="1" si="64"/>
        <v>0.01</v>
      </c>
      <c r="B187" s="304">
        <f t="shared" ca="1" si="65"/>
        <v>1.8300000000000014</v>
      </c>
      <c r="D187" s="306">
        <f t="shared" ca="1" si="66"/>
        <v>7.0638795351298285</v>
      </c>
      <c r="E187" s="307">
        <f t="shared" ca="1" si="67"/>
        <v>55.471087343998889</v>
      </c>
      <c r="F187" s="304">
        <f t="shared" ca="1" si="68"/>
        <v>55.91904796410951</v>
      </c>
      <c r="G187" s="306">
        <f t="shared" ca="1" si="69"/>
        <v>14.245487695903137</v>
      </c>
      <c r="H187" s="307">
        <f t="shared" ca="1" si="70"/>
        <v>131.55206785879017</v>
      </c>
      <c r="I187" s="304">
        <f t="shared" ca="1" si="71"/>
        <v>132.32112634654325</v>
      </c>
      <c r="J187" s="306">
        <f t="shared" ca="1" si="72"/>
        <v>12.975061428826738</v>
      </c>
      <c r="K187" s="307">
        <f t="shared" ca="1" si="73"/>
        <v>127.46276037143636</v>
      </c>
      <c r="L187" s="304">
        <f t="shared" ca="1" si="58"/>
        <v>128.12145605084277</v>
      </c>
      <c r="M187" s="306">
        <f t="shared" ca="1" si="74"/>
        <v>1.4629288156808355</v>
      </c>
      <c r="N187" s="304">
        <f t="shared" ca="1" si="75"/>
        <v>83.81964686658381</v>
      </c>
      <c r="P187" s="310">
        <f t="shared" ca="1" si="76"/>
        <v>5</v>
      </c>
      <c r="Q187" s="304">
        <f t="shared" ca="1" si="77"/>
        <v>611.54999999999973</v>
      </c>
      <c r="R187" s="306">
        <f t="shared" ca="1" si="78"/>
        <v>0.30690845183324655</v>
      </c>
      <c r="S187" s="307">
        <f t="shared" ca="1" si="79"/>
        <v>8.3364700321613707</v>
      </c>
      <c r="T187" s="304">
        <f t="shared" ca="1" si="59"/>
        <v>81.780771015503049</v>
      </c>
      <c r="U187" s="311">
        <f t="shared" ca="1" si="60"/>
        <v>0</v>
      </c>
      <c r="V187" s="306">
        <f t="shared" ca="1" si="61"/>
        <v>1.2094846930471104</v>
      </c>
      <c r="W187" s="304">
        <f t="shared" ca="1" si="62"/>
        <v>64.696544734916657</v>
      </c>
      <c r="Y187" s="314" t="str">
        <f t="shared" ca="1" si="80"/>
        <v/>
      </c>
      <c r="Z187" s="315" t="str">
        <f t="shared" ca="1" si="81"/>
        <v/>
      </c>
      <c r="AA187" s="316" t="str">
        <f t="shared" ca="1" si="82"/>
        <v/>
      </c>
      <c r="AC187" s="310" t="e">
        <f t="shared" ca="1" si="83"/>
        <v>#N/A</v>
      </c>
      <c r="AD187" s="323" t="e">
        <f t="shared" ca="1" si="84"/>
        <v>#N/A</v>
      </c>
      <c r="AE187" s="324">
        <f t="shared" ca="1" si="63"/>
        <v>127.46276037143636</v>
      </c>
      <c r="AG187" s="306">
        <f t="shared" ca="1" si="85"/>
        <v>55.909088333843144</v>
      </c>
      <c r="AH187" s="304">
        <f t="shared" ca="1" si="86"/>
        <v>65.662156215750628</v>
      </c>
    </row>
    <row r="188" spans="1:34" x14ac:dyDescent="0.2">
      <c r="A188" s="347">
        <f t="shared" ca="1" si="64"/>
        <v>0.01</v>
      </c>
      <c r="B188" s="304">
        <f t="shared" ca="1" si="65"/>
        <v>1.8400000000000014</v>
      </c>
      <c r="D188" s="306">
        <f t="shared" ca="1" si="66"/>
        <v>7.0458824845127417</v>
      </c>
      <c r="E188" s="307">
        <f t="shared" ca="1" si="67"/>
        <v>55.256246274899311</v>
      </c>
      <c r="F188" s="304">
        <f t="shared" ca="1" si="68"/>
        <v>55.703655287403606</v>
      </c>
      <c r="G188" s="306">
        <f t="shared" ca="1" si="69"/>
        <v>14.315946520748264</v>
      </c>
      <c r="H188" s="307">
        <f t="shared" ca="1" si="70"/>
        <v>132.10463032153916</v>
      </c>
      <c r="I188" s="304">
        <f t="shared" ca="1" si="71"/>
        <v>132.87806319018745</v>
      </c>
      <c r="J188" s="306">
        <f t="shared" ca="1" si="72"/>
        <v>13.117868599909995</v>
      </c>
      <c r="K188" s="307">
        <f t="shared" ca="1" si="73"/>
        <v>128.78104386233801</v>
      </c>
      <c r="L188" s="304">
        <f t="shared" ca="1" si="58"/>
        <v>129.44742459731646</v>
      </c>
      <c r="M188" s="306">
        <f t="shared" ca="1" si="74"/>
        <v>1.4628493345840459</v>
      </c>
      <c r="N188" s="304">
        <f t="shared" ca="1" si="75"/>
        <v>83.815092935186684</v>
      </c>
      <c r="P188" s="310">
        <f t="shared" ca="1" si="76"/>
        <v>5</v>
      </c>
      <c r="Q188" s="304">
        <f t="shared" ca="1" si="77"/>
        <v>610.0899999999998</v>
      </c>
      <c r="R188" s="306">
        <f t="shared" ca="1" si="78"/>
        <v>0.30617574585715868</v>
      </c>
      <c r="S188" s="307">
        <f t="shared" ca="1" si="79"/>
        <v>8.3334082747027995</v>
      </c>
      <c r="T188" s="304">
        <f t="shared" ca="1" si="59"/>
        <v>81.750735174834475</v>
      </c>
      <c r="U188" s="311">
        <f t="shared" ca="1" si="60"/>
        <v>0</v>
      </c>
      <c r="V188" s="306">
        <f t="shared" ca="1" si="61"/>
        <v>1.2093252526432079</v>
      </c>
      <c r="W188" s="304">
        <f t="shared" ca="1" si="62"/>
        <v>65.233703093493475</v>
      </c>
      <c r="Y188" s="314" t="str">
        <f t="shared" ca="1" si="80"/>
        <v/>
      </c>
      <c r="Z188" s="315" t="str">
        <f t="shared" ca="1" si="81"/>
        <v/>
      </c>
      <c r="AA188" s="316" t="str">
        <f t="shared" ca="1" si="82"/>
        <v/>
      </c>
      <c r="AC188" s="310" t="e">
        <f t="shared" ca="1" si="83"/>
        <v>#N/A</v>
      </c>
      <c r="AD188" s="323" t="e">
        <f t="shared" ca="1" si="84"/>
        <v>#N/A</v>
      </c>
      <c r="AE188" s="324">
        <f t="shared" ca="1" si="63"/>
        <v>128.78104386233801</v>
      </c>
      <c r="AG188" s="306">
        <f t="shared" ca="1" si="85"/>
        <v>55.693642393257939</v>
      </c>
      <c r="AH188" s="304">
        <f t="shared" ca="1" si="86"/>
        <v>65.446626072635794</v>
      </c>
    </row>
    <row r="189" spans="1:34" x14ac:dyDescent="0.2">
      <c r="A189" s="347">
        <f t="shared" ca="1" si="64"/>
        <v>0.01</v>
      </c>
      <c r="B189" s="304">
        <f t="shared" ca="1" si="65"/>
        <v>1.8500000000000014</v>
      </c>
      <c r="D189" s="306">
        <f t="shared" ca="1" si="66"/>
        <v>7.027809867672036</v>
      </c>
      <c r="E189" s="307">
        <f t="shared" ca="1" si="67"/>
        <v>55.041193960059161</v>
      </c>
      <c r="F189" s="304">
        <f t="shared" ca="1" si="68"/>
        <v>55.488045055534272</v>
      </c>
      <c r="G189" s="306">
        <f t="shared" ca="1" si="69"/>
        <v>14.386224619424985</v>
      </c>
      <c r="H189" s="307">
        <f t="shared" ca="1" si="70"/>
        <v>132.65504226113976</v>
      </c>
      <c r="I189" s="304">
        <f t="shared" ca="1" si="71"/>
        <v>133.43284339361628</v>
      </c>
      <c r="J189" s="306">
        <f t="shared" ca="1" si="72"/>
        <v>13.261379455610861</v>
      </c>
      <c r="K189" s="307">
        <f t="shared" ca="1" si="73"/>
        <v>130.10484222525142</v>
      </c>
      <c r="L189" s="304">
        <f t="shared" ca="1" si="58"/>
        <v>130.7789515003208</v>
      </c>
      <c r="M189" s="306">
        <f t="shared" ca="1" si="74"/>
        <v>1.4627701258549368</v>
      </c>
      <c r="N189" s="304">
        <f t="shared" ca="1" si="75"/>
        <v>83.810554609308141</v>
      </c>
      <c r="P189" s="310">
        <f t="shared" ca="1" si="76"/>
        <v>5</v>
      </c>
      <c r="Q189" s="304">
        <f t="shared" ca="1" si="77"/>
        <v>608.62999999999977</v>
      </c>
      <c r="R189" s="306">
        <f t="shared" ca="1" si="78"/>
        <v>0.3054430398810708</v>
      </c>
      <c r="S189" s="307">
        <f t="shared" ca="1" si="79"/>
        <v>8.3303538443039891</v>
      </c>
      <c r="T189" s="304">
        <f t="shared" ca="1" si="59"/>
        <v>81.72077121262214</v>
      </c>
      <c r="U189" s="311">
        <f t="shared" ca="1" si="60"/>
        <v>0</v>
      </c>
      <c r="V189" s="306">
        <f t="shared" ca="1" si="61"/>
        <v>1.2091651662547116</v>
      </c>
      <c r="W189" s="304">
        <f t="shared" ca="1" si="62"/>
        <v>65.770847992293369</v>
      </c>
      <c r="Y189" s="314" t="str">
        <f t="shared" ca="1" si="80"/>
        <v/>
      </c>
      <c r="Z189" s="315" t="str">
        <f t="shared" ca="1" si="81"/>
        <v/>
      </c>
      <c r="AA189" s="316" t="str">
        <f t="shared" ca="1" si="82"/>
        <v/>
      </c>
      <c r="AC189" s="310" t="e">
        <f t="shared" ca="1" si="83"/>
        <v>#N/A</v>
      </c>
      <c r="AD189" s="323" t="e">
        <f t="shared" ca="1" si="84"/>
        <v>#N/A</v>
      </c>
      <c r="AE189" s="324">
        <f t="shared" ca="1" si="63"/>
        <v>130.10484222525142</v>
      </c>
      <c r="AG189" s="306">
        <f t="shared" ca="1" si="85"/>
        <v>55.477978484846773</v>
      </c>
      <c r="AH189" s="304">
        <f t="shared" ca="1" si="86"/>
        <v>65.230878191094149</v>
      </c>
    </row>
    <row r="190" spans="1:34" x14ac:dyDescent="0.2">
      <c r="A190" s="347">
        <f t="shared" ca="1" si="64"/>
        <v>0.01</v>
      </c>
      <c r="B190" s="304">
        <f t="shared" ca="1" si="65"/>
        <v>1.8600000000000014</v>
      </c>
      <c r="D190" s="306">
        <f t="shared" ca="1" si="66"/>
        <v>7.0096624478506993</v>
      </c>
      <c r="E190" s="307">
        <f t="shared" ca="1" si="67"/>
        <v>54.825934225606844</v>
      </c>
      <c r="F190" s="304">
        <f t="shared" ca="1" si="68"/>
        <v>55.272221154422375</v>
      </c>
      <c r="G190" s="306">
        <f t="shared" ca="1" si="69"/>
        <v>14.456321243903492</v>
      </c>
      <c r="H190" s="307">
        <f t="shared" ca="1" si="70"/>
        <v>133.20330160339583</v>
      </c>
      <c r="I190" s="304">
        <f t="shared" ca="1" si="71"/>
        <v>133.98546481597236</v>
      </c>
      <c r="J190" s="306">
        <f t="shared" ca="1" si="72"/>
        <v>13.405592184927503</v>
      </c>
      <c r="K190" s="307">
        <f t="shared" ca="1" si="73"/>
        <v>131.43413394457409</v>
      </c>
      <c r="L190" s="304">
        <f t="shared" ca="1" si="58"/>
        <v>132.11601518206953</v>
      </c>
      <c r="M190" s="306">
        <f t="shared" ca="1" si="74"/>
        <v>1.4626911861649055</v>
      </c>
      <c r="N190" s="304">
        <f t="shared" ca="1" si="75"/>
        <v>83.806031698233269</v>
      </c>
      <c r="P190" s="310">
        <f t="shared" ca="1" si="76"/>
        <v>5</v>
      </c>
      <c r="Q190" s="304">
        <f t="shared" ca="1" si="77"/>
        <v>607.16999999999973</v>
      </c>
      <c r="R190" s="306">
        <f t="shared" ca="1" si="78"/>
        <v>0.30471033390498292</v>
      </c>
      <c r="S190" s="307">
        <f t="shared" ca="1" si="79"/>
        <v>8.3273067409649393</v>
      </c>
      <c r="T190" s="304">
        <f t="shared" ca="1" si="59"/>
        <v>81.690879128866058</v>
      </c>
      <c r="U190" s="311">
        <f t="shared" ca="1" si="60"/>
        <v>0</v>
      </c>
      <c r="V190" s="306">
        <f t="shared" ca="1" si="61"/>
        <v>1.2090044367419783</v>
      </c>
      <c r="W190" s="304">
        <f t="shared" ca="1" si="62"/>
        <v>66.307950013206224</v>
      </c>
      <c r="Y190" s="314" t="str">
        <f t="shared" ca="1" si="80"/>
        <v/>
      </c>
      <c r="Z190" s="315" t="str">
        <f t="shared" ca="1" si="81"/>
        <v/>
      </c>
      <c r="AA190" s="316" t="str">
        <f t="shared" ca="1" si="82"/>
        <v/>
      </c>
      <c r="AC190" s="310" t="e">
        <f t="shared" ca="1" si="83"/>
        <v>#N/A</v>
      </c>
      <c r="AD190" s="323" t="e">
        <f t="shared" ca="1" si="84"/>
        <v>#N/A</v>
      </c>
      <c r="AE190" s="324">
        <f t="shared" ca="1" si="63"/>
        <v>131.43413394457409</v>
      </c>
      <c r="AG190" s="306">
        <f t="shared" ca="1" si="85"/>
        <v>55.262100489258188</v>
      </c>
      <c r="AH190" s="304">
        <f t="shared" ca="1" si="86"/>
        <v>65.014916448841049</v>
      </c>
    </row>
    <row r="191" spans="1:34" x14ac:dyDescent="0.2">
      <c r="A191" s="347">
        <f t="shared" ca="1" si="64"/>
        <v>0.01</v>
      </c>
      <c r="B191" s="304">
        <f t="shared" ca="1" si="65"/>
        <v>1.8700000000000014</v>
      </c>
      <c r="D191" s="306">
        <f t="shared" ca="1" si="66"/>
        <v>6.9914409827431774</v>
      </c>
      <c r="E191" s="307">
        <f t="shared" ca="1" si="67"/>
        <v>54.61047088981384</v>
      </c>
      <c r="F191" s="304">
        <f t="shared" ca="1" si="68"/>
        <v>55.056187461741175</v>
      </c>
      <c r="G191" s="306">
        <f t="shared" ca="1" si="69"/>
        <v>14.526235653730923</v>
      </c>
      <c r="H191" s="307">
        <f t="shared" ca="1" si="70"/>
        <v>133.74940631229396</v>
      </c>
      <c r="I191" s="304">
        <f t="shared" ca="1" si="71"/>
        <v>134.53592535512149</v>
      </c>
      <c r="J191" s="306">
        <f t="shared" ca="1" si="72"/>
        <v>13.550504969415675</v>
      </c>
      <c r="K191" s="307">
        <f t="shared" ca="1" si="73"/>
        <v>132.76889748415255</v>
      </c>
      <c r="L191" s="304">
        <f t="shared" ca="1" si="58"/>
        <v>133.45859404355932</v>
      </c>
      <c r="M191" s="306">
        <f t="shared" ca="1" si="74"/>
        <v>1.4626125122356703</v>
      </c>
      <c r="N191" s="304">
        <f t="shared" ca="1" si="75"/>
        <v>83.801524014130393</v>
      </c>
      <c r="P191" s="310">
        <f t="shared" ca="1" si="76"/>
        <v>5</v>
      </c>
      <c r="Q191" s="304">
        <f t="shared" ca="1" si="77"/>
        <v>605.70999999999981</v>
      </c>
      <c r="R191" s="306">
        <f t="shared" ca="1" si="78"/>
        <v>0.30397762792889504</v>
      </c>
      <c r="S191" s="307">
        <f t="shared" ca="1" si="79"/>
        <v>8.3242669646856502</v>
      </c>
      <c r="T191" s="304">
        <f t="shared" ca="1" si="59"/>
        <v>81.66105892356623</v>
      </c>
      <c r="U191" s="311">
        <f t="shared" ca="1" si="60"/>
        <v>0</v>
      </c>
      <c r="V191" s="306">
        <f t="shared" ca="1" si="61"/>
        <v>1.2088430669674644</v>
      </c>
      <c r="W191" s="304">
        <f t="shared" ca="1" si="62"/>
        <v>66.844979864886668</v>
      </c>
      <c r="Y191" s="314" t="str">
        <f t="shared" ca="1" si="80"/>
        <v/>
      </c>
      <c r="Z191" s="315" t="str">
        <f t="shared" ca="1" si="81"/>
        <v/>
      </c>
      <c r="AA191" s="316" t="str">
        <f t="shared" ca="1" si="82"/>
        <v/>
      </c>
      <c r="AC191" s="310" t="e">
        <f t="shared" ca="1" si="83"/>
        <v>#N/A</v>
      </c>
      <c r="AD191" s="323" t="e">
        <f t="shared" ca="1" si="84"/>
        <v>#N/A</v>
      </c>
      <c r="AE191" s="324">
        <f t="shared" ca="1" si="63"/>
        <v>132.76889748415255</v>
      </c>
      <c r="AG191" s="306">
        <f t="shared" ca="1" si="85"/>
        <v>55.046012278821863</v>
      </c>
      <c r="AH191" s="304">
        <f t="shared" ca="1" si="86"/>
        <v>64.798744715314768</v>
      </c>
    </row>
    <row r="192" spans="1:34" x14ac:dyDescent="0.2">
      <c r="A192" s="347">
        <f t="shared" ca="1" si="64"/>
        <v>0.01</v>
      </c>
      <c r="B192" s="304">
        <f t="shared" ca="1" si="65"/>
        <v>1.8800000000000014</v>
      </c>
      <c r="D192" s="306">
        <f t="shared" ca="1" si="66"/>
        <v>6.9731462245800087</v>
      </c>
      <c r="E192" s="307">
        <f t="shared" ca="1" si="67"/>
        <v>54.394807762900825</v>
      </c>
      <c r="F192" s="304">
        <f t="shared" ca="1" si="68"/>
        <v>54.839947846732223</v>
      </c>
      <c r="G192" s="306">
        <f t="shared" ca="1" si="69"/>
        <v>14.595967115976723</v>
      </c>
      <c r="H192" s="307">
        <f t="shared" ca="1" si="70"/>
        <v>134.29335438992297</v>
      </c>
      <c r="I192" s="304">
        <f t="shared" ca="1" si="71"/>
        <v>135.08422294756747</v>
      </c>
      <c r="J192" s="306">
        <f t="shared" ca="1" si="72"/>
        <v>13.696115983264214</v>
      </c>
      <c r="K192" s="307">
        <f t="shared" ca="1" si="73"/>
        <v>134.10911128766364</v>
      </c>
      <c r="L192" s="304">
        <f t="shared" ca="1" si="58"/>
        <v>134.80666646495629</v>
      </c>
      <c r="M192" s="306">
        <f t="shared" ca="1" si="74"/>
        <v>1.4625341008382118</v>
      </c>
      <c r="N192" s="304">
        <f t="shared" ca="1" si="75"/>
        <v>83.797031371990286</v>
      </c>
      <c r="P192" s="310">
        <f t="shared" ca="1" si="76"/>
        <v>5</v>
      </c>
      <c r="Q192" s="304">
        <f t="shared" ca="1" si="77"/>
        <v>604.24999999999977</v>
      </c>
      <c r="R192" s="306">
        <f t="shared" ca="1" si="78"/>
        <v>0.30324492195280717</v>
      </c>
      <c r="S192" s="307">
        <f t="shared" ca="1" si="79"/>
        <v>8.3212345154661218</v>
      </c>
      <c r="T192" s="304">
        <f t="shared" ca="1" si="59"/>
        <v>81.631310596722656</v>
      </c>
      <c r="U192" s="311">
        <f t="shared" ca="1" si="60"/>
        <v>0</v>
      </c>
      <c r="V192" s="306">
        <f t="shared" ca="1" si="61"/>
        <v>1.2086810597956592</v>
      </c>
      <c r="W192" s="304">
        <f t="shared" ca="1" si="62"/>
        <v>67.381908383879065</v>
      </c>
      <c r="Y192" s="314" t="str">
        <f t="shared" ca="1" si="80"/>
        <v/>
      </c>
      <c r="Z192" s="315" t="str">
        <f t="shared" ca="1" si="81"/>
        <v/>
      </c>
      <c r="AA192" s="316" t="str">
        <f t="shared" ca="1" si="82"/>
        <v/>
      </c>
      <c r="AC192" s="310" t="e">
        <f t="shared" ca="1" si="83"/>
        <v>#N/A</v>
      </c>
      <c r="AD192" s="323" t="e">
        <f t="shared" ca="1" si="84"/>
        <v>#N/A</v>
      </c>
      <c r="AE192" s="324">
        <f t="shared" ca="1" si="63"/>
        <v>134.10911128766364</v>
      </c>
      <c r="AG192" s="306">
        <f t="shared" ca="1" si="85"/>
        <v>54.829717717362897</v>
      </c>
      <c r="AH192" s="304">
        <f t="shared" ca="1" si="86"/>
        <v>64.582366851489923</v>
      </c>
    </row>
    <row r="193" spans="1:34" x14ac:dyDescent="0.2">
      <c r="A193" s="347">
        <f t="shared" ca="1" si="64"/>
        <v>0.01</v>
      </c>
      <c r="B193" s="304">
        <f t="shared" ca="1" si="65"/>
        <v>1.8900000000000015</v>
      </c>
      <c r="D193" s="306">
        <f t="shared" ca="1" si="66"/>
        <v>6.9547789202096917</v>
      </c>
      <c r="E193" s="307">
        <f t="shared" ca="1" si="67"/>
        <v>54.178948646845932</v>
      </c>
      <c r="F193" s="304">
        <f t="shared" ca="1" si="68"/>
        <v>54.623506170023191</v>
      </c>
      <c r="G193" s="306">
        <f t="shared" ca="1" si="69"/>
        <v>14.665514905178821</v>
      </c>
      <c r="H193" s="307">
        <f t="shared" ca="1" si="70"/>
        <v>134.83514387639141</v>
      </c>
      <c r="I193" s="304">
        <f t="shared" ca="1" si="71"/>
        <v>135.63035556836527</v>
      </c>
      <c r="J193" s="306">
        <f t="shared" ca="1" si="72"/>
        <v>13.842423393369991</v>
      </c>
      <c r="K193" s="307">
        <f t="shared" ca="1" si="73"/>
        <v>135.45475377899521</v>
      </c>
      <c r="L193" s="304">
        <f t="shared" ca="1" si="58"/>
        <v>136.16021080598227</v>
      </c>
      <c r="M193" s="306">
        <f t="shared" ca="1" si="74"/>
        <v>1.4624559487917368</v>
      </c>
      <c r="N193" s="304">
        <f t="shared" ca="1" si="75"/>
        <v>83.792553589566964</v>
      </c>
      <c r="P193" s="310">
        <f t="shared" ca="1" si="76"/>
        <v>5</v>
      </c>
      <c r="Q193" s="304">
        <f t="shared" ca="1" si="77"/>
        <v>602.78999999999974</v>
      </c>
      <c r="R193" s="306">
        <f t="shared" ca="1" si="78"/>
        <v>0.30251221597671929</v>
      </c>
      <c r="S193" s="307">
        <f t="shared" ca="1" si="79"/>
        <v>8.3182093933063541</v>
      </c>
      <c r="T193" s="304">
        <f t="shared" ca="1" si="59"/>
        <v>81.601634148335336</v>
      </c>
      <c r="U193" s="311">
        <f t="shared" ca="1" si="60"/>
        <v>0</v>
      </c>
      <c r="V193" s="306">
        <f t="shared" ca="1" si="61"/>
        <v>1.2085184180930282</v>
      </c>
      <c r="W193" s="304">
        <f t="shared" ca="1" si="62"/>
        <v>67.918706535726997</v>
      </c>
      <c r="Y193" s="314" t="str">
        <f t="shared" ca="1" si="80"/>
        <v/>
      </c>
      <c r="Z193" s="315" t="str">
        <f t="shared" ca="1" si="81"/>
        <v/>
      </c>
      <c r="AA193" s="316" t="str">
        <f t="shared" ca="1" si="82"/>
        <v/>
      </c>
      <c r="AC193" s="310" t="e">
        <f t="shared" ca="1" si="83"/>
        <v>#N/A</v>
      </c>
      <c r="AD193" s="323" t="e">
        <f t="shared" ca="1" si="84"/>
        <v>#N/A</v>
      </c>
      <c r="AE193" s="324">
        <f t="shared" ca="1" si="63"/>
        <v>135.45475377899521</v>
      </c>
      <c r="AG193" s="306">
        <f t="shared" ca="1" si="85"/>
        <v>54.613220660018129</v>
      </c>
      <c r="AH193" s="304">
        <f t="shared" ca="1" si="86"/>
        <v>64.365786709692898</v>
      </c>
    </row>
    <row r="194" spans="1:34" x14ac:dyDescent="0.2">
      <c r="A194" s="347">
        <f t="shared" ca="1" si="64"/>
        <v>0.01</v>
      </c>
      <c r="B194" s="304">
        <f t="shared" ca="1" si="65"/>
        <v>1.9000000000000015</v>
      </c>
      <c r="D194" s="306">
        <f t="shared" ca="1" si="66"/>
        <v>6.9363398111780636</v>
      </c>
      <c r="E194" s="307">
        <f t="shared" ca="1" si="67"/>
        <v>53.962897335194597</v>
      </c>
      <c r="F194" s="304">
        <f t="shared" ca="1" si="68"/>
        <v>54.406866283447037</v>
      </c>
      <c r="G194" s="306">
        <f t="shared" ca="1" si="69"/>
        <v>14.734878303290602</v>
      </c>
      <c r="H194" s="307">
        <f t="shared" ca="1" si="70"/>
        <v>135.37477284974335</v>
      </c>
      <c r="I194" s="304">
        <f t="shared" ca="1" si="71"/>
        <v>136.17432123103237</v>
      </c>
      <c r="J194" s="306">
        <f t="shared" ca="1" si="72"/>
        <v>13.989425359412339</v>
      </c>
      <c r="K194" s="307">
        <f t="shared" ca="1" si="73"/>
        <v>136.80580336262588</v>
      </c>
      <c r="L194" s="304">
        <f t="shared" ca="1" si="58"/>
        <v>137.51920540629962</v>
      </c>
      <c r="M194" s="306">
        <f t="shared" ca="1" si="74"/>
        <v>1.4623780529626746</v>
      </c>
      <c r="N194" s="304">
        <f t="shared" ca="1" si="75"/>
        <v>83.788090487320034</v>
      </c>
      <c r="P194" s="310">
        <f t="shared" ca="1" si="76"/>
        <v>5</v>
      </c>
      <c r="Q194" s="304">
        <f t="shared" ca="1" si="77"/>
        <v>601.32999999999981</v>
      </c>
      <c r="R194" s="306">
        <f t="shared" ca="1" si="78"/>
        <v>0.30177951000063147</v>
      </c>
      <c r="S194" s="307">
        <f t="shared" ca="1" si="79"/>
        <v>8.3151915982063471</v>
      </c>
      <c r="T194" s="304">
        <f t="shared" ca="1" si="59"/>
        <v>81.572029578404269</v>
      </c>
      <c r="U194" s="311">
        <f t="shared" ca="1" si="60"/>
        <v>0</v>
      </c>
      <c r="V194" s="306">
        <f t="shared" ca="1" si="61"/>
        <v>1.2083551447279459</v>
      </c>
      <c r="W194" s="304">
        <f t="shared" ca="1" si="62"/>
        <v>68.45534541606628</v>
      </c>
      <c r="Y194" s="314" t="str">
        <f t="shared" ca="1" si="80"/>
        <v/>
      </c>
      <c r="Z194" s="315" t="str">
        <f t="shared" ca="1" si="81"/>
        <v/>
      </c>
      <c r="AA194" s="316" t="str">
        <f t="shared" ca="1" si="82"/>
        <v/>
      </c>
      <c r="AC194" s="310" t="e">
        <f t="shared" ca="1" si="83"/>
        <v>#N/A</v>
      </c>
      <c r="AD194" s="323" t="e">
        <f t="shared" ca="1" si="84"/>
        <v>#N/A</v>
      </c>
      <c r="AE194" s="324">
        <f t="shared" ca="1" si="63"/>
        <v>136.80580336262588</v>
      </c>
      <c r="AG194" s="306">
        <f t="shared" ca="1" si="85"/>
        <v>54.396524953053643</v>
      </c>
      <c r="AH194" s="304">
        <f t="shared" ca="1" si="86"/>
        <v>64.14900813341859</v>
      </c>
    </row>
    <row r="195" spans="1:34" x14ac:dyDescent="0.2">
      <c r="A195" s="347">
        <f t="shared" ca="1" si="64"/>
        <v>0.01</v>
      </c>
      <c r="B195" s="304">
        <f t="shared" ca="1" si="65"/>
        <v>1.9100000000000015</v>
      </c>
      <c r="D195" s="306">
        <f t="shared" ca="1" si="66"/>
        <v>6.917829633804951</v>
      </c>
      <c r="E195" s="307">
        <f t="shared" ca="1" si="67"/>
        <v>53.746657612871466</v>
      </c>
      <c r="F195" s="304">
        <f t="shared" ca="1" si="68"/>
        <v>54.190032029863055</v>
      </c>
      <c r="G195" s="306">
        <f t="shared" ca="1" si="69"/>
        <v>14.804056599628652</v>
      </c>
      <c r="H195" s="307">
        <f t="shared" ca="1" si="70"/>
        <v>135.91223942587206</v>
      </c>
      <c r="I195" s="304">
        <f t="shared" ca="1" si="71"/>
        <v>136.71611798745815</v>
      </c>
      <c r="J195" s="306">
        <f t="shared" ca="1" si="72"/>
        <v>14.137120033926935</v>
      </c>
      <c r="K195" s="307">
        <f t="shared" ca="1" si="73"/>
        <v>138.16223842400396</v>
      </c>
      <c r="L195" s="304">
        <f t="shared" ca="1" si="58"/>
        <v>138.88362858589554</v>
      </c>
      <c r="M195" s="306">
        <f t="shared" ca="1" si="74"/>
        <v>1.4623004102636943</v>
      </c>
      <c r="N195" s="304">
        <f t="shared" ca="1" si="75"/>
        <v>83.783641888358446</v>
      </c>
      <c r="P195" s="310">
        <f t="shared" ca="1" si="76"/>
        <v>5</v>
      </c>
      <c r="Q195" s="304">
        <f t="shared" ca="1" si="77"/>
        <v>599.86999999999978</v>
      </c>
      <c r="R195" s="306">
        <f t="shared" ca="1" si="78"/>
        <v>0.30104680402454354</v>
      </c>
      <c r="S195" s="307">
        <f t="shared" ca="1" si="79"/>
        <v>8.3121811301661008</v>
      </c>
      <c r="T195" s="304">
        <f t="shared" ca="1" si="59"/>
        <v>81.542496886929456</v>
      </c>
      <c r="U195" s="311">
        <f t="shared" ca="1" si="60"/>
        <v>0</v>
      </c>
      <c r="V195" s="306">
        <f t="shared" ca="1" si="61"/>
        <v>1.208191242570638</v>
      </c>
      <c r="W195" s="304">
        <f t="shared" ca="1" si="62"/>
        <v>68.991796251702183</v>
      </c>
      <c r="Y195" s="314" t="str">
        <f t="shared" ca="1" si="80"/>
        <v/>
      </c>
      <c r="Z195" s="315" t="str">
        <f t="shared" ca="1" si="81"/>
        <v/>
      </c>
      <c r="AA195" s="316" t="str">
        <f t="shared" ca="1" si="82"/>
        <v/>
      </c>
      <c r="AC195" s="310" t="e">
        <f t="shared" ca="1" si="83"/>
        <v>#N/A</v>
      </c>
      <c r="AD195" s="323" t="e">
        <f t="shared" ca="1" si="84"/>
        <v>#N/A</v>
      </c>
      <c r="AE195" s="324">
        <f t="shared" ca="1" si="63"/>
        <v>138.16223842400396</v>
      </c>
      <c r="AG195" s="306">
        <f t="shared" ca="1" si="85"/>
        <v>54.179634433684214</v>
      </c>
      <c r="AH195" s="304">
        <f t="shared" ca="1" si="86"/>
        <v>63.932034957149007</v>
      </c>
    </row>
    <row r="196" spans="1:34" x14ac:dyDescent="0.2">
      <c r="A196" s="347">
        <f t="shared" ca="1" si="64"/>
        <v>0.01</v>
      </c>
      <c r="B196" s="304">
        <f t="shared" ca="1" si="65"/>
        <v>1.9200000000000015</v>
      </c>
      <c r="D196" s="306">
        <f t="shared" ca="1" si="66"/>
        <v>6.8992491192586316</v>
      </c>
      <c r="E196" s="307">
        <f t="shared" ca="1" si="67"/>
        <v>53.530233255994048</v>
      </c>
      <c r="F196" s="304">
        <f t="shared" ca="1" si="68"/>
        <v>53.973007242979541</v>
      </c>
      <c r="G196" s="306">
        <f t="shared" ca="1" si="69"/>
        <v>14.873049090821238</v>
      </c>
      <c r="H196" s="307">
        <f t="shared" ca="1" si="70"/>
        <v>136.44754175843201</v>
      </c>
      <c r="I196" s="304">
        <f t="shared" ca="1" si="71"/>
        <v>137.25574392781172</v>
      </c>
      <c r="J196" s="306">
        <f t="shared" ca="1" si="72"/>
        <v>14.285505562379186</v>
      </c>
      <c r="K196" s="307">
        <f t="shared" ca="1" si="73"/>
        <v>139.52403732992548</v>
      </c>
      <c r="L196" s="304">
        <f t="shared" ref="L196:L259" ca="1" si="87">SQRT(pos_x^2+pos_z^2)</f>
        <v>140.25345864546514</v>
      </c>
      <c r="M196" s="306">
        <f t="shared" ca="1" si="74"/>
        <v>1.4622230176527506</v>
      </c>
      <c r="N196" s="304">
        <f t="shared" ca="1" si="75"/>
        <v>83.779207618385882</v>
      </c>
      <c r="P196" s="310">
        <f t="shared" ca="1" si="76"/>
        <v>5</v>
      </c>
      <c r="Q196" s="304">
        <f t="shared" ca="1" si="77"/>
        <v>598.40999999999974</v>
      </c>
      <c r="R196" s="306">
        <f t="shared" ca="1" si="78"/>
        <v>0.30031409804845566</v>
      </c>
      <c r="S196" s="307">
        <f t="shared" ca="1" si="79"/>
        <v>8.309177989185617</v>
      </c>
      <c r="T196" s="304">
        <f t="shared" ref="T196:T259" ca="1" si="88">m*g</f>
        <v>81.513036073910911</v>
      </c>
      <c r="U196" s="311">
        <f t="shared" ref="U196:U259" ca="1" si="89">IF(pos_xz&lt;L_rampe,Poids*COS(Beta),0)</f>
        <v>0</v>
      </c>
      <c r="V196" s="306">
        <f t="shared" ref="V196:V259" ca="1" si="90">Rho_moyen*(20000-Alt_rampe-pos_z)/(20000+Alt_rampe+pos_z)</f>
        <v>1.2080267144931183</v>
      </c>
      <c r="W196" s="304">
        <f t="shared" ref="W196:W259" ca="1" si="91">1/2*Rho*Sref*Cx*vit_xz^2</f>
        <v>69.528030401670478</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139.52403732992548</v>
      </c>
      <c r="AG196" s="306">
        <f t="shared" ca="1" si="85"/>
        <v>53.962552929894301</v>
      </c>
      <c r="AH196" s="304">
        <f t="shared" ca="1" si="86"/>
        <v>63.714871006173482</v>
      </c>
    </row>
    <row r="197" spans="1:34" x14ac:dyDescent="0.2">
      <c r="A197" s="347">
        <f t="shared" ref="A197:A260" ca="1" si="93">IF(B196+0.01&lt;=T_ini+ROUNDUP(Temps_fin_propu,0), 0.01, IF(K196&gt;0, 0.1, 0.0001))</f>
        <v>0.01</v>
      </c>
      <c r="B197" s="304">
        <f t="shared" ref="B197:B260" ca="1" si="94">B196+pas</f>
        <v>1.9300000000000015</v>
      </c>
      <c r="D197" s="306">
        <f t="shared" ref="D197:D260" ca="1" si="95">IF(AND(L196&lt;L_rampe,Poussee&lt;Poids*SIN(M196)),0,(-W196+Poussee)/m*COS(M196)-U196/m*SIN(M196))</f>
        <v>6.8805989936276877</v>
      </c>
      <c r="E197" s="307">
        <f t="shared" ref="E197:E260" ca="1" si="96">IF(AND(L196&lt;L_rampe,Poussee&lt;Poids*SIN(M196)),0,(-W196+Poussee)/m*SIN(M196)+U196/m*COS(M196)-Poids/m)</f>
        <v>53.31362803168831</v>
      </c>
      <c r="F197" s="304">
        <f t="shared" ref="F197:F260" ca="1" si="97">SQRT(acc_x^2+acc_z^2)</f>
        <v>53.755795747178105</v>
      </c>
      <c r="G197" s="306">
        <f t="shared" ref="G197:G260" ca="1" si="98">G196+acc_x*pas</f>
        <v>14.941855080757515</v>
      </c>
      <c r="H197" s="307">
        <f t="shared" ref="H197:H260" ca="1" si="99">H196+acc_z*pas</f>
        <v>136.98067803874889</v>
      </c>
      <c r="I197" s="304">
        <f t="shared" ref="I197:I260" ca="1" si="100">SQRT(vit_x^2+vit_z^2)</f>
        <v>137.79319718044772</v>
      </c>
      <c r="J197" s="306">
        <f t="shared" ref="J197:J260" ca="1" si="101">J196+0.5*(vit_x+G196)*pas*(K196&gt;=0)</f>
        <v>14.43458008323708</v>
      </c>
      <c r="K197" s="307">
        <f t="shared" ref="K197:K260" ca="1" si="102">K196+0.5*(vit_z+H196)*pas</f>
        <v>140.89117842891139</v>
      </c>
      <c r="L197" s="304">
        <f t="shared" ca="1" si="87"/>
        <v>141.62867386679412</v>
      </c>
      <c r="M197" s="306">
        <f t="shared" ref="M197:M260" ca="1" si="103">IF(AND(L196&gt;L_rampe,G197&gt;0),ATAN2(G197,H197),$M$4)</f>
        <v>1.462145872132153</v>
      </c>
      <c r="N197" s="304">
        <f t="shared" ref="N197:N260" ca="1" si="104">DEGREES(Beta)</f>
        <v>83.774787505647296</v>
      </c>
      <c r="P197" s="310">
        <f t="shared" ref="P197:P260" ca="1" si="105">MATCH(t-pas/2-T_ini,CdP_t)</f>
        <v>5</v>
      </c>
      <c r="Q197" s="304">
        <f t="shared" ref="Q197:Q260" ca="1" si="106">(INDEX(CdP,2,i_P+1)-INDEX(CdP,2,i_P+0))/(INDEX(CdP,1,i_P+1)-INDEX(CdP,1,i_P+0))*(t-pas/2-T_ini-INDEX(CdP,1,i_P+0))+INDEX(CdP,2,i_P+0)</f>
        <v>596.94999999999982</v>
      </c>
      <c r="R197" s="306">
        <f t="shared" ref="R197:R260" ca="1" si="107">Poussee/(g*ISP)</f>
        <v>0.29958139207236784</v>
      </c>
      <c r="S197" s="307">
        <f t="shared" ref="S197:S260" ca="1" si="108">S196-Débit*pas</f>
        <v>8.3061821752648939</v>
      </c>
      <c r="T197" s="304">
        <f t="shared" ca="1" si="88"/>
        <v>81.483647139348619</v>
      </c>
      <c r="U197" s="311">
        <f t="shared" ca="1" si="89"/>
        <v>0</v>
      </c>
      <c r="V197" s="306">
        <f t="shared" ca="1" si="90"/>
        <v>1.2078615633691261</v>
      </c>
      <c r="W197" s="304">
        <f t="shared" ca="1" si="91"/>
        <v>70.064019358282181</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140.89117842891139</v>
      </c>
      <c r="AG197" s="306">
        <f t="shared" ref="AG197:AG260" ca="1" si="114">IF(AND(L196&lt;L_rampe,Poussee&lt;Poids*SIN(M196)),0,(-W196+Poussee)/m-Poids*SIN(M196)/m)</f>
        <v>53.745284260260618</v>
      </c>
      <c r="AH197" s="304">
        <f t="shared" ref="AH197:AH260" ca="1" si="115">IF(AND(L196&lt;L_rampe,Poussee&lt;Poids*SIN(M196)), g*SIN(M196), (-W196+Poussee)/m)</f>
        <v>63.497520096410511</v>
      </c>
    </row>
    <row r="198" spans="1:34" x14ac:dyDescent="0.2">
      <c r="A198" s="347">
        <f t="shared" ca="1" si="93"/>
        <v>0.01</v>
      </c>
      <c r="B198" s="304">
        <f t="shared" ca="1" si="94"/>
        <v>1.9400000000000015</v>
      </c>
      <c r="D198" s="306">
        <f t="shared" ca="1" si="95"/>
        <v>6.8618799779907294</v>
      </c>
      <c r="E198" s="307">
        <f t="shared" ca="1" si="96"/>
        <v>53.096845697905948</v>
      </c>
      <c r="F198" s="304">
        <f t="shared" ca="1" si="97"/>
        <v>53.538401357339602</v>
      </c>
      <c r="G198" s="306">
        <f t="shared" ca="1" si="98"/>
        <v>15.010473880537422</v>
      </c>
      <c r="H198" s="307">
        <f t="shared" ca="1" si="99"/>
        <v>137.51164649572794</v>
      </c>
      <c r="I198" s="304">
        <f t="shared" ca="1" si="100"/>
        <v>138.32847591181053</v>
      </c>
      <c r="J198" s="306">
        <f t="shared" ca="1" si="101"/>
        <v>14.584341728043555</v>
      </c>
      <c r="K198" s="307">
        <f t="shared" ca="1" si="102"/>
        <v>142.26364005158376</v>
      </c>
      <c r="L198" s="304">
        <f t="shared" ca="1" si="87"/>
        <v>143.00925251313964</v>
      </c>
      <c r="M198" s="306">
        <f t="shared" ca="1" si="103"/>
        <v>1.462068970747658</v>
      </c>
      <c r="N198" s="304">
        <f t="shared" ca="1" si="104"/>
        <v>83.770381380877012</v>
      </c>
      <c r="P198" s="310">
        <f t="shared" ca="1" si="105"/>
        <v>5</v>
      </c>
      <c r="Q198" s="304">
        <f t="shared" ca="1" si="106"/>
        <v>595.48999999999978</v>
      </c>
      <c r="R198" s="306">
        <f t="shared" ca="1" si="107"/>
        <v>0.2988486860962799</v>
      </c>
      <c r="S198" s="307">
        <f t="shared" ca="1" si="108"/>
        <v>8.3031936884039315</v>
      </c>
      <c r="T198" s="304">
        <f t="shared" ca="1" si="88"/>
        <v>81.454330083242567</v>
      </c>
      <c r="U198" s="311">
        <f t="shared" ca="1" si="89"/>
        <v>0</v>
      </c>
      <c r="V198" s="306">
        <f t="shared" ca="1" si="90"/>
        <v>1.2076957920740685</v>
      </c>
      <c r="W198" s="304">
        <f t="shared" ca="1" si="91"/>
        <v>70.599734748152571</v>
      </c>
      <c r="Y198" s="314" t="str">
        <f t="shared" ca="1" si="109"/>
        <v/>
      </c>
      <c r="Z198" s="315" t="str">
        <f t="shared" ca="1" si="110"/>
        <v/>
      </c>
      <c r="AA198" s="316" t="str">
        <f t="shared" ca="1" si="111"/>
        <v/>
      </c>
      <c r="AC198" s="310" t="e">
        <f t="shared" ca="1" si="112"/>
        <v>#N/A</v>
      </c>
      <c r="AD198" s="323" t="e">
        <f t="shared" ca="1" si="113"/>
        <v>#N/A</v>
      </c>
      <c r="AE198" s="324">
        <f t="shared" ca="1" si="92"/>
        <v>142.26364005158376</v>
      </c>
      <c r="AG198" s="306">
        <f t="shared" ca="1" si="114"/>
        <v>53.52783223377638</v>
      </c>
      <c r="AH198" s="304">
        <f t="shared" ca="1" si="115"/>
        <v>63.279986034231221</v>
      </c>
    </row>
    <row r="199" spans="1:34" x14ac:dyDescent="0.2">
      <c r="A199" s="347">
        <f t="shared" ca="1" si="93"/>
        <v>0.01</v>
      </c>
      <c r="B199" s="304">
        <f t="shared" ca="1" si="94"/>
        <v>1.9500000000000015</v>
      </c>
      <c r="D199" s="306">
        <f t="shared" ca="1" si="95"/>
        <v>6.8430927884838519</v>
      </c>
      <c r="E199" s="307">
        <f t="shared" ca="1" si="96"/>
        <v>52.879890003243851</v>
      </c>
      <c r="F199" s="304">
        <f t="shared" ca="1" si="97"/>
        <v>53.320827878672034</v>
      </c>
      <c r="G199" s="306">
        <f t="shared" ca="1" si="98"/>
        <v>15.07890480842226</v>
      </c>
      <c r="H199" s="307">
        <f t="shared" ca="1" si="99"/>
        <v>138.04044539576037</v>
      </c>
      <c r="I199" s="304">
        <f t="shared" ca="1" si="100"/>
        <v>138.86157832633677</v>
      </c>
      <c r="J199" s="306">
        <f t="shared" ca="1" si="101"/>
        <v>14.734788621488352</v>
      </c>
      <c r="K199" s="307">
        <f t="shared" ca="1" si="102"/>
        <v>143.64140051104121</v>
      </c>
      <c r="L199" s="304">
        <f t="shared" ca="1" si="87"/>
        <v>144.39517282961123</v>
      </c>
      <c r="M199" s="306">
        <f t="shared" ca="1" si="103"/>
        <v>1.4619923105875852</v>
      </c>
      <c r="N199" s="304">
        <f t="shared" ca="1" si="104"/>
        <v>83.765989077248051</v>
      </c>
      <c r="P199" s="310">
        <f t="shared" ca="1" si="105"/>
        <v>5</v>
      </c>
      <c r="Q199" s="304">
        <f t="shared" ca="1" si="106"/>
        <v>594.02999999999975</v>
      </c>
      <c r="R199" s="306">
        <f t="shared" ca="1" si="107"/>
        <v>0.29811598012019203</v>
      </c>
      <c r="S199" s="307">
        <f t="shared" ca="1" si="108"/>
        <v>8.3002125286027297</v>
      </c>
      <c r="T199" s="304">
        <f t="shared" ca="1" si="88"/>
        <v>81.425084905592783</v>
      </c>
      <c r="U199" s="311">
        <f t="shared" ca="1" si="89"/>
        <v>0</v>
      </c>
      <c r="V199" s="306">
        <f t="shared" ca="1" si="90"/>
        <v>1.2075294034849566</v>
      </c>
      <c r="W199" s="304">
        <f t="shared" ca="1" si="91"/>
        <v>71.135148333213806</v>
      </c>
      <c r="Y199" s="314" t="str">
        <f t="shared" ca="1" si="109"/>
        <v/>
      </c>
      <c r="Z199" s="315" t="str">
        <f t="shared" ca="1" si="110"/>
        <v/>
      </c>
      <c r="AA199" s="316" t="str">
        <f t="shared" ca="1" si="111"/>
        <v/>
      </c>
      <c r="AC199" s="310" t="e">
        <f t="shared" ca="1" si="112"/>
        <v>#N/A</v>
      </c>
      <c r="AD199" s="323" t="e">
        <f t="shared" ca="1" si="113"/>
        <v>#N/A</v>
      </c>
      <c r="AE199" s="324">
        <f t="shared" ca="1" si="92"/>
        <v>143.64140051104121</v>
      </c>
      <c r="AG199" s="306">
        <f t="shared" ca="1" si="114"/>
        <v>53.310200649677341</v>
      </c>
      <c r="AH199" s="304">
        <f t="shared" ca="1" si="115"/>
        <v>63.062272616284716</v>
      </c>
    </row>
    <row r="200" spans="1:34" x14ac:dyDescent="0.2">
      <c r="A200" s="347">
        <f t="shared" ca="1" si="93"/>
        <v>0.01</v>
      </c>
      <c r="B200" s="304">
        <f t="shared" ca="1" si="94"/>
        <v>1.9600000000000015</v>
      </c>
      <c r="D200" s="306">
        <f t="shared" ca="1" si="95"/>
        <v>6.8242381363659881</v>
      </c>
      <c r="E200" s="307">
        <f t="shared" ca="1" si="96"/>
        <v>52.66276468676508</v>
      </c>
      <c r="F200" s="304">
        <f t="shared" ca="1" si="97"/>
        <v>53.103079106539795</v>
      </c>
      <c r="G200" s="306">
        <f t="shared" ca="1" si="98"/>
        <v>15.147147189785921</v>
      </c>
      <c r="H200" s="307">
        <f t="shared" ca="1" si="99"/>
        <v>138.56707304262801</v>
      </c>
      <c r="I200" s="304">
        <f t="shared" ca="1" si="100"/>
        <v>139.39250266635594</v>
      </c>
      <c r="J200" s="306">
        <f t="shared" ca="1" si="101"/>
        <v>14.885918881479393</v>
      </c>
      <c r="K200" s="307">
        <f t="shared" ca="1" si="102"/>
        <v>145.02443810323317</v>
      </c>
      <c r="L200" s="304">
        <f t="shared" ca="1" si="87"/>
        <v>145.78641304354974</v>
      </c>
      <c r="M200" s="306">
        <f t="shared" ca="1" si="103"/>
        <v>1.4619158887819548</v>
      </c>
      <c r="N200" s="304">
        <f t="shared" ca="1" si="104"/>
        <v>83.761610430322662</v>
      </c>
      <c r="P200" s="310">
        <f t="shared" ca="1" si="105"/>
        <v>5</v>
      </c>
      <c r="Q200" s="304">
        <f t="shared" ca="1" si="106"/>
        <v>592.56999999999971</v>
      </c>
      <c r="R200" s="306">
        <f t="shared" ca="1" si="107"/>
        <v>0.29738327414410415</v>
      </c>
      <c r="S200" s="307">
        <f t="shared" ca="1" si="108"/>
        <v>8.2972386958612887</v>
      </c>
      <c r="T200" s="304">
        <f t="shared" ca="1" si="88"/>
        <v>81.395911606399252</v>
      </c>
      <c r="U200" s="311">
        <f t="shared" ca="1" si="89"/>
        <v>0</v>
      </c>
      <c r="V200" s="306">
        <f t="shared" ca="1" si="90"/>
        <v>1.2073624004803456</v>
      </c>
      <c r="W200" s="304">
        <f t="shared" ca="1" si="91"/>
        <v>71.670232011711519</v>
      </c>
      <c r="Y200" s="314" t="str">
        <f t="shared" ca="1" si="109"/>
        <v/>
      </c>
      <c r="Z200" s="315" t="str">
        <f t="shared" ca="1" si="110"/>
        <v/>
      </c>
      <c r="AA200" s="316" t="str">
        <f t="shared" ca="1" si="111"/>
        <v/>
      </c>
      <c r="AC200" s="310" t="e">
        <f t="shared" ca="1" si="112"/>
        <v>#N/A</v>
      </c>
      <c r="AD200" s="323" t="e">
        <f t="shared" ca="1" si="113"/>
        <v>#N/A</v>
      </c>
      <c r="AE200" s="324">
        <f t="shared" ca="1" si="92"/>
        <v>145.02443810323317</v>
      </c>
      <c r="AG200" s="306">
        <f t="shared" ca="1" si="114"/>
        <v>53.092393297269318</v>
      </c>
      <c r="AH200" s="304">
        <f t="shared" ca="1" si="115"/>
        <v>62.844383629324859</v>
      </c>
    </row>
    <row r="201" spans="1:34" x14ac:dyDescent="0.2">
      <c r="A201" s="347">
        <f t="shared" ca="1" si="93"/>
        <v>0.01</v>
      </c>
      <c r="B201" s="304">
        <f t="shared" ca="1" si="94"/>
        <v>1.9700000000000015</v>
      </c>
      <c r="D201" s="306">
        <f t="shared" ca="1" si="95"/>
        <v>6.8053167280821967</v>
      </c>
      <c r="E201" s="307">
        <f t="shared" ca="1" si="96"/>
        <v>52.44547347782202</v>
      </c>
      <c r="F201" s="304">
        <f t="shared" ca="1" si="97"/>
        <v>52.885158826295005</v>
      </c>
      <c r="G201" s="306">
        <f t="shared" ca="1" si="98"/>
        <v>15.215200357066742</v>
      </c>
      <c r="H201" s="307">
        <f t="shared" ca="1" si="99"/>
        <v>139.09152777740624</v>
      </c>
      <c r="I201" s="304">
        <f t="shared" ca="1" si="100"/>
        <v>139.92124721198942</v>
      </c>
      <c r="J201" s="306">
        <f t="shared" ca="1" si="101"/>
        <v>15.037730619213656</v>
      </c>
      <c r="K201" s="307">
        <f t="shared" ca="1" si="102"/>
        <v>146.41273110733334</v>
      </c>
      <c r="L201" s="304">
        <f t="shared" ca="1" si="87"/>
        <v>147.18295136490616</v>
      </c>
      <c r="M201" s="306">
        <f t="shared" ca="1" si="103"/>
        <v>1.4618397025016476</v>
      </c>
      <c r="N201" s="304">
        <f t="shared" ca="1" si="104"/>
        <v>83.757245278004262</v>
      </c>
      <c r="P201" s="310">
        <f t="shared" ca="1" si="105"/>
        <v>5</v>
      </c>
      <c r="Q201" s="304">
        <f t="shared" ca="1" si="106"/>
        <v>591.10999999999979</v>
      </c>
      <c r="R201" s="306">
        <f t="shared" ca="1" si="107"/>
        <v>0.29665056816801633</v>
      </c>
      <c r="S201" s="307">
        <f t="shared" ca="1" si="108"/>
        <v>8.2942721901796084</v>
      </c>
      <c r="T201" s="304">
        <f t="shared" ca="1" si="88"/>
        <v>81.366810185661961</v>
      </c>
      <c r="U201" s="311">
        <f t="shared" ca="1" si="89"/>
        <v>0</v>
      </c>
      <c r="V201" s="306">
        <f t="shared" ca="1" si="90"/>
        <v>1.2071947859402736</v>
      </c>
      <c r="W201" s="304">
        <f t="shared" ca="1" si="91"/>
        <v>72.20495781918514</v>
      </c>
      <c r="Y201" s="314" t="str">
        <f t="shared" ca="1" si="109"/>
        <v/>
      </c>
      <c r="Z201" s="315" t="str">
        <f t="shared" ca="1" si="110"/>
        <v/>
      </c>
      <c r="AA201" s="316" t="str">
        <f t="shared" ca="1" si="111"/>
        <v/>
      </c>
      <c r="AC201" s="310" t="e">
        <f t="shared" ca="1" si="112"/>
        <v>#N/A</v>
      </c>
      <c r="AD201" s="323" t="e">
        <f t="shared" ca="1" si="113"/>
        <v>#N/A</v>
      </c>
      <c r="AE201" s="324">
        <f t="shared" ca="1" si="92"/>
        <v>146.41273110733334</v>
      </c>
      <c r="AG201" s="306">
        <f t="shared" ca="1" si="114"/>
        <v>52.874413955757596</v>
      </c>
      <c r="AH201" s="304">
        <f t="shared" ca="1" si="115"/>
        <v>62.626322850039003</v>
      </c>
    </row>
    <row r="202" spans="1:34" x14ac:dyDescent="0.2">
      <c r="A202" s="347">
        <f t="shared" ca="1" si="93"/>
        <v>0.01</v>
      </c>
      <c r="B202" s="304">
        <f t="shared" ca="1" si="94"/>
        <v>1.9800000000000015</v>
      </c>
      <c r="D202" s="306">
        <f t="shared" ca="1" si="95"/>
        <v>6.7863292653249117</v>
      </c>
      <c r="E202" s="307">
        <f t="shared" ca="1" si="96"/>
        <v>52.228020095881185</v>
      </c>
      <c r="F202" s="304">
        <f t="shared" ca="1" si="97"/>
        <v>52.6670708131103</v>
      </c>
      <c r="G202" s="306">
        <f t="shared" ca="1" si="98"/>
        <v>15.28306364971999</v>
      </c>
      <c r="H202" s="307">
        <f t="shared" ca="1" si="99"/>
        <v>139.61380797836506</v>
      </c>
      <c r="I202" s="304">
        <f t="shared" ca="1" si="100"/>
        <v>140.44781028104777</v>
      </c>
      <c r="J202" s="306">
        <f t="shared" ca="1" si="101"/>
        <v>15.190221939247589</v>
      </c>
      <c r="K202" s="307">
        <f t="shared" ca="1" si="102"/>
        <v>147.80625778611221</v>
      </c>
      <c r="L202" s="304">
        <f t="shared" ca="1" si="87"/>
        <v>148.58476598661875</v>
      </c>
      <c r="M202" s="306">
        <f t="shared" ca="1" si="103"/>
        <v>1.461763748957585</v>
      </c>
      <c r="N202" s="304">
        <f t="shared" ca="1" si="104"/>
        <v>83.752893460490412</v>
      </c>
      <c r="P202" s="310">
        <f t="shared" ca="1" si="105"/>
        <v>5</v>
      </c>
      <c r="Q202" s="304">
        <f t="shared" ca="1" si="106"/>
        <v>589.64999999999975</v>
      </c>
      <c r="R202" s="306">
        <f t="shared" ca="1" si="107"/>
        <v>0.29591786219192839</v>
      </c>
      <c r="S202" s="307">
        <f t="shared" ca="1" si="108"/>
        <v>8.2913130115576887</v>
      </c>
      <c r="T202" s="304">
        <f t="shared" ca="1" si="88"/>
        <v>81.337780643380924</v>
      </c>
      <c r="U202" s="311">
        <f t="shared" ca="1" si="89"/>
        <v>0</v>
      </c>
      <c r="V202" s="306">
        <f t="shared" ca="1" si="90"/>
        <v>1.2070265627462031</v>
      </c>
      <c r="W202" s="304">
        <f t="shared" ca="1" si="91"/>
        <v>72.739297929432382</v>
      </c>
      <c r="Y202" s="314" t="str">
        <f t="shared" ca="1" si="109"/>
        <v/>
      </c>
      <c r="Z202" s="315" t="str">
        <f t="shared" ca="1" si="110"/>
        <v/>
      </c>
      <c r="AA202" s="316" t="str">
        <f t="shared" ca="1" si="111"/>
        <v/>
      </c>
      <c r="AC202" s="310" t="e">
        <f t="shared" ca="1" si="112"/>
        <v>#N/A</v>
      </c>
      <c r="AD202" s="323" t="e">
        <f t="shared" ca="1" si="113"/>
        <v>#N/A</v>
      </c>
      <c r="AE202" s="324">
        <f t="shared" ca="1" si="92"/>
        <v>147.80625778611221</v>
      </c>
      <c r="AG202" s="306">
        <f t="shared" ca="1" si="114"/>
        <v>52.656266394077818</v>
      </c>
      <c r="AH202" s="304">
        <f t="shared" ca="1" si="115"/>
        <v>62.408094044878212</v>
      </c>
    </row>
    <row r="203" spans="1:34" x14ac:dyDescent="0.2">
      <c r="A203" s="347">
        <f t="shared" ca="1" si="93"/>
        <v>0.01</v>
      </c>
      <c r="B203" s="304">
        <f t="shared" ca="1" si="94"/>
        <v>1.9900000000000015</v>
      </c>
      <c r="D203" s="306">
        <f t="shared" ca="1" si="95"/>
        <v>6.7672764450933398</v>
      </c>
      <c r="E203" s="307">
        <f t="shared" ca="1" si="96"/>
        <v>52.010408250350004</v>
      </c>
      <c r="F203" s="304">
        <f t="shared" ca="1" si="97"/>
        <v>52.448818831813462</v>
      </c>
      <c r="G203" s="306">
        <f t="shared" ca="1" si="98"/>
        <v>15.350736414170923</v>
      </c>
      <c r="H203" s="307">
        <f t="shared" ca="1" si="99"/>
        <v>140.13391206086857</v>
      </c>
      <c r="I203" s="304">
        <f t="shared" ca="1" si="100"/>
        <v>140.97219022892634</v>
      </c>
      <c r="J203" s="306">
        <f t="shared" ca="1" si="101"/>
        <v>15.343390939567044</v>
      </c>
      <c r="K203" s="307">
        <f t="shared" ca="1" si="102"/>
        <v>149.20499638630838</v>
      </c>
      <c r="L203" s="304">
        <f t="shared" ca="1" si="87"/>
        <v>149.99183508498948</v>
      </c>
      <c r="M203" s="306">
        <f t="shared" ca="1" si="103"/>
        <v>1.46168802539993</v>
      </c>
      <c r="N203" s="304">
        <f t="shared" ca="1" si="104"/>
        <v>83.748554820227071</v>
      </c>
      <c r="P203" s="310">
        <f t="shared" ca="1" si="105"/>
        <v>5</v>
      </c>
      <c r="Q203" s="304">
        <f t="shared" ca="1" si="106"/>
        <v>588.18999999999971</v>
      </c>
      <c r="R203" s="306">
        <f t="shared" ca="1" si="107"/>
        <v>0.29518515621584052</v>
      </c>
      <c r="S203" s="307">
        <f t="shared" ca="1" si="108"/>
        <v>8.2883611599955298</v>
      </c>
      <c r="T203" s="304">
        <f t="shared" ca="1" si="88"/>
        <v>81.308822979556155</v>
      </c>
      <c r="U203" s="311">
        <f t="shared" ca="1" si="89"/>
        <v>0</v>
      </c>
      <c r="V203" s="306">
        <f t="shared" ca="1" si="90"/>
        <v>1.2068577337809596</v>
      </c>
      <c r="W203" s="304">
        <f t="shared" ca="1" si="91"/>
        <v>73.273224655457284</v>
      </c>
      <c r="Y203" s="314" t="str">
        <f t="shared" ca="1" si="109"/>
        <v/>
      </c>
      <c r="Z203" s="315" t="str">
        <f t="shared" ca="1" si="110"/>
        <v/>
      </c>
      <c r="AA203" s="316" t="str">
        <f t="shared" ca="1" si="111"/>
        <v/>
      </c>
      <c r="AC203" s="310" t="e">
        <f t="shared" ca="1" si="112"/>
        <v>#N/A</v>
      </c>
      <c r="AD203" s="323" t="e">
        <f t="shared" ca="1" si="113"/>
        <v>#N/A</v>
      </c>
      <c r="AE203" s="324">
        <f t="shared" ca="1" si="92"/>
        <v>149.20499638630838</v>
      </c>
      <c r="AG203" s="306">
        <f t="shared" ca="1" si="114"/>
        <v>52.437954370728761</v>
      </c>
      <c r="AH203" s="304">
        <f t="shared" ca="1" si="115"/>
        <v>62.189700969889365</v>
      </c>
    </row>
    <row r="204" spans="1:34" x14ac:dyDescent="0.2">
      <c r="A204" s="347">
        <f t="shared" ca="1" si="93"/>
        <v>0.01</v>
      </c>
      <c r="B204" s="304">
        <f t="shared" ca="1" si="94"/>
        <v>2.0000000000000013</v>
      </c>
      <c r="D204" s="306">
        <f t="shared" ca="1" si="95"/>
        <v>6.7481589597509046</v>
      </c>
      <c r="E204" s="307">
        <f t="shared" ca="1" si="96"/>
        <v>51.792641640405535</v>
      </c>
      <c r="F204" s="304">
        <f t="shared" ca="1" si="97"/>
        <v>52.230406636723934</v>
      </c>
      <c r="G204" s="306">
        <f t="shared" ca="1" si="98"/>
        <v>15.418218003768432</v>
      </c>
      <c r="H204" s="307">
        <f t="shared" ca="1" si="99"/>
        <v>140.65183847727263</v>
      </c>
      <c r="I204" s="304">
        <f t="shared" ca="1" si="100"/>
        <v>141.4943854484994</v>
      </c>
      <c r="J204" s="306">
        <f t="shared" ca="1" si="101"/>
        <v>15.497235711656741</v>
      </c>
      <c r="K204" s="307">
        <f t="shared" ca="1" si="102"/>
        <v>150.6089251389991</v>
      </c>
      <c r="L204" s="304">
        <f t="shared" ca="1" si="87"/>
        <v>151.40413682005945</v>
      </c>
      <c r="M204" s="306">
        <f t="shared" ca="1" si="103"/>
        <v>1.4616125291173074</v>
      </c>
      <c r="N204" s="304">
        <f t="shared" ca="1" si="104"/>
        <v>83.74422920186386</v>
      </c>
      <c r="P204" s="310">
        <f t="shared" ca="1" si="105"/>
        <v>5</v>
      </c>
      <c r="Q204" s="304">
        <f t="shared" ca="1" si="106"/>
        <v>586.72999999999979</v>
      </c>
      <c r="R204" s="306">
        <f t="shared" ca="1" si="107"/>
        <v>0.29445245023975269</v>
      </c>
      <c r="S204" s="307">
        <f t="shared" ca="1" si="108"/>
        <v>8.2854166354931316</v>
      </c>
      <c r="T204" s="304">
        <f t="shared" ca="1" si="88"/>
        <v>81.279937194187625</v>
      </c>
      <c r="U204" s="311">
        <f t="shared" ca="1" si="89"/>
        <v>0</v>
      </c>
      <c r="V204" s="306">
        <f t="shared" ca="1" si="90"/>
        <v>1.206688301928672</v>
      </c>
      <c r="W204" s="304">
        <f t="shared" ca="1" si="91"/>
        <v>73.806710450402477</v>
      </c>
      <c r="Y204" s="314" t="str">
        <f t="shared" ca="1" si="109"/>
        <v/>
      </c>
      <c r="Z204" s="315" t="str">
        <f t="shared" ca="1" si="110"/>
        <v/>
      </c>
      <c r="AA204" s="316" t="str">
        <f t="shared" ca="1" si="111"/>
        <v/>
      </c>
      <c r="AC204" s="310">
        <f t="shared" ca="1" si="112"/>
        <v>2.0000000000000013</v>
      </c>
      <c r="AD204" s="323">
        <f t="shared" ca="1" si="113"/>
        <v>15.497235711656741</v>
      </c>
      <c r="AE204" s="324">
        <f t="shared" ca="1" si="92"/>
        <v>150.6089251389991</v>
      </c>
      <c r="AG204" s="306">
        <f t="shared" ca="1" si="114"/>
        <v>52.219481633606719</v>
      </c>
      <c r="AH204" s="304">
        <f t="shared" ca="1" si="115"/>
        <v>61.971147370548927</v>
      </c>
    </row>
    <row r="205" spans="1:34" x14ac:dyDescent="0.2">
      <c r="A205" s="347">
        <f t="shared" ca="1" si="93"/>
        <v>0.01</v>
      </c>
      <c r="B205" s="304">
        <f t="shared" ca="1" si="94"/>
        <v>2.0100000000000011</v>
      </c>
      <c r="D205" s="306">
        <f t="shared" ca="1" si="95"/>
        <v>6.7289774970809795</v>
      </c>
      <c r="E205" s="307">
        <f t="shared" ca="1" si="96"/>
        <v>51.574723954824897</v>
      </c>
      <c r="F205" s="304">
        <f t="shared" ca="1" si="97"/>
        <v>52.011837971490792</v>
      </c>
      <c r="G205" s="306">
        <f t="shared" ca="1" si="98"/>
        <v>15.485507778739242</v>
      </c>
      <c r="H205" s="307">
        <f t="shared" ca="1" si="99"/>
        <v>141.16758571682089</v>
      </c>
      <c r="I205" s="304">
        <f t="shared" ca="1" si="100"/>
        <v>142.01439437001227</v>
      </c>
      <c r="J205" s="306">
        <f t="shared" ca="1" si="101"/>
        <v>15.651754340569278</v>
      </c>
      <c r="K205" s="307">
        <f t="shared" ca="1" si="102"/>
        <v>152.01802225996957</v>
      </c>
      <c r="L205" s="304">
        <f t="shared" ca="1" si="87"/>
        <v>152.82164933598293</v>
      </c>
      <c r="M205" s="306">
        <f t="shared" ca="1" si="103"/>
        <v>1.461537257436043</v>
      </c>
      <c r="N205" s="304">
        <f t="shared" ca="1" si="104"/>
        <v>83.739916452210565</v>
      </c>
      <c r="P205" s="310">
        <f t="shared" ca="1" si="105"/>
        <v>6</v>
      </c>
      <c r="Q205" s="304">
        <f t="shared" ca="1" si="106"/>
        <v>585.26999999999987</v>
      </c>
      <c r="R205" s="306">
        <f t="shared" ca="1" si="107"/>
        <v>0.29371974426366482</v>
      </c>
      <c r="S205" s="307">
        <f t="shared" ca="1" si="108"/>
        <v>8.2824794380504958</v>
      </c>
      <c r="T205" s="304">
        <f t="shared" ca="1" si="88"/>
        <v>81.251123287275362</v>
      </c>
      <c r="U205" s="311">
        <f t="shared" ca="1" si="89"/>
        <v>0</v>
      </c>
      <c r="V205" s="306">
        <f t="shared" ca="1" si="90"/>
        <v>1.206518270074713</v>
      </c>
      <c r="W205" s="304">
        <f t="shared" ca="1" si="91"/>
        <v>74.339727908464951</v>
      </c>
      <c r="Y205" s="314" t="str">
        <f t="shared" ca="1" si="109"/>
        <v/>
      </c>
      <c r="Z205" s="315" t="str">
        <f t="shared" ca="1" si="110"/>
        <v/>
      </c>
      <c r="AA205" s="316" t="str">
        <f t="shared" ca="1" si="111"/>
        <v/>
      </c>
      <c r="AC205" s="310" t="e">
        <f t="shared" ca="1" si="112"/>
        <v>#N/A</v>
      </c>
      <c r="AD205" s="323" t="e">
        <f t="shared" ca="1" si="113"/>
        <v>#N/A</v>
      </c>
      <c r="AE205" s="324">
        <f t="shared" ca="1" si="92"/>
        <v>152.01802225996957</v>
      </c>
      <c r="AG205" s="306">
        <f t="shared" ca="1" si="114"/>
        <v>52.000851919841566</v>
      </c>
      <c r="AH205" s="304">
        <f t="shared" ca="1" si="115"/>
        <v>61.752436981598358</v>
      </c>
    </row>
    <row r="206" spans="1:34" x14ac:dyDescent="0.2">
      <c r="A206" s="347">
        <f t="shared" ca="1" si="93"/>
        <v>0.01</v>
      </c>
      <c r="B206" s="304">
        <f t="shared" ca="1" si="94"/>
        <v>2.0200000000000009</v>
      </c>
      <c r="D206" s="306">
        <f t="shared" ca="1" si="95"/>
        <v>6.709732740340832</v>
      </c>
      <c r="E206" s="307">
        <f t="shared" ca="1" si="96"/>
        <v>51.35665887181775</v>
      </c>
      <c r="F206" s="304">
        <f t="shared" ca="1" si="97"/>
        <v>51.793116568932774</v>
      </c>
      <c r="G206" s="306">
        <f t="shared" ca="1" si="98"/>
        <v>15.55260510614265</v>
      </c>
      <c r="H206" s="307">
        <f t="shared" ca="1" si="99"/>
        <v>141.68115230553909</v>
      </c>
      <c r="I206" s="304">
        <f t="shared" ca="1" si="100"/>
        <v>142.53221546097211</v>
      </c>
      <c r="J206" s="306">
        <f t="shared" ca="1" si="101"/>
        <v>15.806944904993687</v>
      </c>
      <c r="K206" s="307">
        <f t="shared" ca="1" si="102"/>
        <v>153.43226595008136</v>
      </c>
      <c r="L206" s="304">
        <f t="shared" ca="1" si="87"/>
        <v>154.24435076140065</v>
      </c>
      <c r="M206" s="306">
        <f t="shared" ca="1" si="103"/>
        <v>1.4614622077194226</v>
      </c>
      <c r="N206" s="304">
        <f t="shared" ca="1" si="104"/>
        <v>83.73561642019456</v>
      </c>
      <c r="P206" s="310">
        <f t="shared" ca="1" si="105"/>
        <v>6</v>
      </c>
      <c r="Q206" s="304">
        <f t="shared" ca="1" si="106"/>
        <v>583.80999999999983</v>
      </c>
      <c r="R206" s="306">
        <f t="shared" ca="1" si="107"/>
        <v>0.29298703828757694</v>
      </c>
      <c r="S206" s="307">
        <f t="shared" ca="1" si="108"/>
        <v>8.2795495676676207</v>
      </c>
      <c r="T206" s="304">
        <f t="shared" ca="1" si="88"/>
        <v>81.222381258819368</v>
      </c>
      <c r="U206" s="311">
        <f t="shared" ca="1" si="89"/>
        <v>0</v>
      </c>
      <c r="V206" s="306">
        <f t="shared" ca="1" si="90"/>
        <v>1.2063476411056386</v>
      </c>
      <c r="W206" s="304">
        <f t="shared" ca="1" si="91"/>
        <v>74.872249765795843</v>
      </c>
      <c r="Y206" s="314" t="str">
        <f t="shared" ca="1" si="109"/>
        <v/>
      </c>
      <c r="Z206" s="315" t="str">
        <f t="shared" ca="1" si="110"/>
        <v/>
      </c>
      <c r="AA206" s="316" t="str">
        <f t="shared" ca="1" si="111"/>
        <v/>
      </c>
      <c r="AC206" s="310" t="e">
        <f t="shared" ca="1" si="112"/>
        <v>#N/A</v>
      </c>
      <c r="AD206" s="323" t="e">
        <f t="shared" ca="1" si="113"/>
        <v>#N/A</v>
      </c>
      <c r="AE206" s="324">
        <f t="shared" ca="1" si="92"/>
        <v>153.43226595008136</v>
      </c>
      <c r="AG206" s="306">
        <f t="shared" ca="1" si="114"/>
        <v>51.782068955634678</v>
      </c>
      <c r="AH206" s="304">
        <f t="shared" ca="1" si="115"/>
        <v>61.533573526881426</v>
      </c>
    </row>
    <row r="207" spans="1:34" x14ac:dyDescent="0.2">
      <c r="A207" s="347">
        <f t="shared" ca="1" si="93"/>
        <v>0.01</v>
      </c>
      <c r="B207" s="304">
        <f t="shared" ca="1" si="94"/>
        <v>2.0300000000000007</v>
      </c>
      <c r="D207" s="306">
        <f t="shared" ca="1" si="95"/>
        <v>6.6904253683138402</v>
      </c>
      <c r="E207" s="307">
        <f t="shared" ca="1" si="96"/>
        <v>51.138450058860634</v>
      </c>
      <c r="F207" s="304">
        <f t="shared" ca="1" si="97"/>
        <v>51.574246150880001</v>
      </c>
      <c r="G207" s="306">
        <f t="shared" ca="1" si="98"/>
        <v>15.619509359825788</v>
      </c>
      <c r="H207" s="307">
        <f t="shared" ca="1" si="99"/>
        <v>142.19253680612769</v>
      </c>
      <c r="I207" s="304">
        <f t="shared" ca="1" si="100"/>
        <v>143.04784722603713</v>
      </c>
      <c r="J207" s="306">
        <f t="shared" ca="1" si="101"/>
        <v>15.96280547732353</v>
      </c>
      <c r="K207" s="307">
        <f t="shared" ca="1" si="102"/>
        <v>154.85163439563968</v>
      </c>
      <c r="L207" s="304">
        <f t="shared" ca="1" si="87"/>
        <v>155.67221920981189</v>
      </c>
      <c r="M207" s="306">
        <f t="shared" ca="1" si="103"/>
        <v>1.4613873773669663</v>
      </c>
      <c r="N207" s="304">
        <f t="shared" ca="1" si="104"/>
        <v>83.73132895681934</v>
      </c>
      <c r="P207" s="310">
        <f t="shared" ca="1" si="105"/>
        <v>6</v>
      </c>
      <c r="Q207" s="304">
        <f t="shared" ca="1" si="106"/>
        <v>582.34999999999991</v>
      </c>
      <c r="R207" s="306">
        <f t="shared" ca="1" si="107"/>
        <v>0.29225433231148912</v>
      </c>
      <c r="S207" s="307">
        <f t="shared" ca="1" si="108"/>
        <v>8.2766270243445064</v>
      </c>
      <c r="T207" s="304">
        <f t="shared" ca="1" si="88"/>
        <v>81.193711108819613</v>
      </c>
      <c r="U207" s="311">
        <f t="shared" ca="1" si="89"/>
        <v>0</v>
      </c>
      <c r="V207" s="306">
        <f t="shared" ca="1" si="90"/>
        <v>1.2061764179091319</v>
      </c>
      <c r="W207" s="304">
        <f t="shared" ca="1" si="91"/>
        <v>75.404248901384548</v>
      </c>
      <c r="Y207" s="314" t="str">
        <f t="shared" ca="1" si="109"/>
        <v/>
      </c>
      <c r="Z207" s="315" t="str">
        <f t="shared" ca="1" si="110"/>
        <v/>
      </c>
      <c r="AA207" s="316" t="str">
        <f t="shared" ca="1" si="111"/>
        <v/>
      </c>
      <c r="AC207" s="310" t="e">
        <f t="shared" ca="1" si="112"/>
        <v>#N/A</v>
      </c>
      <c r="AD207" s="323" t="e">
        <f t="shared" ca="1" si="113"/>
        <v>#N/A</v>
      </c>
      <c r="AE207" s="324">
        <f t="shared" ca="1" si="92"/>
        <v>154.85163439563968</v>
      </c>
      <c r="AG207" s="306">
        <f t="shared" ca="1" si="114"/>
        <v>51.563136456098533</v>
      </c>
      <c r="AH207" s="304">
        <f t="shared" ca="1" si="115"/>
        <v>61.314560719183227</v>
      </c>
    </row>
    <row r="208" spans="1:34" x14ac:dyDescent="0.2">
      <c r="A208" s="347">
        <f t="shared" ca="1" si="93"/>
        <v>0.01</v>
      </c>
      <c r="B208" s="304">
        <f t="shared" ca="1" si="94"/>
        <v>2.0400000000000005</v>
      </c>
      <c r="D208" s="306">
        <f t="shared" ca="1" si="95"/>
        <v>6.671056055360209</v>
      </c>
      <c r="E208" s="307">
        <f t="shared" ca="1" si="96"/>
        <v>50.920101172533045</v>
      </c>
      <c r="F208" s="304">
        <f t="shared" ca="1" si="97"/>
        <v>51.35523042801735</v>
      </c>
      <c r="G208" s="306">
        <f t="shared" ca="1" si="98"/>
        <v>15.68621992037939</v>
      </c>
      <c r="H208" s="307">
        <f t="shared" ca="1" si="99"/>
        <v>142.70173781785303</v>
      </c>
      <c r="I208" s="304">
        <f t="shared" ca="1" si="100"/>
        <v>143.56128820690407</v>
      </c>
      <c r="J208" s="306">
        <f t="shared" ca="1" si="101"/>
        <v>16.119334123724556</v>
      </c>
      <c r="K208" s="307">
        <f t="shared" ca="1" si="102"/>
        <v>156.27610576875958</v>
      </c>
      <c r="L208" s="304">
        <f t="shared" ca="1" si="87"/>
        <v>157.10523277994531</v>
      </c>
      <c r="M208" s="306">
        <f t="shared" ca="1" si="103"/>
        <v>1.4613127638137242</v>
      </c>
      <c r="N208" s="304">
        <f t="shared" ca="1" si="104"/>
        <v>83.727053915124088</v>
      </c>
      <c r="P208" s="310">
        <f t="shared" ca="1" si="105"/>
        <v>6</v>
      </c>
      <c r="Q208" s="304">
        <f t="shared" ca="1" si="106"/>
        <v>580.88999999999987</v>
      </c>
      <c r="R208" s="306">
        <f t="shared" ca="1" si="107"/>
        <v>0.29152162633540124</v>
      </c>
      <c r="S208" s="307">
        <f t="shared" ca="1" si="108"/>
        <v>8.2737118080811527</v>
      </c>
      <c r="T208" s="304">
        <f t="shared" ca="1" si="88"/>
        <v>81.165112837276112</v>
      </c>
      <c r="U208" s="311">
        <f t="shared" ca="1" si="89"/>
        <v>0</v>
      </c>
      <c r="V208" s="306">
        <f t="shared" ca="1" si="90"/>
        <v>1.2060046033739396</v>
      </c>
      <c r="W208" s="304">
        <f t="shared" ca="1" si="91"/>
        <v>75.935698337925999</v>
      </c>
      <c r="Y208" s="314" t="str">
        <f t="shared" ca="1" si="109"/>
        <v/>
      </c>
      <c r="Z208" s="315" t="str">
        <f t="shared" ca="1" si="110"/>
        <v/>
      </c>
      <c r="AA208" s="316" t="str">
        <f t="shared" ca="1" si="111"/>
        <v/>
      </c>
      <c r="AC208" s="310" t="e">
        <f t="shared" ca="1" si="112"/>
        <v>#N/A</v>
      </c>
      <c r="AD208" s="323" t="e">
        <f t="shared" ca="1" si="113"/>
        <v>#N/A</v>
      </c>
      <c r="AE208" s="324">
        <f t="shared" ca="1" si="92"/>
        <v>156.27610576875958</v>
      </c>
      <c r="AG208" s="306">
        <f t="shared" ca="1" si="114"/>
        <v>51.344058125097874</v>
      </c>
      <c r="AH208" s="304">
        <f t="shared" ca="1" si="115"/>
        <v>61.095402260070749</v>
      </c>
    </row>
    <row r="209" spans="1:34" x14ac:dyDescent="0.2">
      <c r="A209" s="347">
        <f t="shared" ca="1" si="93"/>
        <v>0.01</v>
      </c>
      <c r="B209" s="304">
        <f t="shared" ca="1" si="94"/>
        <v>2.0500000000000003</v>
      </c>
      <c r="D209" s="306">
        <f t="shared" ca="1" si="95"/>
        <v>6.6516254714659304</v>
      </c>
      <c r="E209" s="307">
        <f t="shared" ca="1" si="96"/>
        <v>50.701615858355623</v>
      </c>
      <c r="F209" s="304">
        <f t="shared" ca="1" si="97"/>
        <v>51.136073099729828</v>
      </c>
      <c r="G209" s="306">
        <f t="shared" ca="1" si="98"/>
        <v>15.75273617509405</v>
      </c>
      <c r="H209" s="307">
        <f t="shared" ca="1" si="99"/>
        <v>143.20875397643658</v>
      </c>
      <c r="I209" s="304">
        <f t="shared" ca="1" si="100"/>
        <v>144.07253698219401</v>
      </c>
      <c r="J209" s="306">
        <f t="shared" ca="1" si="101"/>
        <v>16.276528904201925</v>
      </c>
      <c r="K209" s="307">
        <f t="shared" ca="1" si="102"/>
        <v>157.70565822773102</v>
      </c>
      <c r="L209" s="304">
        <f t="shared" ca="1" si="87"/>
        <v>158.54336955612879</v>
      </c>
      <c r="M209" s="306">
        <f t="shared" ca="1" si="103"/>
        <v>1.461238364529585</v>
      </c>
      <c r="N209" s="304">
        <f t="shared" ca="1" si="104"/>
        <v>83.722791150144118</v>
      </c>
      <c r="P209" s="310">
        <f t="shared" ca="1" si="105"/>
        <v>6</v>
      </c>
      <c r="Q209" s="304">
        <f t="shared" ca="1" si="106"/>
        <v>579.42999999999995</v>
      </c>
      <c r="R209" s="306">
        <f t="shared" ca="1" si="107"/>
        <v>0.29078892035931336</v>
      </c>
      <c r="S209" s="307">
        <f t="shared" ca="1" si="108"/>
        <v>8.2708039188775597</v>
      </c>
      <c r="T209" s="304">
        <f t="shared" ca="1" si="88"/>
        <v>81.136586444188865</v>
      </c>
      <c r="U209" s="311">
        <f t="shared" ca="1" si="89"/>
        <v>0</v>
      </c>
      <c r="V209" s="306">
        <f t="shared" ca="1" si="90"/>
        <v>1.2058322003898179</v>
      </c>
      <c r="W209" s="304">
        <f t="shared" ca="1" si="91"/>
        <v>76.466571242672472</v>
      </c>
      <c r="Y209" s="314" t="str">
        <f t="shared" ca="1" si="109"/>
        <v/>
      </c>
      <c r="Z209" s="315" t="str">
        <f t="shared" ca="1" si="110"/>
        <v/>
      </c>
      <c r="AA209" s="316" t="str">
        <f t="shared" ca="1" si="111"/>
        <v/>
      </c>
      <c r="AC209" s="310" t="e">
        <f t="shared" ca="1" si="112"/>
        <v>#N/A</v>
      </c>
      <c r="AD209" s="323" t="e">
        <f t="shared" ca="1" si="113"/>
        <v>#N/A</v>
      </c>
      <c r="AE209" s="324">
        <f t="shared" ca="1" si="92"/>
        <v>157.70565822773102</v>
      </c>
      <c r="AG209" s="306">
        <f t="shared" ca="1" si="114"/>
        <v>51.124837655092911</v>
      </c>
      <c r="AH209" s="304">
        <f t="shared" ca="1" si="115"/>
        <v>60.876101839735519</v>
      </c>
    </row>
    <row r="210" spans="1:34" x14ac:dyDescent="0.2">
      <c r="A210" s="347">
        <f t="shared" ca="1" si="93"/>
        <v>0.01</v>
      </c>
      <c r="B210" s="304">
        <f t="shared" ca="1" si="94"/>
        <v>2.06</v>
      </c>
      <c r="D210" s="306">
        <f t="shared" ca="1" si="95"/>
        <v>6.6321342822903819</v>
      </c>
      <c r="E210" s="307">
        <f t="shared" ca="1" si="96"/>
        <v>50.482997750630027</v>
      </c>
      <c r="F210" s="304">
        <f t="shared" ca="1" si="97"/>
        <v>50.916777853949554</v>
      </c>
      <c r="G210" s="306">
        <f t="shared" ca="1" si="98"/>
        <v>15.819057517916955</v>
      </c>
      <c r="H210" s="307">
        <f t="shared" ca="1" si="99"/>
        <v>143.71358395394287</v>
      </c>
      <c r="I210" s="304">
        <f t="shared" ca="1" si="100"/>
        <v>144.58159216733696</v>
      </c>
      <c r="J210" s="306">
        <f t="shared" ca="1" si="101"/>
        <v>16.434387872666981</v>
      </c>
      <c r="K210" s="307">
        <f t="shared" ca="1" si="102"/>
        <v>159.14026991738291</v>
      </c>
      <c r="L210" s="304">
        <f t="shared" ca="1" si="87"/>
        <v>159.98660760865815</v>
      </c>
      <c r="M210" s="306">
        <f t="shared" ca="1" si="103"/>
        <v>1.4611641770186035</v>
      </c>
      <c r="N210" s="304">
        <f t="shared" ca="1" si="104"/>
        <v>83.718540518872288</v>
      </c>
      <c r="P210" s="310">
        <f t="shared" ca="1" si="105"/>
        <v>6</v>
      </c>
      <c r="Q210" s="304">
        <f t="shared" ca="1" si="106"/>
        <v>577.97</v>
      </c>
      <c r="R210" s="306">
        <f t="shared" ca="1" si="107"/>
        <v>0.29005621438322554</v>
      </c>
      <c r="S210" s="307">
        <f t="shared" ca="1" si="108"/>
        <v>8.2679033567337274</v>
      </c>
      <c r="T210" s="304">
        <f t="shared" ca="1" si="88"/>
        <v>81.108131929557871</v>
      </c>
      <c r="U210" s="311">
        <f t="shared" ca="1" si="89"/>
        <v>0</v>
      </c>
      <c r="V210" s="306">
        <f t="shared" ca="1" si="90"/>
        <v>1.2056592118474714</v>
      </c>
      <c r="W210" s="304">
        <f t="shared" ca="1" si="91"/>
        <v>76.996840928269151</v>
      </c>
      <c r="Y210" s="314" t="str">
        <f t="shared" ca="1" si="109"/>
        <v/>
      </c>
      <c r="Z210" s="315" t="str">
        <f t="shared" ca="1" si="110"/>
        <v/>
      </c>
      <c r="AA210" s="316" t="str">
        <f t="shared" ca="1" si="111"/>
        <v/>
      </c>
      <c r="AC210" s="310" t="e">
        <f t="shared" ca="1" si="112"/>
        <v>#N/A</v>
      </c>
      <c r="AD210" s="323" t="e">
        <f t="shared" ca="1" si="113"/>
        <v>#N/A</v>
      </c>
      <c r="AE210" s="324">
        <f t="shared" ca="1" si="92"/>
        <v>159.14026991738291</v>
      </c>
      <c r="AG210" s="306">
        <f t="shared" ca="1" si="114"/>
        <v>50.905478726984015</v>
      </c>
      <c r="AH210" s="304">
        <f t="shared" ca="1" si="115"/>
        <v>60.656663136837729</v>
      </c>
    </row>
    <row r="211" spans="1:34" x14ac:dyDescent="0.2">
      <c r="A211" s="347">
        <f t="shared" ca="1" si="93"/>
        <v>0.01</v>
      </c>
      <c r="B211" s="304">
        <f t="shared" ca="1" si="94"/>
        <v>2.0699999999999998</v>
      </c>
      <c r="D211" s="306">
        <f t="shared" ca="1" si="95"/>
        <v>6.6125831492123774</v>
      </c>
      <c r="E211" s="307">
        <f t="shared" ca="1" si="96"/>
        <v>50.264250472280814</v>
      </c>
      <c r="F211" s="304">
        <f t="shared" ca="1" si="97"/>
        <v>50.697348367004651</v>
      </c>
      <c r="G211" s="306">
        <f t="shared" ca="1" si="98"/>
        <v>15.885183349409079</v>
      </c>
      <c r="H211" s="307">
        <f t="shared" ca="1" si="99"/>
        <v>144.21622645866569</v>
      </c>
      <c r="I211" s="304">
        <f t="shared" ca="1" si="100"/>
        <v>145.08845241445471</v>
      </c>
      <c r="J211" s="306">
        <f t="shared" ca="1" si="101"/>
        <v>16.592909077003611</v>
      </c>
      <c r="K211" s="307">
        <f t="shared" ca="1" si="102"/>
        <v>160.57991896944594</v>
      </c>
      <c r="L211" s="304">
        <f t="shared" ca="1" si="87"/>
        <v>161.43492499416453</v>
      </c>
      <c r="M211" s="306">
        <f t="shared" ca="1" si="103"/>
        <v>1.461090198818344</v>
      </c>
      <c r="N211" s="304">
        <f t="shared" ca="1" si="104"/>
        <v>83.714301880221456</v>
      </c>
      <c r="P211" s="310">
        <f t="shared" ca="1" si="105"/>
        <v>6</v>
      </c>
      <c r="Q211" s="304">
        <f t="shared" ca="1" si="106"/>
        <v>576.51</v>
      </c>
      <c r="R211" s="306">
        <f t="shared" ca="1" si="107"/>
        <v>0.28932350840713766</v>
      </c>
      <c r="S211" s="307">
        <f t="shared" ca="1" si="108"/>
        <v>8.2650101216496559</v>
      </c>
      <c r="T211" s="304">
        <f t="shared" ca="1" si="88"/>
        <v>81.079749293383131</v>
      </c>
      <c r="U211" s="311">
        <f t="shared" ca="1" si="89"/>
        <v>0</v>
      </c>
      <c r="V211" s="306">
        <f t="shared" ca="1" si="90"/>
        <v>1.2054856406384937</v>
      </c>
      <c r="W211" s="304">
        <f t="shared" ca="1" si="91"/>
        <v>77.52648085357346</v>
      </c>
      <c r="Y211" s="314" t="str">
        <f t="shared" ca="1" si="109"/>
        <v/>
      </c>
      <c r="Z211" s="315" t="str">
        <f t="shared" ca="1" si="110"/>
        <v/>
      </c>
      <c r="AA211" s="316" t="str">
        <f t="shared" ca="1" si="111"/>
        <v/>
      </c>
      <c r="AC211" s="310" t="e">
        <f t="shared" ca="1" si="112"/>
        <v>#N/A</v>
      </c>
      <c r="AD211" s="323" t="e">
        <f t="shared" ca="1" si="113"/>
        <v>#N/A</v>
      </c>
      <c r="AE211" s="324">
        <f t="shared" ca="1" si="92"/>
        <v>160.57991896944594</v>
      </c>
      <c r="AG211" s="306">
        <f t="shared" ca="1" si="114"/>
        <v>50.685985009958273</v>
      </c>
      <c r="AH211" s="304">
        <f t="shared" ca="1" si="115"/>
        <v>60.43708981835227</v>
      </c>
    </row>
    <row r="212" spans="1:34" x14ac:dyDescent="0.2">
      <c r="A212" s="347">
        <f t="shared" ca="1" si="93"/>
        <v>0.01</v>
      </c>
      <c r="B212" s="304">
        <f t="shared" ca="1" si="94"/>
        <v>2.0799999999999996</v>
      </c>
      <c r="D212" s="306">
        <f t="shared" ca="1" si="95"/>
        <v>6.5929727293747638</v>
      </c>
      <c r="E212" s="307">
        <f t="shared" ca="1" si="96"/>
        <v>50.045377634699292</v>
      </c>
      <c r="F212" s="304">
        <f t="shared" ca="1" si="97"/>
        <v>50.477788303470064</v>
      </c>
      <c r="G212" s="306">
        <f t="shared" ca="1" si="98"/>
        <v>15.951113076702827</v>
      </c>
      <c r="H212" s="307">
        <f t="shared" ca="1" si="99"/>
        <v>144.71668023501269</v>
      </c>
      <c r="I212" s="304">
        <f t="shared" ca="1" si="100"/>
        <v>145.59311641224207</v>
      </c>
      <c r="J212" s="306">
        <f t="shared" ca="1" si="101"/>
        <v>16.752090559134171</v>
      </c>
      <c r="K212" s="307">
        <f t="shared" ca="1" si="102"/>
        <v>162.02458350291434</v>
      </c>
      <c r="L212" s="304">
        <f t="shared" ca="1" si="87"/>
        <v>162.88829975598091</v>
      </c>
      <c r="M212" s="306">
        <f t="shared" ca="1" si="103"/>
        <v>1.4610164274992381</v>
      </c>
      <c r="N212" s="304">
        <f t="shared" ca="1" si="104"/>
        <v>83.710075094987573</v>
      </c>
      <c r="P212" s="310">
        <f t="shared" ca="1" si="105"/>
        <v>6</v>
      </c>
      <c r="Q212" s="304">
        <f t="shared" ca="1" si="106"/>
        <v>575.05000000000007</v>
      </c>
      <c r="R212" s="306">
        <f t="shared" ca="1" si="107"/>
        <v>0.28859080243104984</v>
      </c>
      <c r="S212" s="307">
        <f t="shared" ca="1" si="108"/>
        <v>8.262124213625345</v>
      </c>
      <c r="T212" s="304">
        <f t="shared" ca="1" si="88"/>
        <v>81.051438535664644</v>
      </c>
      <c r="U212" s="311">
        <f t="shared" ca="1" si="89"/>
        <v>0</v>
      </c>
      <c r="V212" s="306">
        <f t="shared" ca="1" si="90"/>
        <v>1.2053114896553128</v>
      </c>
      <c r="W212" s="304">
        <f t="shared" ca="1" si="91"/>
        <v>78.055464624458821</v>
      </c>
      <c r="Y212" s="314" t="str">
        <f t="shared" ca="1" si="109"/>
        <v/>
      </c>
      <c r="Z212" s="315" t="str">
        <f t="shared" ca="1" si="110"/>
        <v/>
      </c>
      <c r="AA212" s="316" t="str">
        <f t="shared" ca="1" si="111"/>
        <v/>
      </c>
      <c r="AC212" s="310" t="e">
        <f t="shared" ca="1" si="112"/>
        <v>#N/A</v>
      </c>
      <c r="AD212" s="323" t="e">
        <f t="shared" ca="1" si="113"/>
        <v>#N/A</v>
      </c>
      <c r="AE212" s="324">
        <f t="shared" ca="1" si="92"/>
        <v>162.02458350291434</v>
      </c>
      <c r="AG212" s="306">
        <f t="shared" ca="1" si="114"/>
        <v>50.46636016133791</v>
      </c>
      <c r="AH212" s="304">
        <f t="shared" ca="1" si="115"/>
        <v>60.217385539416604</v>
      </c>
    </row>
    <row r="213" spans="1:34" x14ac:dyDescent="0.2">
      <c r="A213" s="347">
        <f t="shared" ca="1" si="93"/>
        <v>0.01</v>
      </c>
      <c r="B213" s="304">
        <f t="shared" ca="1" si="94"/>
        <v>2.0899999999999994</v>
      </c>
      <c r="D213" s="306">
        <f t="shared" ca="1" si="95"/>
        <v>6.5733036757277175</v>
      </c>
      <c r="E213" s="307">
        <f t="shared" ca="1" si="96"/>
        <v>49.826382837588987</v>
      </c>
      <c r="F213" s="304">
        <f t="shared" ca="1" si="97"/>
        <v>50.258101316019868</v>
      </c>
      <c r="G213" s="306">
        <f t="shared" ca="1" si="98"/>
        <v>16.016846113460105</v>
      </c>
      <c r="H213" s="307">
        <f t="shared" ca="1" si="99"/>
        <v>145.21494406338857</v>
      </c>
      <c r="I213" s="304">
        <f t="shared" ca="1" si="100"/>
        <v>146.0955828858468</v>
      </c>
      <c r="J213" s="306">
        <f t="shared" ca="1" si="101"/>
        <v>16.911930355084987</v>
      </c>
      <c r="K213" s="307">
        <f t="shared" ca="1" si="102"/>
        <v>163.47424162440635</v>
      </c>
      <c r="L213" s="304">
        <f t="shared" ca="1" si="87"/>
        <v>164.34670992450697</v>
      </c>
      <c r="M213" s="306">
        <f t="shared" ca="1" si="103"/>
        <v>1.4609428606639585</v>
      </c>
      <c r="N213" s="304">
        <f t="shared" ca="1" si="104"/>
        <v>83.705860025813919</v>
      </c>
      <c r="P213" s="310">
        <f t="shared" ca="1" si="105"/>
        <v>6</v>
      </c>
      <c r="Q213" s="304">
        <f t="shared" ca="1" si="106"/>
        <v>573.59</v>
      </c>
      <c r="R213" s="306">
        <f t="shared" ca="1" si="107"/>
        <v>0.28785809645496191</v>
      </c>
      <c r="S213" s="307">
        <f t="shared" ca="1" si="108"/>
        <v>8.2592456326607948</v>
      </c>
      <c r="T213" s="304">
        <f t="shared" ca="1" si="88"/>
        <v>81.023199656402397</v>
      </c>
      <c r="U213" s="311">
        <f t="shared" ca="1" si="89"/>
        <v>0</v>
      </c>
      <c r="V213" s="306">
        <f t="shared" ca="1" si="90"/>
        <v>1.2051367617911302</v>
      </c>
      <c r="W213" s="304">
        <f t="shared" ca="1" si="91"/>
        <v>78.583765994601904</v>
      </c>
      <c r="Y213" s="314" t="str">
        <f t="shared" ca="1" si="109"/>
        <v/>
      </c>
      <c r="Z213" s="315" t="str">
        <f t="shared" ca="1" si="110"/>
        <v/>
      </c>
      <c r="AA213" s="316" t="str">
        <f t="shared" ca="1" si="111"/>
        <v/>
      </c>
      <c r="AC213" s="310" t="e">
        <f t="shared" ca="1" si="112"/>
        <v>#N/A</v>
      </c>
      <c r="AD213" s="323" t="e">
        <f t="shared" ca="1" si="113"/>
        <v>#N/A</v>
      </c>
      <c r="AE213" s="324">
        <f t="shared" ca="1" si="92"/>
        <v>163.47424162440635</v>
      </c>
      <c r="AG213" s="306">
        <f t="shared" ca="1" si="114"/>
        <v>50.246607826430221</v>
      </c>
      <c r="AH213" s="304">
        <f t="shared" ca="1" si="115"/>
        <v>59.997553943180165</v>
      </c>
    </row>
    <row r="214" spans="1:34" x14ac:dyDescent="0.2">
      <c r="A214" s="347">
        <f t="shared" ca="1" si="93"/>
        <v>0.01</v>
      </c>
      <c r="B214" s="304">
        <f t="shared" ca="1" si="94"/>
        <v>2.0999999999999992</v>
      </c>
      <c r="D214" s="306">
        <f t="shared" ca="1" si="95"/>
        <v>6.5535766370706403</v>
      </c>
      <c r="E214" s="307">
        <f t="shared" ca="1" si="96"/>
        <v>49.607269668813338</v>
      </c>
      <c r="F214" s="304">
        <f t="shared" ca="1" si="97"/>
        <v>50.038291045281767</v>
      </c>
      <c r="G214" s="306">
        <f t="shared" ca="1" si="98"/>
        <v>16.082381879830812</v>
      </c>
      <c r="H214" s="307">
        <f t="shared" ca="1" si="99"/>
        <v>145.71101676007672</v>
      </c>
      <c r="I214" s="304">
        <f t="shared" ca="1" si="100"/>
        <v>146.59585059674802</v>
      </c>
      <c r="J214" s="306">
        <f t="shared" ca="1" si="101"/>
        <v>17.072426495051442</v>
      </c>
      <c r="K214" s="307">
        <f t="shared" ca="1" si="102"/>
        <v>164.92887142852368</v>
      </c>
      <c r="L214" s="304">
        <f t="shared" ca="1" si="87"/>
        <v>165.81013351757312</v>
      </c>
      <c r="M214" s="306">
        <f t="shared" ca="1" si="103"/>
        <v>1.4608694959468072</v>
      </c>
      <c r="N214" s="304">
        <f t="shared" ca="1" si="104"/>
        <v>83.701656537155969</v>
      </c>
      <c r="P214" s="310">
        <f t="shared" ca="1" si="105"/>
        <v>6</v>
      </c>
      <c r="Q214" s="304">
        <f t="shared" ca="1" si="106"/>
        <v>572.13000000000011</v>
      </c>
      <c r="R214" s="306">
        <f t="shared" ca="1" si="107"/>
        <v>0.28712539047887409</v>
      </c>
      <c r="S214" s="307">
        <f t="shared" ca="1" si="108"/>
        <v>8.2563743787560053</v>
      </c>
      <c r="T214" s="304">
        <f t="shared" ca="1" si="88"/>
        <v>80.995032655596418</v>
      </c>
      <c r="U214" s="311">
        <f t="shared" ca="1" si="89"/>
        <v>0</v>
      </c>
      <c r="V214" s="306">
        <f t="shared" ca="1" si="90"/>
        <v>1.2049614599398655</v>
      </c>
      <c r="W214" s="304">
        <f t="shared" ca="1" si="91"/>
        <v>79.11135886625452</v>
      </c>
      <c r="Y214" s="314" t="str">
        <f t="shared" ca="1" si="109"/>
        <v/>
      </c>
      <c r="Z214" s="315" t="str">
        <f t="shared" ca="1" si="110"/>
        <v/>
      </c>
      <c r="AA214" s="316" t="str">
        <f t="shared" ca="1" si="111"/>
        <v/>
      </c>
      <c r="AC214" s="310" t="e">
        <f t="shared" ca="1" si="112"/>
        <v>#N/A</v>
      </c>
      <c r="AD214" s="323" t="e">
        <f t="shared" ca="1" si="113"/>
        <v>#N/A</v>
      </c>
      <c r="AE214" s="324">
        <f t="shared" ca="1" si="92"/>
        <v>164.92887142852368</v>
      </c>
      <c r="AG214" s="306">
        <f t="shared" ca="1" si="114"/>
        <v>50.026731638379516</v>
      </c>
      <c r="AH214" s="304">
        <f t="shared" ca="1" si="115"/>
        <v>59.777598660655848</v>
      </c>
    </row>
    <row r="215" spans="1:34" x14ac:dyDescent="0.2">
      <c r="A215" s="347">
        <f t="shared" ca="1" si="93"/>
        <v>0.01</v>
      </c>
      <c r="B215" s="304">
        <f t="shared" ca="1" si="94"/>
        <v>2.109999999999999</v>
      </c>
      <c r="D215" s="306">
        <f t="shared" ca="1" si="95"/>
        <v>6.5337922580927934</v>
      </c>
      <c r="E215" s="307">
        <f t="shared" ca="1" si="96"/>
        <v>49.388041704244976</v>
      </c>
      <c r="F215" s="304">
        <f t="shared" ca="1" si="97"/>
        <v>49.818361119693151</v>
      </c>
      <c r="G215" s="306">
        <f t="shared" ca="1" si="98"/>
        <v>16.147719802411739</v>
      </c>
      <c r="H215" s="307">
        <f t="shared" ca="1" si="99"/>
        <v>146.20489717711916</v>
      </c>
      <c r="I215" s="304">
        <f t="shared" ca="1" si="100"/>
        <v>147.093918342633</v>
      </c>
      <c r="J215" s="306">
        <f t="shared" ca="1" si="101"/>
        <v>17.233577003462653</v>
      </c>
      <c r="K215" s="307">
        <f t="shared" ca="1" si="102"/>
        <v>166.38845099820966</v>
      </c>
      <c r="L215" s="304">
        <f t="shared" ca="1" si="87"/>
        <v>167.27854854080331</v>
      </c>
      <c r="M215" s="306">
        <f t="shared" ca="1" si="103"/>
        <v>1.4607963310131182</v>
      </c>
      <c r="N215" s="304">
        <f t="shared" ca="1" si="104"/>
        <v>83.697464495247246</v>
      </c>
      <c r="P215" s="310">
        <f t="shared" ca="1" si="105"/>
        <v>6</v>
      </c>
      <c r="Q215" s="304">
        <f t="shared" ca="1" si="106"/>
        <v>570.67000000000019</v>
      </c>
      <c r="R215" s="306">
        <f t="shared" ca="1" si="107"/>
        <v>0.28639268450278627</v>
      </c>
      <c r="S215" s="307">
        <f t="shared" ca="1" si="108"/>
        <v>8.2535104519109783</v>
      </c>
      <c r="T215" s="304">
        <f t="shared" ca="1" si="88"/>
        <v>80.966937533246707</v>
      </c>
      <c r="U215" s="311">
        <f t="shared" ca="1" si="89"/>
        <v>0</v>
      </c>
      <c r="V215" s="306">
        <f t="shared" ca="1" si="90"/>
        <v>1.2047855869960973</v>
      </c>
      <c r="W215" s="304">
        <f t="shared" ca="1" si="91"/>
        <v>79.638217290998824</v>
      </c>
      <c r="Y215" s="314" t="str">
        <f t="shared" ca="1" si="109"/>
        <v/>
      </c>
      <c r="Z215" s="315" t="str">
        <f t="shared" ca="1" si="110"/>
        <v/>
      </c>
      <c r="AA215" s="316" t="str">
        <f t="shared" ca="1" si="111"/>
        <v/>
      </c>
      <c r="AC215" s="310" t="e">
        <f t="shared" ca="1" si="112"/>
        <v>#N/A</v>
      </c>
      <c r="AD215" s="323" t="e">
        <f t="shared" ca="1" si="113"/>
        <v>#N/A</v>
      </c>
      <c r="AE215" s="324">
        <f t="shared" ca="1" si="92"/>
        <v>166.38845099820966</v>
      </c>
      <c r="AG215" s="306">
        <f t="shared" ca="1" si="114"/>
        <v>49.80673521802062</v>
      </c>
      <c r="AH215" s="304">
        <f t="shared" ca="1" si="115"/>
        <v>59.557523310572961</v>
      </c>
    </row>
    <row r="216" spans="1:34" x14ac:dyDescent="0.2">
      <c r="A216" s="347">
        <f t="shared" ca="1" si="93"/>
        <v>0.01</v>
      </c>
      <c r="B216" s="304">
        <f t="shared" ca="1" si="94"/>
        <v>2.1199999999999988</v>
      </c>
      <c r="D216" s="306">
        <f t="shared" ca="1" si="95"/>
        <v>6.5139511794126559</v>
      </c>
      <c r="E216" s="307">
        <f t="shared" ca="1" si="96"/>
        <v>49.168702507617226</v>
      </c>
      <c r="F216" s="304">
        <f t="shared" ca="1" si="97"/>
        <v>49.598315155359224</v>
      </c>
      <c r="G216" s="306">
        <f t="shared" ca="1" si="98"/>
        <v>16.212859314205865</v>
      </c>
      <c r="H216" s="307">
        <f t="shared" ca="1" si="99"/>
        <v>146.69658420219534</v>
      </c>
      <c r="I216" s="304">
        <f t="shared" ca="1" si="100"/>
        <v>147.58978495727277</v>
      </c>
      <c r="J216" s="306">
        <f t="shared" ca="1" si="101"/>
        <v>17.395379899045739</v>
      </c>
      <c r="K216" s="307">
        <f t="shared" ca="1" si="102"/>
        <v>167.85295840510622</v>
      </c>
      <c r="L216" s="304">
        <f t="shared" ca="1" si="87"/>
        <v>168.75193298797629</v>
      </c>
      <c r="M216" s="306">
        <f t="shared" ca="1" si="103"/>
        <v>1.4607233635586734</v>
      </c>
      <c r="N216" s="304">
        <f t="shared" ca="1" si="104"/>
        <v>83.69328376806574</v>
      </c>
      <c r="P216" s="310">
        <f t="shared" ca="1" si="105"/>
        <v>6</v>
      </c>
      <c r="Q216" s="304">
        <f t="shared" ca="1" si="106"/>
        <v>569.21000000000015</v>
      </c>
      <c r="R216" s="306">
        <f t="shared" ca="1" si="107"/>
        <v>0.28565997852669833</v>
      </c>
      <c r="S216" s="307">
        <f t="shared" ca="1" si="108"/>
        <v>8.250653852125712</v>
      </c>
      <c r="T216" s="304">
        <f t="shared" ca="1" si="88"/>
        <v>80.938914289353235</v>
      </c>
      <c r="U216" s="311">
        <f t="shared" ca="1" si="89"/>
        <v>0</v>
      </c>
      <c r="V216" s="306">
        <f t="shared" ca="1" si="90"/>
        <v>1.2046091458550068</v>
      </c>
      <c r="W216" s="304">
        <f t="shared" ca="1" si="91"/>
        <v>80.164315470487352</v>
      </c>
      <c r="Y216" s="314" t="str">
        <f t="shared" ca="1" si="109"/>
        <v/>
      </c>
      <c r="Z216" s="315" t="str">
        <f t="shared" ca="1" si="110"/>
        <v/>
      </c>
      <c r="AA216" s="316" t="str">
        <f t="shared" ca="1" si="111"/>
        <v/>
      </c>
      <c r="AC216" s="310" t="e">
        <f t="shared" ca="1" si="112"/>
        <v>#N/A</v>
      </c>
      <c r="AD216" s="323" t="e">
        <f t="shared" ca="1" si="113"/>
        <v>#N/A</v>
      </c>
      <c r="AE216" s="324">
        <f t="shared" ca="1" si="92"/>
        <v>167.85295840510622</v>
      </c>
      <c r="AG216" s="306">
        <f t="shared" ca="1" si="114"/>
        <v>49.586622173734398</v>
      </c>
      <c r="AH216" s="304">
        <f t="shared" ca="1" si="115"/>
        <v>59.337331499232306</v>
      </c>
    </row>
    <row r="217" spans="1:34" x14ac:dyDescent="0.2">
      <c r="A217" s="347">
        <f t="shared" ca="1" si="93"/>
        <v>0.01</v>
      </c>
      <c r="B217" s="304">
        <f t="shared" ca="1" si="94"/>
        <v>2.1299999999999986</v>
      </c>
      <c r="D217" s="306">
        <f t="shared" ca="1" si="95"/>
        <v>6.4940540376161566</v>
      </c>
      <c r="E217" s="307">
        <f t="shared" ca="1" si="96"/>
        <v>48.949255630377181</v>
      </c>
      <c r="F217" s="304">
        <f t="shared" ca="1" si="97"/>
        <v>49.378156755912741</v>
      </c>
      <c r="G217" s="306">
        <f t="shared" ca="1" si="98"/>
        <v>16.277799854582025</v>
      </c>
      <c r="H217" s="307">
        <f t="shared" ca="1" si="99"/>
        <v>147.1860767584991</v>
      </c>
      <c r="I217" s="304">
        <f t="shared" ca="1" si="100"/>
        <v>148.08344931039599</v>
      </c>
      <c r="J217" s="306">
        <f t="shared" ca="1" si="101"/>
        <v>17.557833194889678</v>
      </c>
      <c r="K217" s="307">
        <f t="shared" ca="1" si="102"/>
        <v>169.3223717099097</v>
      </c>
      <c r="L217" s="304">
        <f t="shared" ca="1" si="87"/>
        <v>170.23026484138595</v>
      </c>
      <c r="M217" s="306">
        <f t="shared" ca="1" si="103"/>
        <v>1.460650591309133</v>
      </c>
      <c r="N217" s="304">
        <f t="shared" ca="1" si="104"/>
        <v>83.68911422530141</v>
      </c>
      <c r="P217" s="310">
        <f t="shared" ca="1" si="105"/>
        <v>6</v>
      </c>
      <c r="Q217" s="304">
        <f t="shared" ca="1" si="106"/>
        <v>567.75000000000023</v>
      </c>
      <c r="R217" s="306">
        <f t="shared" ca="1" si="107"/>
        <v>0.28492727255061051</v>
      </c>
      <c r="S217" s="307">
        <f t="shared" ca="1" si="108"/>
        <v>8.2478045794002064</v>
      </c>
      <c r="T217" s="304">
        <f t="shared" ca="1" si="88"/>
        <v>80.910962923916031</v>
      </c>
      <c r="U217" s="311">
        <f t="shared" ca="1" si="89"/>
        <v>0</v>
      </c>
      <c r="V217" s="306">
        <f t="shared" ca="1" si="90"/>
        <v>1.2044321394123212</v>
      </c>
      <c r="W217" s="304">
        <f t="shared" ca="1" si="91"/>
        <v>80.689627757166633</v>
      </c>
      <c r="Y217" s="314" t="str">
        <f t="shared" ca="1" si="109"/>
        <v/>
      </c>
      <c r="Z217" s="315" t="str">
        <f t="shared" ca="1" si="110"/>
        <v/>
      </c>
      <c r="AA217" s="316" t="str">
        <f t="shared" ca="1" si="111"/>
        <v/>
      </c>
      <c r="AC217" s="310" t="e">
        <f t="shared" ca="1" si="112"/>
        <v>#N/A</v>
      </c>
      <c r="AD217" s="323" t="e">
        <f t="shared" ca="1" si="113"/>
        <v>#N/A</v>
      </c>
      <c r="AE217" s="324">
        <f t="shared" ca="1" si="92"/>
        <v>169.3223717099097</v>
      </c>
      <c r="AG217" s="306">
        <f t="shared" ca="1" si="114"/>
        <v>49.366396101304858</v>
      </c>
      <c r="AH217" s="304">
        <f t="shared" ca="1" si="115"/>
        <v>59.117026820362774</v>
      </c>
    </row>
    <row r="218" spans="1:34" x14ac:dyDescent="0.2">
      <c r="A218" s="347">
        <f t="shared" ca="1" si="93"/>
        <v>0.01</v>
      </c>
      <c r="B218" s="304">
        <f t="shared" ca="1" si="94"/>
        <v>2.1399999999999983</v>
      </c>
      <c r="D218" s="306">
        <f t="shared" ca="1" si="95"/>
        <v>6.4741014652935931</v>
      </c>
      <c r="E218" s="307">
        <f t="shared" ca="1" si="96"/>
        <v>48.729704611540875</v>
      </c>
      <c r="F218" s="304">
        <f t="shared" ca="1" si="97"/>
        <v>49.157889512375782</v>
      </c>
      <c r="G218" s="306">
        <f t="shared" ca="1" si="98"/>
        <v>16.342540869234959</v>
      </c>
      <c r="H218" s="307">
        <f t="shared" ca="1" si="99"/>
        <v>147.6733738046145</v>
      </c>
      <c r="I218" s="304">
        <f t="shared" ca="1" si="100"/>
        <v>148.57491030756174</v>
      </c>
      <c r="J218" s="306">
        <f t="shared" ca="1" si="101"/>
        <v>17.720934898508762</v>
      </c>
      <c r="K218" s="307">
        <f t="shared" ca="1" si="102"/>
        <v>170.79666896272528</v>
      </c>
      <c r="L218" s="304">
        <f t="shared" ca="1" si="87"/>
        <v>171.71352207220011</v>
      </c>
      <c r="M218" s="306">
        <f t="shared" ca="1" si="103"/>
        <v>1.4605780120194773</v>
      </c>
      <c r="N218" s="304">
        <f t="shared" ca="1" si="104"/>
        <v>83.684955738324078</v>
      </c>
      <c r="P218" s="310">
        <f t="shared" ca="1" si="105"/>
        <v>6</v>
      </c>
      <c r="Q218" s="304">
        <f t="shared" ca="1" si="106"/>
        <v>566.29000000000019</v>
      </c>
      <c r="R218" s="306">
        <f t="shared" ca="1" si="107"/>
        <v>0.28419456657452263</v>
      </c>
      <c r="S218" s="307">
        <f t="shared" ca="1" si="108"/>
        <v>8.2449626337344615</v>
      </c>
      <c r="T218" s="304">
        <f t="shared" ca="1" si="88"/>
        <v>80.883083436935067</v>
      </c>
      <c r="U218" s="311">
        <f t="shared" ca="1" si="89"/>
        <v>0</v>
      </c>
      <c r="V218" s="306">
        <f t="shared" ca="1" si="90"/>
        <v>1.2042545705642576</v>
      </c>
      <c r="W218" s="304">
        <f t="shared" ca="1" si="91"/>
        <v>81.214128654985416</v>
      </c>
      <c r="Y218" s="314" t="str">
        <f t="shared" ca="1" si="109"/>
        <v/>
      </c>
      <c r="Z218" s="315" t="str">
        <f t="shared" ca="1" si="110"/>
        <v/>
      </c>
      <c r="AA218" s="316" t="str">
        <f t="shared" ca="1" si="111"/>
        <v/>
      </c>
      <c r="AC218" s="310" t="e">
        <f t="shared" ca="1" si="112"/>
        <v>#N/A</v>
      </c>
      <c r="AD218" s="323" t="e">
        <f t="shared" ca="1" si="113"/>
        <v>#N/A</v>
      </c>
      <c r="AE218" s="324">
        <f t="shared" ca="1" si="92"/>
        <v>170.79666896272528</v>
      </c>
      <c r="AG218" s="306">
        <f t="shared" ca="1" si="114"/>
        <v>49.146060583778052</v>
      </c>
      <c r="AH218" s="304">
        <f t="shared" ca="1" si="115"/>
        <v>58.896612854979843</v>
      </c>
    </row>
    <row r="219" spans="1:34" x14ac:dyDescent="0.2">
      <c r="A219" s="347">
        <f t="shared" ca="1" si="93"/>
        <v>0.01</v>
      </c>
      <c r="B219" s="304">
        <f t="shared" ca="1" si="94"/>
        <v>2.1499999999999981</v>
      </c>
      <c r="D219" s="306">
        <f t="shared" ca="1" si="95"/>
        <v>6.4540940910756195</v>
      </c>
      <c r="E219" s="307">
        <f t="shared" ca="1" si="96"/>
        <v>48.510052977550316</v>
      </c>
      <c r="F219" s="304">
        <f t="shared" ca="1" si="97"/>
        <v>48.937517003023309</v>
      </c>
      <c r="G219" s="306">
        <f t="shared" ca="1" si="98"/>
        <v>16.407081810145716</v>
      </c>
      <c r="H219" s="307">
        <f t="shared" ca="1" si="99"/>
        <v>148.15847433439001</v>
      </c>
      <c r="I219" s="304">
        <f t="shared" ca="1" si="100"/>
        <v>149.06416689003066</v>
      </c>
      <c r="J219" s="306">
        <f t="shared" ca="1" si="101"/>
        <v>17.884683011905665</v>
      </c>
      <c r="K219" s="307">
        <f t="shared" ca="1" si="102"/>
        <v>172.2758282034203</v>
      </c>
      <c r="L219" s="304">
        <f t="shared" ca="1" si="87"/>
        <v>173.20168264081829</v>
      </c>
      <c r="M219" s="306">
        <f t="shared" ca="1" si="103"/>
        <v>1.4605056234734637</v>
      </c>
      <c r="N219" s="304">
        <f t="shared" ca="1" si="104"/>
        <v>83.680808180152411</v>
      </c>
      <c r="P219" s="310">
        <f t="shared" ca="1" si="105"/>
        <v>6</v>
      </c>
      <c r="Q219" s="304">
        <f t="shared" ca="1" si="106"/>
        <v>564.83000000000027</v>
      </c>
      <c r="R219" s="306">
        <f t="shared" ca="1" si="107"/>
        <v>0.28346186059843481</v>
      </c>
      <c r="S219" s="307">
        <f t="shared" ca="1" si="108"/>
        <v>8.2421280151284773</v>
      </c>
      <c r="T219" s="304">
        <f t="shared" ca="1" si="88"/>
        <v>80.85527582841037</v>
      </c>
      <c r="U219" s="311">
        <f t="shared" ca="1" si="89"/>
        <v>0</v>
      </c>
      <c r="V219" s="306">
        <f t="shared" ca="1" si="90"/>
        <v>1.2040764422074648</v>
      </c>
      <c r="W219" s="304">
        <f t="shared" ca="1" si="91"/>
        <v>81.737792820086639</v>
      </c>
      <c r="Y219" s="314" t="str">
        <f t="shared" ca="1" si="109"/>
        <v/>
      </c>
      <c r="Z219" s="315" t="str">
        <f t="shared" ca="1" si="110"/>
        <v/>
      </c>
      <c r="AA219" s="316" t="str">
        <f t="shared" ca="1" si="111"/>
        <v/>
      </c>
      <c r="AC219" s="310" t="e">
        <f t="shared" ca="1" si="112"/>
        <v>#N/A</v>
      </c>
      <c r="AD219" s="323" t="e">
        <f t="shared" ca="1" si="113"/>
        <v>#N/A</v>
      </c>
      <c r="AE219" s="324">
        <f t="shared" ca="1" si="92"/>
        <v>172.2758282034203</v>
      </c>
      <c r="AG219" s="306">
        <f t="shared" ca="1" si="114"/>
        <v>48.925619191322973</v>
      </c>
      <c r="AH219" s="304">
        <f t="shared" ca="1" si="115"/>
        <v>58.676093171245931</v>
      </c>
    </row>
    <row r="220" spans="1:34" x14ac:dyDescent="0.2">
      <c r="A220" s="347">
        <f t="shared" ca="1" si="93"/>
        <v>0.01</v>
      </c>
      <c r="B220" s="304">
        <f t="shared" ca="1" si="94"/>
        <v>2.1599999999999979</v>
      </c>
      <c r="D220" s="306">
        <f t="shared" ca="1" si="95"/>
        <v>6.4340325396679345</v>
      </c>
      <c r="E220" s="307">
        <f t="shared" ca="1" si="96"/>
        <v>48.290304242132358</v>
      </c>
      <c r="F220" s="304">
        <f t="shared" ca="1" si="97"/>
        <v>48.717042793248567</v>
      </c>
      <c r="G220" s="306">
        <f t="shared" ca="1" si="98"/>
        <v>16.471422135542394</v>
      </c>
      <c r="H220" s="307">
        <f t="shared" ca="1" si="99"/>
        <v>148.64137737681133</v>
      </c>
      <c r="I220" s="304">
        <f t="shared" ca="1" si="100"/>
        <v>149.55121803463479</v>
      </c>
      <c r="J220" s="306">
        <f t="shared" ca="1" si="101"/>
        <v>18.049075531634106</v>
      </c>
      <c r="K220" s="307">
        <f t="shared" ca="1" si="102"/>
        <v>173.7598274619763</v>
      </c>
      <c r="L220" s="304">
        <f t="shared" ca="1" si="87"/>
        <v>174.69472449722804</v>
      </c>
      <c r="M220" s="306">
        <f t="shared" ca="1" si="103"/>
        <v>1.4604334234830938</v>
      </c>
      <c r="N220" s="304">
        <f t="shared" ca="1" si="104"/>
        <v>83.676671425423322</v>
      </c>
      <c r="P220" s="310">
        <f t="shared" ca="1" si="105"/>
        <v>6</v>
      </c>
      <c r="Q220" s="304">
        <f t="shared" ca="1" si="106"/>
        <v>563.37000000000035</v>
      </c>
      <c r="R220" s="306">
        <f t="shared" ca="1" si="107"/>
        <v>0.28272915462234693</v>
      </c>
      <c r="S220" s="307">
        <f t="shared" ca="1" si="108"/>
        <v>8.2393007235822537</v>
      </c>
      <c r="T220" s="304">
        <f t="shared" ca="1" si="88"/>
        <v>80.827540098341913</v>
      </c>
      <c r="U220" s="311">
        <f t="shared" ca="1" si="89"/>
        <v>0</v>
      </c>
      <c r="V220" s="306">
        <f t="shared" ca="1" si="90"/>
        <v>1.2038977572389686</v>
      </c>
      <c r="W220" s="304">
        <f t="shared" ca="1" si="91"/>
        <v>82.260595061483784</v>
      </c>
      <c r="Y220" s="314" t="str">
        <f t="shared" ca="1" si="109"/>
        <v/>
      </c>
      <c r="Z220" s="315" t="str">
        <f t="shared" ca="1" si="110"/>
        <v/>
      </c>
      <c r="AA220" s="316" t="str">
        <f t="shared" ca="1" si="111"/>
        <v/>
      </c>
      <c r="AC220" s="310" t="e">
        <f t="shared" ca="1" si="112"/>
        <v>#N/A</v>
      </c>
      <c r="AD220" s="323" t="e">
        <f t="shared" ca="1" si="113"/>
        <v>#N/A</v>
      </c>
      <c r="AE220" s="324">
        <f t="shared" ca="1" si="92"/>
        <v>173.7598274619763</v>
      </c>
      <c r="AG220" s="306">
        <f t="shared" ca="1" si="114"/>
        <v>48.705075481093907</v>
      </c>
      <c r="AH220" s="304">
        <f t="shared" ca="1" si="115"/>
        <v>58.455471324332414</v>
      </c>
    </row>
    <row r="221" spans="1:34" x14ac:dyDescent="0.2">
      <c r="A221" s="347">
        <f t="shared" ca="1" si="93"/>
        <v>0.01</v>
      </c>
      <c r="B221" s="304">
        <f t="shared" ca="1" si="94"/>
        <v>2.1699999999999977</v>
      </c>
      <c r="D221" s="306">
        <f t="shared" ca="1" si="95"/>
        <v>6.4139174318850385</v>
      </c>
      <c r="E221" s="307">
        <f t="shared" ca="1" si="96"/>
        <v>48.070461906159466</v>
      </c>
      <c r="F221" s="304">
        <f t="shared" ca="1" si="97"/>
        <v>48.496470435430318</v>
      </c>
      <c r="G221" s="306">
        <f t="shared" ca="1" si="98"/>
        <v>16.535561309861244</v>
      </c>
      <c r="H221" s="307">
        <f t="shared" ca="1" si="99"/>
        <v>149.12208199587292</v>
      </c>
      <c r="I221" s="304">
        <f t="shared" ca="1" si="100"/>
        <v>150.03606275364609</v>
      </c>
      <c r="J221" s="306">
        <f t="shared" ca="1" si="101"/>
        <v>18.214110448861124</v>
      </c>
      <c r="K221" s="307">
        <f t="shared" ca="1" si="102"/>
        <v>175.24864475883973</v>
      </c>
      <c r="L221" s="304">
        <f t="shared" ca="1" si="87"/>
        <v>176.19262558136001</v>
      </c>
      <c r="M221" s="306">
        <f t="shared" ca="1" si="103"/>
        <v>1.4603614098880933</v>
      </c>
      <c r="N221" s="304">
        <f t="shared" ca="1" si="104"/>
        <v>83.672545350362228</v>
      </c>
      <c r="P221" s="310">
        <f t="shared" ca="1" si="105"/>
        <v>6</v>
      </c>
      <c r="Q221" s="304">
        <f t="shared" ca="1" si="106"/>
        <v>561.91000000000031</v>
      </c>
      <c r="R221" s="306">
        <f t="shared" ca="1" si="107"/>
        <v>0.28199644864625906</v>
      </c>
      <c r="S221" s="307">
        <f t="shared" ca="1" si="108"/>
        <v>8.2364807590957909</v>
      </c>
      <c r="T221" s="304">
        <f t="shared" ca="1" si="88"/>
        <v>80.79987624672971</v>
      </c>
      <c r="U221" s="311">
        <f t="shared" ca="1" si="89"/>
        <v>0</v>
      </c>
      <c r="V221" s="306">
        <f t="shared" ca="1" si="90"/>
        <v>1.2037185185561174</v>
      </c>
      <c r="W221" s="304">
        <f t="shared" ca="1" si="91"/>
        <v>82.782510341721903</v>
      </c>
      <c r="Y221" s="314" t="str">
        <f t="shared" ca="1" si="109"/>
        <v/>
      </c>
      <c r="Z221" s="315" t="str">
        <f t="shared" ca="1" si="110"/>
        <v/>
      </c>
      <c r="AA221" s="316" t="str">
        <f t="shared" ca="1" si="111"/>
        <v/>
      </c>
      <c r="AC221" s="310" t="e">
        <f t="shared" ca="1" si="112"/>
        <v>#N/A</v>
      </c>
      <c r="AD221" s="323" t="e">
        <f t="shared" ca="1" si="113"/>
        <v>#N/A</v>
      </c>
      <c r="AE221" s="324">
        <f t="shared" ca="1" si="92"/>
        <v>175.24864475883973</v>
      </c>
      <c r="AG221" s="306">
        <f t="shared" ca="1" si="114"/>
        <v>48.484432997094864</v>
      </c>
      <c r="AH221" s="304">
        <f t="shared" ca="1" si="115"/>
        <v>58.23475085628354</v>
      </c>
    </row>
    <row r="222" spans="1:34" x14ac:dyDescent="0.2">
      <c r="A222" s="347">
        <f t="shared" ca="1" si="93"/>
        <v>0.01</v>
      </c>
      <c r="B222" s="304">
        <f t="shared" ca="1" si="94"/>
        <v>2.1799999999999975</v>
      </c>
      <c r="D222" s="306">
        <f t="shared" ca="1" si="95"/>
        <v>6.3937493846829963</v>
      </c>
      <c r="E222" s="307">
        <f t="shared" ca="1" si="96"/>
        <v>47.850529457512557</v>
      </c>
      <c r="F222" s="304">
        <f t="shared" ca="1" si="97"/>
        <v>48.27580346880216</v>
      </c>
      <c r="G222" s="306">
        <f t="shared" ca="1" si="98"/>
        <v>16.599498803708073</v>
      </c>
      <c r="H222" s="307">
        <f t="shared" ca="1" si="99"/>
        <v>149.60058729044803</v>
      </c>
      <c r="I222" s="304">
        <f t="shared" ca="1" si="100"/>
        <v>150.51870009464361</v>
      </c>
      <c r="J222" s="306">
        <f t="shared" ca="1" si="101"/>
        <v>18.379785749428972</v>
      </c>
      <c r="K222" s="307">
        <f t="shared" ca="1" si="102"/>
        <v>176.74225810527133</v>
      </c>
      <c r="L222" s="304">
        <f t="shared" ca="1" si="87"/>
        <v>177.69536382344157</v>
      </c>
      <c r="M222" s="306">
        <f t="shared" ca="1" si="103"/>
        <v>1.4602895805554048</v>
      </c>
      <c r="N222" s="304">
        <f t="shared" ca="1" si="104"/>
        <v>83.668429832753944</v>
      </c>
      <c r="P222" s="310">
        <f t="shared" ca="1" si="105"/>
        <v>6</v>
      </c>
      <c r="Q222" s="304">
        <f t="shared" ca="1" si="106"/>
        <v>560.45000000000039</v>
      </c>
      <c r="R222" s="306">
        <f t="shared" ca="1" si="107"/>
        <v>0.28126374267017124</v>
      </c>
      <c r="S222" s="307">
        <f t="shared" ca="1" si="108"/>
        <v>8.2336681216690888</v>
      </c>
      <c r="T222" s="304">
        <f t="shared" ca="1" si="88"/>
        <v>80.77228427357376</v>
      </c>
      <c r="U222" s="311">
        <f t="shared" ca="1" si="89"/>
        <v>0</v>
      </c>
      <c r="V222" s="306">
        <f t="shared" ca="1" si="90"/>
        <v>1.2035387290565225</v>
      </c>
      <c r="W222" s="304">
        <f t="shared" ca="1" si="91"/>
        <v>83.303513777522085</v>
      </c>
      <c r="Y222" s="314" t="str">
        <f t="shared" ca="1" si="109"/>
        <v/>
      </c>
      <c r="Z222" s="315" t="str">
        <f t="shared" ca="1" si="110"/>
        <v/>
      </c>
      <c r="AA222" s="316" t="str">
        <f t="shared" ca="1" si="111"/>
        <v/>
      </c>
      <c r="AC222" s="310" t="e">
        <f t="shared" ca="1" si="112"/>
        <v>#N/A</v>
      </c>
      <c r="AD222" s="323" t="e">
        <f t="shared" ca="1" si="113"/>
        <v>#N/A</v>
      </c>
      <c r="AE222" s="324">
        <f t="shared" ca="1" si="92"/>
        <v>176.74225810527133</v>
      </c>
      <c r="AG222" s="306">
        <f t="shared" ca="1" si="114"/>
        <v>48.26369527004573</v>
      </c>
      <c r="AH222" s="304">
        <f t="shared" ca="1" si="115"/>
        <v>58.013935295882206</v>
      </c>
    </row>
    <row r="223" spans="1:34" x14ac:dyDescent="0.2">
      <c r="A223" s="347">
        <f t="shared" ca="1" si="93"/>
        <v>0.01</v>
      </c>
      <c r="B223" s="304">
        <f t="shared" ca="1" si="94"/>
        <v>2.1899999999999973</v>
      </c>
      <c r="D223" s="306">
        <f t="shared" ca="1" si="95"/>
        <v>6.3735290111910476</v>
      </c>
      <c r="E223" s="307">
        <f t="shared" ca="1" si="96"/>
        <v>47.630510370945395</v>
      </c>
      <c r="F223" s="304">
        <f t="shared" ca="1" si="97"/>
        <v>48.055045419323356</v>
      </c>
      <c r="G223" s="306">
        <f t="shared" ca="1" si="98"/>
        <v>16.663234093819984</v>
      </c>
      <c r="H223" s="307">
        <f t="shared" ca="1" si="99"/>
        <v>150.07689239415748</v>
      </c>
      <c r="I223" s="304">
        <f t="shared" ca="1" si="100"/>
        <v>150.99912914037938</v>
      </c>
      <c r="J223" s="306">
        <f t="shared" ca="1" si="101"/>
        <v>18.546099413916611</v>
      </c>
      <c r="K223" s="307">
        <f t="shared" ca="1" si="102"/>
        <v>178.24064550369437</v>
      </c>
      <c r="L223" s="304">
        <f t="shared" ca="1" si="87"/>
        <v>179.2029171443493</v>
      </c>
      <c r="M223" s="306">
        <f t="shared" ca="1" si="103"/>
        <v>1.4602179333786898</v>
      </c>
      <c r="N223" s="304">
        <f t="shared" ca="1" si="104"/>
        <v>83.664324751914137</v>
      </c>
      <c r="P223" s="310">
        <f t="shared" ca="1" si="105"/>
        <v>6</v>
      </c>
      <c r="Q223" s="304">
        <f t="shared" ca="1" si="106"/>
        <v>558.99000000000035</v>
      </c>
      <c r="R223" s="306">
        <f t="shared" ca="1" si="107"/>
        <v>0.28053103669408336</v>
      </c>
      <c r="S223" s="307">
        <f t="shared" ca="1" si="108"/>
        <v>8.2308628113021474</v>
      </c>
      <c r="T223" s="304">
        <f t="shared" ca="1" si="88"/>
        <v>80.744764178874064</v>
      </c>
      <c r="U223" s="311">
        <f t="shared" ca="1" si="89"/>
        <v>0</v>
      </c>
      <c r="V223" s="306">
        <f t="shared" ca="1" si="90"/>
        <v>1.2033583916380066</v>
      </c>
      <c r="W223" s="304">
        <f t="shared" ca="1" si="91"/>
        <v>83.823580640411336</v>
      </c>
      <c r="Y223" s="314" t="str">
        <f t="shared" ca="1" si="109"/>
        <v/>
      </c>
      <c r="Z223" s="315" t="str">
        <f t="shared" ca="1" si="110"/>
        <v/>
      </c>
      <c r="AA223" s="316" t="str">
        <f t="shared" ca="1" si="111"/>
        <v/>
      </c>
      <c r="AC223" s="310" t="e">
        <f t="shared" ca="1" si="112"/>
        <v>#N/A</v>
      </c>
      <c r="AD223" s="323" t="e">
        <f t="shared" ca="1" si="113"/>
        <v>#N/A</v>
      </c>
      <c r="AE223" s="324">
        <f t="shared" ca="1" si="92"/>
        <v>178.24064550369437</v>
      </c>
      <c r="AG223" s="306">
        <f t="shared" ca="1" si="114"/>
        <v>48.042865817250089</v>
      </c>
      <c r="AH223" s="304">
        <f t="shared" ca="1" si="115"/>
        <v>57.793028158517352</v>
      </c>
    </row>
    <row r="224" spans="1:34" x14ac:dyDescent="0.2">
      <c r="A224" s="347">
        <f t="shared" ca="1" si="93"/>
        <v>0.01</v>
      </c>
      <c r="B224" s="304">
        <f t="shared" ca="1" si="94"/>
        <v>2.1999999999999971</v>
      </c>
      <c r="D224" s="306">
        <f t="shared" ca="1" si="95"/>
        <v>6.3532569207424823</v>
      </c>
      <c r="E224" s="307">
        <f t="shared" ca="1" si="96"/>
        <v>47.410408107951227</v>
      </c>
      <c r="F224" s="304">
        <f t="shared" ca="1" si="97"/>
        <v>47.834199799551882</v>
      </c>
      <c r="G224" s="306">
        <f t="shared" ca="1" si="98"/>
        <v>16.726766663027409</v>
      </c>
      <c r="H224" s="307">
        <f t="shared" ca="1" si="99"/>
        <v>150.55099647523699</v>
      </c>
      <c r="I224" s="304">
        <f t="shared" ca="1" si="100"/>
        <v>151.47734900864282</v>
      </c>
      <c r="J224" s="306">
        <f t="shared" ca="1" si="101"/>
        <v>18.713049417700848</v>
      </c>
      <c r="K224" s="307">
        <f t="shared" ca="1" si="102"/>
        <v>179.74378494804134</v>
      </c>
      <c r="L224" s="304">
        <f t="shared" ca="1" si="87"/>
        <v>180.71526345596004</v>
      </c>
      <c r="M224" s="306">
        <f t="shared" ca="1" si="103"/>
        <v>1.4601464662778432</v>
      </c>
      <c r="N224" s="304">
        <f t="shared" ca="1" si="104"/>
        <v>83.660229988661598</v>
      </c>
      <c r="P224" s="310">
        <f t="shared" ca="1" si="105"/>
        <v>6</v>
      </c>
      <c r="Q224" s="304">
        <f t="shared" ca="1" si="106"/>
        <v>557.53000000000043</v>
      </c>
      <c r="R224" s="306">
        <f t="shared" ca="1" si="107"/>
        <v>0.27979833071799548</v>
      </c>
      <c r="S224" s="307">
        <f t="shared" ca="1" si="108"/>
        <v>8.2280648279949666</v>
      </c>
      <c r="T224" s="304">
        <f t="shared" ca="1" si="88"/>
        <v>80.717315962630622</v>
      </c>
      <c r="U224" s="311">
        <f t="shared" ca="1" si="89"/>
        <v>0</v>
      </c>
      <c r="V224" s="306">
        <f t="shared" ca="1" si="90"/>
        <v>1.2031775091985475</v>
      </c>
      <c r="W224" s="304">
        <f t="shared" ca="1" si="91"/>
        <v>84.342686357335808</v>
      </c>
      <c r="Y224" s="314" t="str">
        <f t="shared" ca="1" si="109"/>
        <v/>
      </c>
      <c r="Z224" s="315" t="str">
        <f t="shared" ca="1" si="110"/>
        <v/>
      </c>
      <c r="AA224" s="316" t="str">
        <f t="shared" ca="1" si="111"/>
        <v/>
      </c>
      <c r="AC224" s="310" t="e">
        <f t="shared" ca="1" si="112"/>
        <v>#N/A</v>
      </c>
      <c r="AD224" s="323" t="e">
        <f t="shared" ca="1" si="113"/>
        <v>#N/A</v>
      </c>
      <c r="AE224" s="324">
        <f t="shared" ca="1" si="92"/>
        <v>179.74378494804134</v>
      </c>
      <c r="AG224" s="306">
        <f t="shared" ca="1" si="114"/>
        <v>47.821948142465025</v>
      </c>
      <c r="AH224" s="304">
        <f t="shared" ca="1" si="115"/>
        <v>57.572032946053355</v>
      </c>
    </row>
    <row r="225" spans="1:34" x14ac:dyDescent="0.2">
      <c r="A225" s="347">
        <f t="shared" ca="1" si="93"/>
        <v>0.01</v>
      </c>
      <c r="B225" s="304">
        <f t="shared" ca="1" si="94"/>
        <v>2.2099999999999969</v>
      </c>
      <c r="D225" s="306">
        <f t="shared" ca="1" si="95"/>
        <v>6.3329337189044166</v>
      </c>
      <c r="E225" s="307">
        <f t="shared" ca="1" si="96"/>
        <v>47.190226116631074</v>
      </c>
      <c r="F225" s="304">
        <f t="shared" ca="1" si="97"/>
        <v>47.613270108519181</v>
      </c>
      <c r="G225" s="306">
        <f t="shared" ca="1" si="98"/>
        <v>16.790096000216451</v>
      </c>
      <c r="H225" s="307">
        <f t="shared" ca="1" si="99"/>
        <v>151.02289873640331</v>
      </c>
      <c r="I225" s="304">
        <f t="shared" ca="1" si="100"/>
        <v>151.95335885212413</v>
      </c>
      <c r="J225" s="306">
        <f t="shared" ca="1" si="101"/>
        <v>18.880633731017067</v>
      </c>
      <c r="K225" s="307">
        <f t="shared" ca="1" si="102"/>
        <v>181.25165442409954</v>
      </c>
      <c r="L225" s="304">
        <f t="shared" ca="1" si="87"/>
        <v>182.23238066150051</v>
      </c>
      <c r="M225" s="306">
        <f t="shared" ca="1" si="103"/>
        <v>1.4600751771985188</v>
      </c>
      <c r="N225" s="304">
        <f t="shared" ca="1" si="104"/>
        <v>83.65614542529093</v>
      </c>
      <c r="P225" s="310">
        <f t="shared" ca="1" si="105"/>
        <v>6</v>
      </c>
      <c r="Q225" s="304">
        <f t="shared" ca="1" si="106"/>
        <v>556.07000000000039</v>
      </c>
      <c r="R225" s="306">
        <f t="shared" ca="1" si="107"/>
        <v>0.2790656247419076</v>
      </c>
      <c r="S225" s="307">
        <f t="shared" ca="1" si="108"/>
        <v>8.2252741717475484</v>
      </c>
      <c r="T225" s="304">
        <f t="shared" ca="1" si="88"/>
        <v>80.689939624843447</v>
      </c>
      <c r="U225" s="311">
        <f t="shared" ca="1" si="89"/>
        <v>0</v>
      </c>
      <c r="V225" s="306">
        <f t="shared" ca="1" si="90"/>
        <v>1.2029960846362224</v>
      </c>
      <c r="W225" s="304">
        <f t="shared" ca="1" si="91"/>
        <v>84.860806511259256</v>
      </c>
      <c r="Y225" s="314" t="str">
        <f t="shared" ca="1" si="109"/>
        <v/>
      </c>
      <c r="Z225" s="315" t="str">
        <f t="shared" ca="1" si="110"/>
        <v/>
      </c>
      <c r="AA225" s="316" t="str">
        <f t="shared" ca="1" si="111"/>
        <v/>
      </c>
      <c r="AC225" s="310" t="e">
        <f t="shared" ca="1" si="112"/>
        <v>#N/A</v>
      </c>
      <c r="AD225" s="323" t="e">
        <f t="shared" ca="1" si="113"/>
        <v>#N/A</v>
      </c>
      <c r="AE225" s="324">
        <f t="shared" ca="1" si="92"/>
        <v>181.25165442409954</v>
      </c>
      <c r="AG225" s="306">
        <f t="shared" ca="1" si="114"/>
        <v>47.600945735772598</v>
      </c>
      <c r="AH225" s="304">
        <f t="shared" ca="1" si="115"/>
        <v>57.35095314670113</v>
      </c>
    </row>
    <row r="226" spans="1:34" x14ac:dyDescent="0.2">
      <c r="A226" s="347">
        <f t="shared" ca="1" si="93"/>
        <v>0.01</v>
      </c>
      <c r="B226" s="304">
        <f t="shared" ca="1" si="94"/>
        <v>2.2199999999999966</v>
      </c>
      <c r="D226" s="306">
        <f t="shared" ca="1" si="95"/>
        <v>6.3125600075067529</v>
      </c>
      <c r="E226" s="307">
        <f t="shared" ca="1" si="96"/>
        <v>46.969967831564048</v>
      </c>
      <c r="F226" s="304">
        <f t="shared" ca="1" si="97"/>
        <v>47.392259831606843</v>
      </c>
      <c r="G226" s="306">
        <f t="shared" ca="1" si="98"/>
        <v>16.853221600291519</v>
      </c>
      <c r="H226" s="307">
        <f t="shared" ca="1" si="99"/>
        <v>151.49259841471894</v>
      </c>
      <c r="I226" s="304">
        <f t="shared" ca="1" si="100"/>
        <v>152.42715785827616</v>
      </c>
      <c r="J226" s="306">
        <f t="shared" ca="1" si="101"/>
        <v>19.048850319019607</v>
      </c>
      <c r="K226" s="307">
        <f t="shared" ca="1" si="102"/>
        <v>182.76423190985514</v>
      </c>
      <c r="L226" s="304">
        <f t="shared" ca="1" si="87"/>
        <v>183.75424665589563</v>
      </c>
      <c r="M226" s="306">
        <f t="shared" ca="1" si="103"/>
        <v>1.4600040641116641</v>
      </c>
      <c r="N226" s="304">
        <f t="shared" ca="1" si="104"/>
        <v>83.652070945546015</v>
      </c>
      <c r="P226" s="310">
        <f t="shared" ca="1" si="105"/>
        <v>6</v>
      </c>
      <c r="Q226" s="304">
        <f t="shared" ca="1" si="106"/>
        <v>554.61000000000047</v>
      </c>
      <c r="R226" s="306">
        <f t="shared" ca="1" si="107"/>
        <v>0.27833291876581978</v>
      </c>
      <c r="S226" s="307">
        <f t="shared" ca="1" si="108"/>
        <v>8.2224908425598908</v>
      </c>
      <c r="T226" s="304">
        <f t="shared" ca="1" si="88"/>
        <v>80.662635165512526</v>
      </c>
      <c r="U226" s="311">
        <f t="shared" ca="1" si="89"/>
        <v>0</v>
      </c>
      <c r="V226" s="306">
        <f t="shared" ca="1" si="90"/>
        <v>1.2028141208491552</v>
      </c>
      <c r="W226" s="304">
        <f t="shared" ca="1" si="91"/>
        <v>85.37791684174563</v>
      </c>
      <c r="Y226" s="314" t="str">
        <f t="shared" ca="1" si="109"/>
        <v/>
      </c>
      <c r="Z226" s="315" t="str">
        <f t="shared" ca="1" si="110"/>
        <v/>
      </c>
      <c r="AA226" s="316" t="str">
        <f t="shared" ca="1" si="111"/>
        <v/>
      </c>
      <c r="AC226" s="310" t="e">
        <f t="shared" ca="1" si="112"/>
        <v>#N/A</v>
      </c>
      <c r="AD226" s="323" t="e">
        <f t="shared" ca="1" si="113"/>
        <v>#N/A</v>
      </c>
      <c r="AE226" s="324">
        <f t="shared" ca="1" si="92"/>
        <v>182.76423190985514</v>
      </c>
      <c r="AG226" s="306">
        <f t="shared" ca="1" si="114"/>
        <v>47.379862073453225</v>
      </c>
      <c r="AH226" s="304">
        <f t="shared" ca="1" si="115"/>
        <v>57.129792234891092</v>
      </c>
    </row>
    <row r="227" spans="1:34" x14ac:dyDescent="0.2">
      <c r="A227" s="347">
        <f t="shared" ca="1" si="93"/>
        <v>0.01</v>
      </c>
      <c r="B227" s="304">
        <f t="shared" ca="1" si="94"/>
        <v>2.2299999999999964</v>
      </c>
      <c r="D227" s="306">
        <f t="shared" ca="1" si="95"/>
        <v>6.2921363846702763</v>
      </c>
      <c r="E227" s="307">
        <f t="shared" ca="1" si="96"/>
        <v>46.749636673679468</v>
      </c>
      <c r="F227" s="304">
        <f t="shared" ca="1" si="97"/>
        <v>47.171172440425181</v>
      </c>
      <c r="G227" s="306">
        <f t="shared" ca="1" si="98"/>
        <v>16.916142964138221</v>
      </c>
      <c r="H227" s="307">
        <f t="shared" ca="1" si="99"/>
        <v>151.96009478145572</v>
      </c>
      <c r="I227" s="304">
        <f t="shared" ca="1" si="100"/>
        <v>152.89874524917519</v>
      </c>
      <c r="J227" s="306">
        <f t="shared" ca="1" si="101"/>
        <v>19.217697141841757</v>
      </c>
      <c r="K227" s="307">
        <f t="shared" ca="1" si="102"/>
        <v>184.28149537583602</v>
      </c>
      <c r="L227" s="304">
        <f t="shared" ca="1" si="87"/>
        <v>185.28083932611548</v>
      </c>
      <c r="M227" s="306">
        <f t="shared" ca="1" si="103"/>
        <v>1.4599331250130669</v>
      </c>
      <c r="N227" s="304">
        <f t="shared" ca="1" si="104"/>
        <v>83.648006434593938</v>
      </c>
      <c r="P227" s="310">
        <f t="shared" ca="1" si="105"/>
        <v>6</v>
      </c>
      <c r="Q227" s="304">
        <f t="shared" ca="1" si="106"/>
        <v>553.15000000000055</v>
      </c>
      <c r="R227" s="306">
        <f t="shared" ca="1" si="107"/>
        <v>0.2776002127897319</v>
      </c>
      <c r="S227" s="307">
        <f t="shared" ca="1" si="108"/>
        <v>8.219714840431994</v>
      </c>
      <c r="T227" s="304">
        <f t="shared" ca="1" si="88"/>
        <v>80.635402584637859</v>
      </c>
      <c r="U227" s="311">
        <f t="shared" ca="1" si="89"/>
        <v>0</v>
      </c>
      <c r="V227" s="306">
        <f t="shared" ca="1" si="90"/>
        <v>1.2026316207354604</v>
      </c>
      <c r="W227" s="304">
        <f t="shared" ca="1" si="91"/>
        <v>85.893993245526161</v>
      </c>
      <c r="Y227" s="314" t="str">
        <f t="shared" ca="1" si="109"/>
        <v/>
      </c>
      <c r="Z227" s="315" t="str">
        <f t="shared" ca="1" si="110"/>
        <v/>
      </c>
      <c r="AA227" s="316" t="str">
        <f t="shared" ca="1" si="111"/>
        <v/>
      </c>
      <c r="AC227" s="310" t="e">
        <f t="shared" ca="1" si="112"/>
        <v>#N/A</v>
      </c>
      <c r="AD227" s="323" t="e">
        <f t="shared" ca="1" si="113"/>
        <v>#N/A</v>
      </c>
      <c r="AE227" s="324">
        <f t="shared" ca="1" si="92"/>
        <v>184.28149537583602</v>
      </c>
      <c r="AG227" s="306">
        <f t="shared" ca="1" si="114"/>
        <v>47.15870061786076</v>
      </c>
      <c r="AH227" s="304">
        <f t="shared" ca="1" si="115"/>
        <v>56.908553671147885</v>
      </c>
    </row>
    <row r="228" spans="1:34" x14ac:dyDescent="0.2">
      <c r="A228" s="347">
        <f t="shared" ca="1" si="93"/>
        <v>0.01</v>
      </c>
      <c r="B228" s="304">
        <f t="shared" ca="1" si="94"/>
        <v>2.2399999999999962</v>
      </c>
      <c r="D228" s="306">
        <f t="shared" ca="1" si="95"/>
        <v>6.2716634448338535</v>
      </c>
      <c r="E228" s="307">
        <f t="shared" ca="1" si="96"/>
        <v>46.529236050130876</v>
      </c>
      <c r="F228" s="304">
        <f t="shared" ca="1" si="97"/>
        <v>46.950011392693654</v>
      </c>
      <c r="G228" s="306">
        <f t="shared" ca="1" si="98"/>
        <v>16.97885959858656</v>
      </c>
      <c r="H228" s="307">
        <f t="shared" ca="1" si="99"/>
        <v>152.42538714195703</v>
      </c>
      <c r="I228" s="304">
        <f t="shared" ca="1" si="100"/>
        <v>153.3681202813805</v>
      </c>
      <c r="J228" s="306">
        <f t="shared" ca="1" si="101"/>
        <v>19.387172154655381</v>
      </c>
      <c r="K228" s="307">
        <f t="shared" ca="1" si="102"/>
        <v>185.80342278545308</v>
      </c>
      <c r="L228" s="304">
        <f t="shared" ca="1" si="87"/>
        <v>186.81213655152084</v>
      </c>
      <c r="M228" s="306">
        <f t="shared" ca="1" si="103"/>
        <v>1.45986235792291</v>
      </c>
      <c r="N228" s="304">
        <f t="shared" ca="1" si="104"/>
        <v>83.643951778999522</v>
      </c>
      <c r="P228" s="310">
        <f t="shared" ca="1" si="105"/>
        <v>6</v>
      </c>
      <c r="Q228" s="304">
        <f t="shared" ca="1" si="106"/>
        <v>551.69000000000051</v>
      </c>
      <c r="R228" s="306">
        <f t="shared" ca="1" si="107"/>
        <v>0.27686750681364403</v>
      </c>
      <c r="S228" s="307">
        <f t="shared" ca="1" si="108"/>
        <v>8.2169461653638578</v>
      </c>
      <c r="T228" s="304">
        <f t="shared" ca="1" si="88"/>
        <v>80.608241882219446</v>
      </c>
      <c r="U228" s="311">
        <f t="shared" ca="1" si="89"/>
        <v>0</v>
      </c>
      <c r="V228" s="306">
        <f t="shared" ca="1" si="90"/>
        <v>1.20244858719319</v>
      </c>
      <c r="W228" s="304">
        <f t="shared" ca="1" si="91"/>
        <v>86.409011777051262</v>
      </c>
      <c r="Y228" s="314" t="str">
        <f t="shared" ca="1" si="109"/>
        <v/>
      </c>
      <c r="Z228" s="315" t="str">
        <f t="shared" ca="1" si="110"/>
        <v/>
      </c>
      <c r="AA228" s="316" t="str">
        <f t="shared" ca="1" si="111"/>
        <v/>
      </c>
      <c r="AC228" s="310" t="e">
        <f t="shared" ca="1" si="112"/>
        <v>#N/A</v>
      </c>
      <c r="AD228" s="323" t="e">
        <f t="shared" ca="1" si="113"/>
        <v>#N/A</v>
      </c>
      <c r="AE228" s="324">
        <f t="shared" ca="1" si="92"/>
        <v>185.80342278545308</v>
      </c>
      <c r="AG228" s="306">
        <f t="shared" ca="1" si="114"/>
        <v>46.9374648172994</v>
      </c>
      <c r="AH228" s="304">
        <f t="shared" ca="1" si="115"/>
        <v>56.687240901966923</v>
      </c>
    </row>
    <row r="229" spans="1:34" x14ac:dyDescent="0.2">
      <c r="A229" s="347">
        <f t="shared" ca="1" si="93"/>
        <v>0.01</v>
      </c>
      <c r="B229" s="304">
        <f t="shared" ca="1" si="94"/>
        <v>2.249999999999996</v>
      </c>
      <c r="D229" s="306">
        <f t="shared" ca="1" si="95"/>
        <v>6.251141778780954</v>
      </c>
      <c r="E229" s="307">
        <f t="shared" ca="1" si="96"/>
        <v>46.308769354172028</v>
      </c>
      <c r="F229" s="304">
        <f t="shared" ca="1" si="97"/>
        <v>46.728780132123319</v>
      </c>
      <c r="G229" s="306">
        <f t="shared" ca="1" si="98"/>
        <v>17.04137101637437</v>
      </c>
      <c r="H229" s="307">
        <f t="shared" ca="1" si="99"/>
        <v>152.88847483549876</v>
      </c>
      <c r="I229" s="304">
        <f t="shared" ca="1" si="100"/>
        <v>153.83528224579257</v>
      </c>
      <c r="J229" s="306">
        <f t="shared" ca="1" si="101"/>
        <v>19.557273307730185</v>
      </c>
      <c r="K229" s="307">
        <f t="shared" ca="1" si="102"/>
        <v>187.32999209534034</v>
      </c>
      <c r="L229" s="304">
        <f t="shared" ca="1" si="87"/>
        <v>188.34811620420717</v>
      </c>
      <c r="M229" s="306">
        <f t="shared" ca="1" si="103"/>
        <v>1.4597917608853368</v>
      </c>
      <c r="N229" s="304">
        <f t="shared" ca="1" si="104"/>
        <v>83.639906866700443</v>
      </c>
      <c r="P229" s="310">
        <f t="shared" ca="1" si="105"/>
        <v>6</v>
      </c>
      <c r="Q229" s="304">
        <f t="shared" ca="1" si="106"/>
        <v>550.23000000000059</v>
      </c>
      <c r="R229" s="306">
        <f t="shared" ca="1" si="107"/>
        <v>0.2761348008375562</v>
      </c>
      <c r="S229" s="307">
        <f t="shared" ca="1" si="108"/>
        <v>8.2141848173554823</v>
      </c>
      <c r="T229" s="304">
        <f t="shared" ca="1" si="88"/>
        <v>80.581153058257286</v>
      </c>
      <c r="U229" s="311">
        <f t="shared" ca="1" si="89"/>
        <v>0</v>
      </c>
      <c r="V229" s="306">
        <f t="shared" ca="1" si="90"/>
        <v>1.2022650231202794</v>
      </c>
      <c r="W229" s="304">
        <f t="shared" ca="1" si="91"/>
        <v>86.922948649026765</v>
      </c>
      <c r="Y229" s="314" t="str">
        <f t="shared" ca="1" si="109"/>
        <v/>
      </c>
      <c r="Z229" s="315" t="str">
        <f t="shared" ca="1" si="110"/>
        <v/>
      </c>
      <c r="AA229" s="316" t="str">
        <f t="shared" ca="1" si="111"/>
        <v/>
      </c>
      <c r="AC229" s="310" t="e">
        <f t="shared" ca="1" si="112"/>
        <v>#N/A</v>
      </c>
      <c r="AD229" s="323" t="e">
        <f t="shared" ca="1" si="113"/>
        <v>#N/A</v>
      </c>
      <c r="AE229" s="324">
        <f t="shared" ca="1" si="92"/>
        <v>187.32999209534034</v>
      </c>
      <c r="AG229" s="306">
        <f t="shared" ca="1" si="114"/>
        <v>46.716158105902537</v>
      </c>
      <c r="AH229" s="304">
        <f t="shared" ca="1" si="115"/>
        <v>56.465857359692848</v>
      </c>
    </row>
    <row r="230" spans="1:34" x14ac:dyDescent="0.2">
      <c r="A230" s="347">
        <f t="shared" ca="1" si="93"/>
        <v>0.01</v>
      </c>
      <c r="B230" s="304">
        <f t="shared" ca="1" si="94"/>
        <v>2.2599999999999958</v>
      </c>
      <c r="D230" s="306">
        <f t="shared" ca="1" si="95"/>
        <v>6.2305719736652412</v>
      </c>
      <c r="E230" s="307">
        <f t="shared" ca="1" si="96"/>
        <v>46.088239965034667</v>
      </c>
      <c r="F230" s="304">
        <f t="shared" ca="1" si="97"/>
        <v>46.507482088301032</v>
      </c>
      <c r="G230" s="306">
        <f t="shared" ca="1" si="98"/>
        <v>17.103676736111023</v>
      </c>
      <c r="H230" s="307">
        <f t="shared" ca="1" si="99"/>
        <v>153.34935723514911</v>
      </c>
      <c r="I230" s="304">
        <f t="shared" ca="1" si="100"/>
        <v>154.3002304675102</v>
      </c>
      <c r="J230" s="306">
        <f t="shared" ca="1" si="101"/>
        <v>19.727998546492611</v>
      </c>
      <c r="K230" s="307">
        <f t="shared" ca="1" si="102"/>
        <v>188.86118125569359</v>
      </c>
      <c r="L230" s="304">
        <f t="shared" ca="1" si="87"/>
        <v>189.88875614934753</v>
      </c>
      <c r="M230" s="306">
        <f t="shared" ca="1" si="103"/>
        <v>1.4597213319680269</v>
      </c>
      <c r="N230" s="304">
        <f t="shared" ca="1" si="104"/>
        <v>83.635871586982915</v>
      </c>
      <c r="P230" s="310">
        <f t="shared" ca="1" si="105"/>
        <v>6</v>
      </c>
      <c r="Q230" s="304">
        <f t="shared" ca="1" si="106"/>
        <v>548.77000000000055</v>
      </c>
      <c r="R230" s="306">
        <f t="shared" ca="1" si="107"/>
        <v>0.27540209486146833</v>
      </c>
      <c r="S230" s="307">
        <f t="shared" ca="1" si="108"/>
        <v>8.2114307964068676</v>
      </c>
      <c r="T230" s="304">
        <f t="shared" ca="1" si="88"/>
        <v>80.55413611275138</v>
      </c>
      <c r="U230" s="311">
        <f t="shared" ca="1" si="89"/>
        <v>0</v>
      </c>
      <c r="V230" s="306">
        <f t="shared" ca="1" si="90"/>
        <v>1.2020809314144947</v>
      </c>
      <c r="W230" s="304">
        <f t="shared" ca="1" si="91"/>
        <v>87.435780232935215</v>
      </c>
      <c r="Y230" s="314" t="str">
        <f t="shared" ca="1" si="109"/>
        <v/>
      </c>
      <c r="Z230" s="315" t="str">
        <f t="shared" ca="1" si="110"/>
        <v/>
      </c>
      <c r="AA230" s="316" t="str">
        <f t="shared" ca="1" si="111"/>
        <v/>
      </c>
      <c r="AC230" s="310" t="e">
        <f t="shared" ca="1" si="112"/>
        <v>#N/A</v>
      </c>
      <c r="AD230" s="323" t="e">
        <f t="shared" ca="1" si="113"/>
        <v>#N/A</v>
      </c>
      <c r="AE230" s="324">
        <f t="shared" ca="1" si="92"/>
        <v>188.86118125569359</v>
      </c>
      <c r="AG230" s="306">
        <f t="shared" ca="1" si="114"/>
        <v>46.494783903513181</v>
      </c>
      <c r="AH230" s="304">
        <f t="shared" ca="1" si="115"/>
        <v>56.244406462399631</v>
      </c>
    </row>
    <row r="231" spans="1:34" x14ac:dyDescent="0.2">
      <c r="A231" s="347">
        <f t="shared" ca="1" si="93"/>
        <v>0.01</v>
      </c>
      <c r="B231" s="304">
        <f t="shared" ca="1" si="94"/>
        <v>2.2699999999999956</v>
      </c>
      <c r="D231" s="306">
        <f t="shared" ca="1" si="95"/>
        <v>6.2099546130354826</v>
      </c>
      <c r="E231" s="307">
        <f t="shared" ca="1" si="96"/>
        <v>45.867651247808205</v>
      </c>
      <c r="F231" s="304">
        <f t="shared" ca="1" si="97"/>
        <v>46.286120676575628</v>
      </c>
      <c r="G231" s="306">
        <f t="shared" ca="1" si="98"/>
        <v>17.165776282241378</v>
      </c>
      <c r="H231" s="307">
        <f t="shared" ca="1" si="99"/>
        <v>153.80803374762721</v>
      </c>
      <c r="I231" s="304">
        <f t="shared" ca="1" si="100"/>
        <v>154.76296430568649</v>
      </c>
      <c r="J231" s="306">
        <f t="shared" ca="1" si="101"/>
        <v>19.899345811584372</v>
      </c>
      <c r="K231" s="307">
        <f t="shared" ca="1" si="102"/>
        <v>190.39696821060747</v>
      </c>
      <c r="L231" s="304">
        <f t="shared" ca="1" si="87"/>
        <v>191.4340342455335</v>
      </c>
      <c r="M231" s="306">
        <f t="shared" ca="1" si="103"/>
        <v>1.4596510692617786</v>
      </c>
      <c r="N231" s="304">
        <f t="shared" ca="1" si="104"/>
        <v>83.631845830457721</v>
      </c>
      <c r="P231" s="310">
        <f t="shared" ca="1" si="105"/>
        <v>6</v>
      </c>
      <c r="Q231" s="304">
        <f t="shared" ca="1" si="106"/>
        <v>547.31000000000063</v>
      </c>
      <c r="R231" s="306">
        <f t="shared" ca="1" si="107"/>
        <v>0.27466938888538045</v>
      </c>
      <c r="S231" s="307">
        <f t="shared" ca="1" si="108"/>
        <v>8.2086841025180135</v>
      </c>
      <c r="T231" s="304">
        <f t="shared" ca="1" si="88"/>
        <v>80.527191045701713</v>
      </c>
      <c r="U231" s="311">
        <f t="shared" ca="1" si="89"/>
        <v>0</v>
      </c>
      <c r="V231" s="306">
        <f t="shared" ca="1" si="90"/>
        <v>1.2018963149733788</v>
      </c>
      <c r="W231" s="304">
        <f t="shared" ca="1" si="91"/>
        <v>87.947483059541639</v>
      </c>
      <c r="Y231" s="314" t="str">
        <f t="shared" ca="1" si="109"/>
        <v/>
      </c>
      <c r="Z231" s="315" t="str">
        <f t="shared" ca="1" si="110"/>
        <v/>
      </c>
      <c r="AA231" s="316" t="str">
        <f t="shared" ca="1" si="111"/>
        <v/>
      </c>
      <c r="AC231" s="310" t="e">
        <f t="shared" ca="1" si="112"/>
        <v>#N/A</v>
      </c>
      <c r="AD231" s="323" t="e">
        <f t="shared" ca="1" si="113"/>
        <v>#N/A</v>
      </c>
      <c r="AE231" s="324">
        <f t="shared" ca="1" si="92"/>
        <v>190.39696821060747</v>
      </c>
      <c r="AG231" s="306">
        <f t="shared" ca="1" si="114"/>
        <v>46.273345615566434</v>
      </c>
      <c r="AH231" s="304">
        <f t="shared" ca="1" si="115"/>
        <v>56.022891613772664</v>
      </c>
    </row>
    <row r="232" spans="1:34" x14ac:dyDescent="0.2">
      <c r="A232" s="347">
        <f t="shared" ca="1" si="93"/>
        <v>0.01</v>
      </c>
      <c r="B232" s="304">
        <f t="shared" ca="1" si="94"/>
        <v>2.2799999999999954</v>
      </c>
      <c r="D232" s="306">
        <f t="shared" ca="1" si="95"/>
        <v>6.1892902768597677</v>
      </c>
      <c r="E232" s="307">
        <f t="shared" ca="1" si="96"/>
        <v>45.647006553321297</v>
      </c>
      <c r="F232" s="304">
        <f t="shared" ca="1" si="97"/>
        <v>46.064699297946014</v>
      </c>
      <c r="G232" s="306">
        <f t="shared" ca="1" si="98"/>
        <v>17.227669185009976</v>
      </c>
      <c r="H232" s="307">
        <f t="shared" ca="1" si="99"/>
        <v>154.26450381316042</v>
      </c>
      <c r="I232" s="304">
        <f t="shared" ca="1" si="100"/>
        <v>155.22348315338348</v>
      </c>
      <c r="J232" s="306">
        <f t="shared" ca="1" si="101"/>
        <v>20.071313038920628</v>
      </c>
      <c r="K232" s="307">
        <f t="shared" ca="1" si="102"/>
        <v>191.9373308984114</v>
      </c>
      <c r="L232" s="304">
        <f t="shared" ca="1" si="87"/>
        <v>192.98392834511534</v>
      </c>
      <c r="M232" s="306">
        <f t="shared" ca="1" si="103"/>
        <v>1.4595809708801031</v>
      </c>
      <c r="N232" s="304">
        <f t="shared" ca="1" si="104"/>
        <v>83.627829489037012</v>
      </c>
      <c r="P232" s="310">
        <f t="shared" ca="1" si="105"/>
        <v>6</v>
      </c>
      <c r="Q232" s="304">
        <f t="shared" ca="1" si="106"/>
        <v>545.8500000000007</v>
      </c>
      <c r="R232" s="306">
        <f t="shared" ca="1" si="107"/>
        <v>0.27393668290929263</v>
      </c>
      <c r="S232" s="307">
        <f t="shared" ca="1" si="108"/>
        <v>8.2059447356889201</v>
      </c>
      <c r="T232" s="304">
        <f t="shared" ca="1" si="88"/>
        <v>80.500317857108314</v>
      </c>
      <c r="U232" s="311">
        <f t="shared" ca="1" si="89"/>
        <v>0</v>
      </c>
      <c r="V232" s="306">
        <f t="shared" ca="1" si="90"/>
        <v>1.2017111766941988</v>
      </c>
      <c r="W232" s="304">
        <f t="shared" ca="1" si="91"/>
        <v>88.458033819384141</v>
      </c>
      <c r="Y232" s="314" t="str">
        <f t="shared" ca="1" si="109"/>
        <v/>
      </c>
      <c r="Z232" s="315" t="str">
        <f t="shared" ca="1" si="110"/>
        <v/>
      </c>
      <c r="AA232" s="316" t="str">
        <f t="shared" ca="1" si="111"/>
        <v/>
      </c>
      <c r="AC232" s="310" t="e">
        <f t="shared" ca="1" si="112"/>
        <v>#N/A</v>
      </c>
      <c r="AD232" s="323" t="e">
        <f t="shared" ca="1" si="113"/>
        <v>#N/A</v>
      </c>
      <c r="AE232" s="324">
        <f t="shared" ca="1" si="92"/>
        <v>191.9373308984114</v>
      </c>
      <c r="AG232" s="306">
        <f t="shared" ca="1" si="114"/>
        <v>46.051846632973515</v>
      </c>
      <c r="AH232" s="304">
        <f t="shared" ca="1" si="115"/>
        <v>55.801316202992489</v>
      </c>
    </row>
    <row r="233" spans="1:34" x14ac:dyDescent="0.2">
      <c r="A233" s="347">
        <f t="shared" ca="1" si="93"/>
        <v>0.01</v>
      </c>
      <c r="B233" s="304">
        <f t="shared" ca="1" si="94"/>
        <v>2.2899999999999952</v>
      </c>
      <c r="D233" s="306">
        <f t="shared" ca="1" si="95"/>
        <v>6.168579541548918</v>
      </c>
      <c r="E233" s="307">
        <f t="shared" ca="1" si="96"/>
        <v>45.426309218025274</v>
      </c>
      <c r="F233" s="304">
        <f t="shared" ca="1" si="97"/>
        <v>45.843221338951125</v>
      </c>
      <c r="G233" s="306">
        <f t="shared" ca="1" si="98"/>
        <v>17.289354980425465</v>
      </c>
      <c r="H233" s="307">
        <f t="shared" ca="1" si="99"/>
        <v>154.71876690534066</v>
      </c>
      <c r="I233" s="304">
        <f t="shared" ca="1" si="100"/>
        <v>155.68178643742593</v>
      </c>
      <c r="J233" s="306">
        <f t="shared" ca="1" si="101"/>
        <v>20.243898159747804</v>
      </c>
      <c r="K233" s="307">
        <f t="shared" ca="1" si="102"/>
        <v>193.4822472520039</v>
      </c>
      <c r="L233" s="304">
        <f t="shared" ca="1" si="87"/>
        <v>194.53841629454018</v>
      </c>
      <c r="M233" s="306">
        <f t="shared" ca="1" si="103"/>
        <v>1.4595110349588249</v>
      </c>
      <c r="N233" s="304">
        <f t="shared" ca="1" si="104"/>
        <v>83.623822455911423</v>
      </c>
      <c r="P233" s="310">
        <f t="shared" ca="1" si="105"/>
        <v>6</v>
      </c>
      <c r="Q233" s="304">
        <f t="shared" ca="1" si="106"/>
        <v>544.39000000000067</v>
      </c>
      <c r="R233" s="306">
        <f t="shared" ca="1" si="107"/>
        <v>0.27320397693320475</v>
      </c>
      <c r="S233" s="307">
        <f t="shared" ca="1" si="108"/>
        <v>8.2032126959195875</v>
      </c>
      <c r="T233" s="304">
        <f t="shared" ca="1" si="88"/>
        <v>80.473516546971155</v>
      </c>
      <c r="U233" s="311">
        <f t="shared" ca="1" si="89"/>
        <v>0</v>
      </c>
      <c r="V233" s="306">
        <f t="shared" ca="1" si="90"/>
        <v>1.201525519473893</v>
      </c>
      <c r="W233" s="304">
        <f t="shared" ca="1" si="91"/>
        <v>88.967409363249487</v>
      </c>
      <c r="Y233" s="314" t="str">
        <f t="shared" ca="1" si="109"/>
        <v/>
      </c>
      <c r="Z233" s="315" t="str">
        <f t="shared" ca="1" si="110"/>
        <v/>
      </c>
      <c r="AA233" s="316" t="str">
        <f t="shared" ca="1" si="111"/>
        <v/>
      </c>
      <c r="AC233" s="310" t="e">
        <f t="shared" ca="1" si="112"/>
        <v>#N/A</v>
      </c>
      <c r="AD233" s="323" t="e">
        <f t="shared" ca="1" si="113"/>
        <v>#N/A</v>
      </c>
      <c r="AE233" s="324">
        <f t="shared" ca="1" si="92"/>
        <v>193.4822472520039</v>
      </c>
      <c r="AG233" s="306">
        <f t="shared" ca="1" si="114"/>
        <v>45.83029033200782</v>
      </c>
      <c r="AH233" s="304">
        <f t="shared" ca="1" si="115"/>
        <v>55.579683604620492</v>
      </c>
    </row>
    <row r="234" spans="1:34" x14ac:dyDescent="0.2">
      <c r="A234" s="347">
        <f t="shared" ca="1" si="93"/>
        <v>0.01</v>
      </c>
      <c r="B234" s="304">
        <f t="shared" ca="1" si="94"/>
        <v>2.2999999999999949</v>
      </c>
      <c r="D234" s="306">
        <f t="shared" ca="1" si="95"/>
        <v>6.147822979979332</v>
      </c>
      <c r="E234" s="307">
        <f t="shared" ca="1" si="96"/>
        <v>45.205562563879511</v>
      </c>
      <c r="F234" s="304">
        <f t="shared" ca="1" si="97"/>
        <v>45.621690171561887</v>
      </c>
      <c r="G234" s="306">
        <f t="shared" ca="1" si="98"/>
        <v>17.350833210225257</v>
      </c>
      <c r="H234" s="307">
        <f t="shared" ca="1" si="99"/>
        <v>155.17082253097945</v>
      </c>
      <c r="I234" s="304">
        <f t="shared" ca="1" si="100"/>
        <v>156.13787361825374</v>
      </c>
      <c r="J234" s="306">
        <f t="shared" ca="1" si="101"/>
        <v>20.417099100701058</v>
      </c>
      <c r="K234" s="307">
        <f t="shared" ca="1" si="102"/>
        <v>195.03169519918549</v>
      </c>
      <c r="L234" s="304">
        <f t="shared" ca="1" si="87"/>
        <v>196.09747593468876</v>
      </c>
      <c r="M234" s="306">
        <f t="shared" ca="1" si="103"/>
        <v>1.4594412596556932</v>
      </c>
      <c r="N234" s="304">
        <f t="shared" ca="1" si="104"/>
        <v>83.619824625527727</v>
      </c>
      <c r="P234" s="310">
        <f t="shared" ca="1" si="105"/>
        <v>6</v>
      </c>
      <c r="Q234" s="304">
        <f t="shared" ca="1" si="106"/>
        <v>542.93000000000075</v>
      </c>
      <c r="R234" s="306">
        <f t="shared" ca="1" si="107"/>
        <v>0.27247127095711693</v>
      </c>
      <c r="S234" s="307">
        <f t="shared" ca="1" si="108"/>
        <v>8.2004879832100155</v>
      </c>
      <c r="T234" s="304">
        <f t="shared" ca="1" si="88"/>
        <v>80.446787115290249</v>
      </c>
      <c r="U234" s="311">
        <f t="shared" ca="1" si="89"/>
        <v>0</v>
      </c>
      <c r="V234" s="306">
        <f t="shared" ca="1" si="90"/>
        <v>1.2013393462090189</v>
      </c>
      <c r="W234" s="304">
        <f t="shared" ca="1" si="91"/>
        <v>89.475586702633663</v>
      </c>
      <c r="Y234" s="314" t="str">
        <f t="shared" ca="1" si="109"/>
        <v/>
      </c>
      <c r="Z234" s="315" t="str">
        <f t="shared" ca="1" si="110"/>
        <v/>
      </c>
      <c r="AA234" s="316" t="str">
        <f t="shared" ca="1" si="111"/>
        <v/>
      </c>
      <c r="AC234" s="310" t="e">
        <f t="shared" ca="1" si="112"/>
        <v>#N/A</v>
      </c>
      <c r="AD234" s="323" t="e">
        <f t="shared" ca="1" si="113"/>
        <v>#N/A</v>
      </c>
      <c r="AE234" s="324">
        <f t="shared" ca="1" si="92"/>
        <v>195.03169519918549</v>
      </c>
      <c r="AG234" s="306">
        <f t="shared" ca="1" si="114"/>
        <v>45.608680074192677</v>
      </c>
      <c r="AH234" s="304">
        <f t="shared" ca="1" si="115"/>
        <v>55.35799717848635</v>
      </c>
    </row>
    <row r="235" spans="1:34" x14ac:dyDescent="0.2">
      <c r="A235" s="347">
        <f t="shared" ca="1" si="93"/>
        <v>0.01</v>
      </c>
      <c r="B235" s="304">
        <f t="shared" ca="1" si="94"/>
        <v>2.3099999999999947</v>
      </c>
      <c r="D235" s="306">
        <f t="shared" ca="1" si="95"/>
        <v>6.1270211615150583</v>
      </c>
      <c r="E235" s="307">
        <f t="shared" ca="1" si="96"/>
        <v>44.984769898238511</v>
      </c>
      <c r="F235" s="304">
        <f t="shared" ca="1" si="97"/>
        <v>45.400109153074936</v>
      </c>
      <c r="G235" s="306">
        <f t="shared" ca="1" si="98"/>
        <v>17.412103421840406</v>
      </c>
      <c r="H235" s="307">
        <f t="shared" ca="1" si="99"/>
        <v>155.62067022996183</v>
      </c>
      <c r="I235" s="304">
        <f t="shared" ca="1" si="100"/>
        <v>156.59174418977327</v>
      </c>
      <c r="J235" s="306">
        <f t="shared" ca="1" si="101"/>
        <v>20.590913783861385</v>
      </c>
      <c r="K235" s="307">
        <f t="shared" ca="1" si="102"/>
        <v>196.58565266299019</v>
      </c>
      <c r="L235" s="304">
        <f t="shared" ca="1" si="87"/>
        <v>197.66108510121114</v>
      </c>
      <c r="M235" s="306">
        <f t="shared" ca="1" si="103"/>
        <v>1.459371643149999</v>
      </c>
      <c r="N235" s="304">
        <f t="shared" ca="1" si="104"/>
        <v>83.615835893566995</v>
      </c>
      <c r="P235" s="310">
        <f t="shared" ca="1" si="105"/>
        <v>6</v>
      </c>
      <c r="Q235" s="304">
        <f t="shared" ca="1" si="106"/>
        <v>541.47000000000071</v>
      </c>
      <c r="R235" s="306">
        <f t="shared" ca="1" si="107"/>
        <v>0.271738564981029</v>
      </c>
      <c r="S235" s="307">
        <f t="shared" ca="1" si="108"/>
        <v>8.197770597560206</v>
      </c>
      <c r="T235" s="304">
        <f t="shared" ca="1" si="88"/>
        <v>80.420129562065625</v>
      </c>
      <c r="U235" s="311">
        <f t="shared" ca="1" si="89"/>
        <v>0</v>
      </c>
      <c r="V235" s="306">
        <f t="shared" ca="1" si="90"/>
        <v>1.2011526597957005</v>
      </c>
      <c r="W235" s="304">
        <f t="shared" ca="1" si="91"/>
        <v>89.982543010186987</v>
      </c>
      <c r="Y235" s="314" t="str">
        <f t="shared" ca="1" si="109"/>
        <v/>
      </c>
      <c r="Z235" s="315" t="str">
        <f t="shared" ca="1" si="110"/>
        <v/>
      </c>
      <c r="AA235" s="316" t="str">
        <f t="shared" ca="1" si="111"/>
        <v/>
      </c>
      <c r="AC235" s="310" t="e">
        <f t="shared" ca="1" si="112"/>
        <v>#N/A</v>
      </c>
      <c r="AD235" s="323" t="e">
        <f t="shared" ca="1" si="113"/>
        <v>#N/A</v>
      </c>
      <c r="AE235" s="324">
        <f t="shared" ca="1" si="92"/>
        <v>196.58565266299019</v>
      </c>
      <c r="AG235" s="306">
        <f t="shared" ca="1" si="114"/>
        <v>45.387019206190857</v>
      </c>
      <c r="AH235" s="304">
        <f t="shared" ca="1" si="115"/>
        <v>55.136260269577214</v>
      </c>
    </row>
    <row r="236" spans="1:34" x14ac:dyDescent="0.2">
      <c r="A236" s="347">
        <f t="shared" ca="1" si="93"/>
        <v>0.01</v>
      </c>
      <c r="B236" s="304">
        <f t="shared" ca="1" si="94"/>
        <v>2.3199999999999945</v>
      </c>
      <c r="D236" s="306">
        <f t="shared" ca="1" si="95"/>
        <v>6.106174652029317</v>
      </c>
      <c r="E236" s="307">
        <f t="shared" ca="1" si="96"/>
        <v>44.763934513741127</v>
      </c>
      <c r="F236" s="304">
        <f t="shared" ca="1" si="97"/>
        <v>45.178481626008519</v>
      </c>
      <c r="G236" s="306">
        <f t="shared" ca="1" si="98"/>
        <v>17.473165168360701</v>
      </c>
      <c r="H236" s="307">
        <f t="shared" ca="1" si="99"/>
        <v>156.06830957509925</v>
      </c>
      <c r="I236" s="304">
        <f t="shared" ca="1" si="100"/>
        <v>157.04339767920786</v>
      </c>
      <c r="J236" s="306">
        <f t="shared" ca="1" si="101"/>
        <v>20.76534012681239</v>
      </c>
      <c r="K236" s="307">
        <f t="shared" ca="1" si="102"/>
        <v>198.1440975620155</v>
      </c>
      <c r="L236" s="304">
        <f t="shared" ca="1" si="87"/>
        <v>199.22922162486034</v>
      </c>
      <c r="M236" s="306">
        <f t="shared" ca="1" si="103"/>
        <v>1.459302183642202</v>
      </c>
      <c r="N236" s="304">
        <f t="shared" ca="1" si="104"/>
        <v>83.611856156923167</v>
      </c>
      <c r="P236" s="310">
        <f t="shared" ca="1" si="105"/>
        <v>6</v>
      </c>
      <c r="Q236" s="304">
        <f t="shared" ca="1" si="106"/>
        <v>540.01000000000079</v>
      </c>
      <c r="R236" s="306">
        <f t="shared" ca="1" si="107"/>
        <v>0.27100585900494117</v>
      </c>
      <c r="S236" s="307">
        <f t="shared" ca="1" si="108"/>
        <v>8.1950605389701572</v>
      </c>
      <c r="T236" s="304">
        <f t="shared" ca="1" si="88"/>
        <v>80.393543887297241</v>
      </c>
      <c r="U236" s="311">
        <f t="shared" ca="1" si="89"/>
        <v>0</v>
      </c>
      <c r="V236" s="306">
        <f t="shared" ca="1" si="90"/>
        <v>1.2009654631295785</v>
      </c>
      <c r="W236" s="304">
        <f t="shared" ca="1" si="91"/>
        <v>90.488255620145139</v>
      </c>
      <c r="Y236" s="314" t="str">
        <f t="shared" ca="1" si="109"/>
        <v/>
      </c>
      <c r="Z236" s="315" t="str">
        <f t="shared" ca="1" si="110"/>
        <v/>
      </c>
      <c r="AA236" s="316" t="str">
        <f t="shared" ca="1" si="111"/>
        <v/>
      </c>
      <c r="AC236" s="310" t="e">
        <f t="shared" ca="1" si="112"/>
        <v>#N/A</v>
      </c>
      <c r="AD236" s="323" t="e">
        <f t="shared" ca="1" si="113"/>
        <v>#N/A</v>
      </c>
      <c r="AE236" s="324">
        <f t="shared" ca="1" si="92"/>
        <v>198.1440975620155</v>
      </c>
      <c r="AG236" s="306">
        <f t="shared" ca="1" si="114"/>
        <v>45.165311059696101</v>
      </c>
      <c r="AH236" s="304">
        <f t="shared" ca="1" si="115"/>
        <v>54.914476207928914</v>
      </c>
    </row>
    <row r="237" spans="1:34" x14ac:dyDescent="0.2">
      <c r="A237" s="347">
        <f t="shared" ca="1" si="93"/>
        <v>0.01</v>
      </c>
      <c r="B237" s="304">
        <f t="shared" ca="1" si="94"/>
        <v>2.3299999999999943</v>
      </c>
      <c r="D237" s="306">
        <f t="shared" ca="1" si="95"/>
        <v>6.0852840139253832</v>
      </c>
      <c r="E237" s="307">
        <f t="shared" ca="1" si="96"/>
        <v>44.543059688201282</v>
      </c>
      <c r="F237" s="304">
        <f t="shared" ca="1" si="97"/>
        <v>44.956810917999931</v>
      </c>
      <c r="G237" s="306">
        <f t="shared" ca="1" si="98"/>
        <v>17.534018008499956</v>
      </c>
      <c r="H237" s="307">
        <f t="shared" ca="1" si="99"/>
        <v>156.51374017198125</v>
      </c>
      <c r="I237" s="304">
        <f t="shared" ca="1" si="100"/>
        <v>157.49283364694679</v>
      </c>
      <c r="J237" s="306">
        <f t="shared" ca="1" si="101"/>
        <v>20.940376042696695</v>
      </c>
      <c r="K237" s="307">
        <f t="shared" ca="1" si="102"/>
        <v>199.70700781075089</v>
      </c>
      <c r="L237" s="304">
        <f t="shared" ca="1" si="87"/>
        <v>200.80186333182485</v>
      </c>
      <c r="M237" s="306">
        <f t="shared" ca="1" si="103"/>
        <v>1.4592328793535649</v>
      </c>
      <c r="N237" s="304">
        <f t="shared" ca="1" si="104"/>
        <v>83.607885313682118</v>
      </c>
      <c r="P237" s="310">
        <f t="shared" ca="1" si="105"/>
        <v>6</v>
      </c>
      <c r="Q237" s="304">
        <f t="shared" ca="1" si="106"/>
        <v>538.55000000000086</v>
      </c>
      <c r="R237" s="306">
        <f t="shared" ca="1" si="107"/>
        <v>0.27027315302885335</v>
      </c>
      <c r="S237" s="307">
        <f t="shared" ca="1" si="108"/>
        <v>8.1923578074398691</v>
      </c>
      <c r="T237" s="304">
        <f t="shared" ca="1" si="88"/>
        <v>80.367030090985125</v>
      </c>
      <c r="U237" s="311">
        <f t="shared" ca="1" si="89"/>
        <v>0</v>
      </c>
      <c r="V237" s="306">
        <f t="shared" ca="1" si="90"/>
        <v>1.2007777591057562</v>
      </c>
      <c r="W237" s="304">
        <f t="shared" ca="1" si="91"/>
        <v>90.992702028744233</v>
      </c>
      <c r="Y237" s="314" t="str">
        <f t="shared" ca="1" si="109"/>
        <v/>
      </c>
      <c r="Z237" s="315" t="str">
        <f t="shared" ca="1" si="110"/>
        <v/>
      </c>
      <c r="AA237" s="316" t="str">
        <f t="shared" ca="1" si="111"/>
        <v/>
      </c>
      <c r="AC237" s="310" t="e">
        <f t="shared" ca="1" si="112"/>
        <v>#N/A</v>
      </c>
      <c r="AD237" s="323" t="e">
        <f t="shared" ca="1" si="113"/>
        <v>#N/A</v>
      </c>
      <c r="AE237" s="324">
        <f t="shared" ca="1" si="92"/>
        <v>199.70700781075089</v>
      </c>
      <c r="AG237" s="306">
        <f t="shared" ca="1" si="114"/>
        <v>44.943558951326089</v>
      </c>
      <c r="AH237" s="304">
        <f t="shared" ca="1" si="115"/>
        <v>54.692648308518649</v>
      </c>
    </row>
    <row r="238" spans="1:34" x14ac:dyDescent="0.2">
      <c r="A238" s="347">
        <f t="shared" ca="1" si="93"/>
        <v>0.01</v>
      </c>
      <c r="B238" s="304">
        <f t="shared" ca="1" si="94"/>
        <v>2.3399999999999941</v>
      </c>
      <c r="D238" s="306">
        <f t="shared" ca="1" si="95"/>
        <v>6.0643498061568382</v>
      </c>
      <c r="E238" s="307">
        <f t="shared" ca="1" si="96"/>
        <v>44.322148684500903</v>
      </c>
      <c r="F238" s="304">
        <f t="shared" ca="1" si="97"/>
        <v>44.735100341705277</v>
      </c>
      <c r="G238" s="306">
        <f t="shared" ca="1" si="98"/>
        <v>17.594661506561525</v>
      </c>
      <c r="H238" s="307">
        <f t="shared" ca="1" si="99"/>
        <v>156.95696165882626</v>
      </c>
      <c r="I238" s="304">
        <f t="shared" ca="1" si="100"/>
        <v>157.94005168639376</v>
      </c>
      <c r="J238" s="306">
        <f t="shared" ca="1" si="101"/>
        <v>21.116019440272002</v>
      </c>
      <c r="K238" s="307">
        <f t="shared" ca="1" si="102"/>
        <v>201.27436131990493</v>
      </c>
      <c r="L238" s="304">
        <f t="shared" ca="1" si="87"/>
        <v>202.37898804405953</v>
      </c>
      <c r="M238" s="306">
        <f t="shared" ca="1" si="103"/>
        <v>1.4591637285257952</v>
      </c>
      <c r="N238" s="304">
        <f t="shared" ca="1" si="104"/>
        <v>83.60392326310108</v>
      </c>
      <c r="P238" s="310">
        <f t="shared" ca="1" si="105"/>
        <v>6</v>
      </c>
      <c r="Q238" s="304">
        <f t="shared" ca="1" si="106"/>
        <v>537.09000000000083</v>
      </c>
      <c r="R238" s="306">
        <f t="shared" ca="1" si="107"/>
        <v>0.26954044705276542</v>
      </c>
      <c r="S238" s="307">
        <f t="shared" ca="1" si="108"/>
        <v>8.1896624029693417</v>
      </c>
      <c r="T238" s="304">
        <f t="shared" ca="1" si="88"/>
        <v>80.340588173129248</v>
      </c>
      <c r="U238" s="311">
        <f t="shared" ca="1" si="89"/>
        <v>0</v>
      </c>
      <c r="V238" s="306">
        <f t="shared" ca="1" si="90"/>
        <v>1.2005895506187489</v>
      </c>
      <c r="W238" s="304">
        <f t="shared" ca="1" si="91"/>
        <v>91.495859894621887</v>
      </c>
      <c r="Y238" s="314" t="str">
        <f t="shared" ca="1" si="109"/>
        <v/>
      </c>
      <c r="Z238" s="315" t="str">
        <f t="shared" ca="1" si="110"/>
        <v/>
      </c>
      <c r="AA238" s="316" t="str">
        <f t="shared" ca="1" si="111"/>
        <v/>
      </c>
      <c r="AC238" s="310" t="e">
        <f t="shared" ca="1" si="112"/>
        <v>#N/A</v>
      </c>
      <c r="AD238" s="323" t="e">
        <f t="shared" ca="1" si="113"/>
        <v>#N/A</v>
      </c>
      <c r="AE238" s="324">
        <f t="shared" ca="1" si="92"/>
        <v>201.27436131990493</v>
      </c>
      <c r="AG238" s="306">
        <f t="shared" ca="1" si="114"/>
        <v>44.721766182517584</v>
      </c>
      <c r="AH238" s="304">
        <f t="shared" ca="1" si="115"/>
        <v>54.470779871159799</v>
      </c>
    </row>
    <row r="239" spans="1:34" x14ac:dyDescent="0.2">
      <c r="A239" s="347">
        <f t="shared" ca="1" si="93"/>
        <v>0.01</v>
      </c>
      <c r="B239" s="304">
        <f t="shared" ca="1" si="94"/>
        <v>2.3499999999999939</v>
      </c>
      <c r="D239" s="306">
        <f t="shared" ca="1" si="95"/>
        <v>6.0433725842473054</v>
      </c>
      <c r="E239" s="307">
        <f t="shared" ca="1" si="96"/>
        <v>44.101204750484499</v>
      </c>
      <c r="F239" s="304">
        <f t="shared" ca="1" si="97"/>
        <v>44.513353194700898</v>
      </c>
      <c r="G239" s="306">
        <f t="shared" ca="1" si="98"/>
        <v>17.655095232403998</v>
      </c>
      <c r="H239" s="307">
        <f t="shared" ca="1" si="99"/>
        <v>157.3979737063311</v>
      </c>
      <c r="I239" s="304">
        <f t="shared" ca="1" si="100"/>
        <v>158.38505142381382</v>
      </c>
      <c r="J239" s="306">
        <f t="shared" ca="1" si="101"/>
        <v>21.292268223966829</v>
      </c>
      <c r="K239" s="307">
        <f t="shared" ca="1" si="102"/>
        <v>202.84613599673071</v>
      </c>
      <c r="L239" s="304">
        <f t="shared" ca="1" si="87"/>
        <v>203.96057357961493</v>
      </c>
      <c r="M239" s="306">
        <f t="shared" ca="1" si="103"/>
        <v>1.4590947294206942</v>
      </c>
      <c r="N239" s="304">
        <f t="shared" ca="1" si="104"/>
        <v>83.599969905588608</v>
      </c>
      <c r="P239" s="310">
        <f t="shared" ca="1" si="105"/>
        <v>6</v>
      </c>
      <c r="Q239" s="304">
        <f t="shared" ca="1" si="106"/>
        <v>535.6300000000009</v>
      </c>
      <c r="R239" s="306">
        <f t="shared" ca="1" si="107"/>
        <v>0.2688077410766776</v>
      </c>
      <c r="S239" s="307">
        <f t="shared" ca="1" si="108"/>
        <v>8.186974325558575</v>
      </c>
      <c r="T239" s="304">
        <f t="shared" ca="1" si="88"/>
        <v>80.314218133729625</v>
      </c>
      <c r="U239" s="311">
        <f t="shared" ca="1" si="89"/>
        <v>0</v>
      </c>
      <c r="V239" s="306">
        <f t="shared" ca="1" si="90"/>
        <v>1.2004008405624345</v>
      </c>
      <c r="W239" s="304">
        <f t="shared" ca="1" si="91"/>
        <v>91.997707039203348</v>
      </c>
      <c r="Y239" s="314" t="str">
        <f t="shared" ca="1" si="109"/>
        <v/>
      </c>
      <c r="Z239" s="315" t="str">
        <f t="shared" ca="1" si="110"/>
        <v/>
      </c>
      <c r="AA239" s="316" t="str">
        <f t="shared" ca="1" si="111"/>
        <v/>
      </c>
      <c r="AC239" s="310" t="e">
        <f t="shared" ca="1" si="112"/>
        <v>#N/A</v>
      </c>
      <c r="AD239" s="323" t="e">
        <f t="shared" ca="1" si="113"/>
        <v>#N/A</v>
      </c>
      <c r="AE239" s="324">
        <f t="shared" ca="1" si="92"/>
        <v>202.84613599673071</v>
      </c>
      <c r="AG239" s="306">
        <f t="shared" ca="1" si="114"/>
        <v>44.499936039423133</v>
      </c>
      <c r="AH239" s="304">
        <f t="shared" ca="1" si="115"/>
        <v>54.248874180398381</v>
      </c>
    </row>
    <row r="240" spans="1:34" x14ac:dyDescent="0.2">
      <c r="A240" s="347">
        <f t="shared" ca="1" si="93"/>
        <v>0.01</v>
      </c>
      <c r="B240" s="304">
        <f t="shared" ca="1" si="94"/>
        <v>2.3599999999999937</v>
      </c>
      <c r="D240" s="306">
        <f t="shared" ca="1" si="95"/>
        <v>6.0223529003095928</v>
      </c>
      <c r="E240" s="307">
        <f t="shared" ca="1" si="96"/>
        <v>43.880231118855598</v>
      </c>
      <c r="F240" s="304">
        <f t="shared" ca="1" si="97"/>
        <v>44.291572759386753</v>
      </c>
      <c r="G240" s="306">
        <f t="shared" ca="1" si="98"/>
        <v>17.715318761407094</v>
      </c>
      <c r="H240" s="307">
        <f t="shared" ca="1" si="99"/>
        <v>157.83677601751967</v>
      </c>
      <c r="I240" s="304">
        <f t="shared" ca="1" si="100"/>
        <v>158.82783251817969</v>
      </c>
      <c r="J240" s="306">
        <f t="shared" ca="1" si="101"/>
        <v>21.469120293935884</v>
      </c>
      <c r="K240" s="307">
        <f t="shared" ca="1" si="102"/>
        <v>204.42230974534996</v>
      </c>
      <c r="L240" s="304">
        <f t="shared" ca="1" si="87"/>
        <v>205.54659775296525</v>
      </c>
      <c r="M240" s="306">
        <f t="shared" ca="1" si="103"/>
        <v>1.459025880319814</v>
      </c>
      <c r="N240" s="304">
        <f t="shared" ca="1" si="104"/>
        <v>83.596025142684894</v>
      </c>
      <c r="P240" s="310">
        <f t="shared" ca="1" si="105"/>
        <v>6</v>
      </c>
      <c r="Q240" s="304">
        <f t="shared" ca="1" si="106"/>
        <v>534.17000000000087</v>
      </c>
      <c r="R240" s="306">
        <f t="shared" ca="1" si="107"/>
        <v>0.26807503510058972</v>
      </c>
      <c r="S240" s="307">
        <f t="shared" ca="1" si="108"/>
        <v>8.1842935752075689</v>
      </c>
      <c r="T240" s="304">
        <f t="shared" ca="1" si="88"/>
        <v>80.287919972786256</v>
      </c>
      <c r="U240" s="311">
        <f t="shared" ca="1" si="89"/>
        <v>0</v>
      </c>
      <c r="V240" s="306">
        <f t="shared" ca="1" si="90"/>
        <v>1.2002116318300011</v>
      </c>
      <c r="W240" s="304">
        <f t="shared" ca="1" si="91"/>
        <v>92.49822144707268</v>
      </c>
      <c r="Y240" s="314" t="str">
        <f t="shared" ca="1" si="109"/>
        <v/>
      </c>
      <c r="Z240" s="315" t="str">
        <f t="shared" ca="1" si="110"/>
        <v/>
      </c>
      <c r="AA240" s="316" t="str">
        <f t="shared" ca="1" si="111"/>
        <v/>
      </c>
      <c r="AC240" s="310" t="e">
        <f t="shared" ca="1" si="112"/>
        <v>#N/A</v>
      </c>
      <c r="AD240" s="323" t="e">
        <f t="shared" ca="1" si="113"/>
        <v>#N/A</v>
      </c>
      <c r="AE240" s="324">
        <f t="shared" ca="1" si="92"/>
        <v>204.42230974534996</v>
      </c>
      <c r="AG240" s="306">
        <f t="shared" ca="1" si="114"/>
        <v>44.278071792809648</v>
      </c>
      <c r="AH240" s="304">
        <f t="shared" ca="1" si="115"/>
        <v>54.026934505411262</v>
      </c>
    </row>
    <row r="241" spans="1:34" x14ac:dyDescent="0.2">
      <c r="A241" s="347">
        <f t="shared" ca="1" si="93"/>
        <v>0.01</v>
      </c>
      <c r="B241" s="304">
        <f t="shared" ca="1" si="94"/>
        <v>2.3699999999999934</v>
      </c>
      <c r="D241" s="306">
        <f t="shared" ca="1" si="95"/>
        <v>6.0012913030643027</v>
      </c>
      <c r="E241" s="307">
        <f t="shared" ca="1" si="96"/>
        <v>43.659231007075249</v>
      </c>
      <c r="F241" s="304">
        <f t="shared" ca="1" si="97"/>
        <v>44.069762302891945</v>
      </c>
      <c r="G241" s="306">
        <f t="shared" ca="1" si="98"/>
        <v>17.775331674437737</v>
      </c>
      <c r="H241" s="307">
        <f t="shared" ca="1" si="99"/>
        <v>158.27336832759042</v>
      </c>
      <c r="I241" s="304">
        <f t="shared" ca="1" si="100"/>
        <v>159.26839466101669</v>
      </c>
      <c r="J241" s="306">
        <f t="shared" ca="1" si="101"/>
        <v>21.646573546115107</v>
      </c>
      <c r="K241" s="307">
        <f t="shared" ca="1" si="102"/>
        <v>206.00286046707552</v>
      </c>
      <c r="L241" s="304">
        <f t="shared" ca="1" si="87"/>
        <v>207.13703837533441</v>
      </c>
      <c r="M241" s="306">
        <f t="shared" ca="1" si="103"/>
        <v>1.4589571795241205</v>
      </c>
      <c r="N241" s="304">
        <f t="shared" ca="1" si="104"/>
        <v>83.592088877042471</v>
      </c>
      <c r="P241" s="310">
        <f t="shared" ca="1" si="105"/>
        <v>6</v>
      </c>
      <c r="Q241" s="304">
        <f t="shared" ca="1" si="106"/>
        <v>532.71000000000095</v>
      </c>
      <c r="R241" s="306">
        <f t="shared" ca="1" si="107"/>
        <v>0.2673423291245019</v>
      </c>
      <c r="S241" s="307">
        <f t="shared" ca="1" si="108"/>
        <v>8.1816201519163236</v>
      </c>
      <c r="T241" s="304">
        <f t="shared" ca="1" si="88"/>
        <v>80.26169369029914</v>
      </c>
      <c r="U241" s="311">
        <f t="shared" ca="1" si="89"/>
        <v>0</v>
      </c>
      <c r="V241" s="306">
        <f t="shared" ca="1" si="90"/>
        <v>1.2000219273138977</v>
      </c>
      <c r="W241" s="304">
        <f t="shared" ca="1" si="91"/>
        <v>92.997381266329583</v>
      </c>
      <c r="Y241" s="314" t="str">
        <f t="shared" ca="1" si="109"/>
        <v/>
      </c>
      <c r="Z241" s="315" t="str">
        <f t="shared" ca="1" si="110"/>
        <v/>
      </c>
      <c r="AA241" s="316" t="str">
        <f t="shared" ca="1" si="111"/>
        <v/>
      </c>
      <c r="AC241" s="310" t="e">
        <f t="shared" ca="1" si="112"/>
        <v>#N/A</v>
      </c>
      <c r="AD241" s="323" t="e">
        <f t="shared" ca="1" si="113"/>
        <v>#N/A</v>
      </c>
      <c r="AE241" s="324">
        <f t="shared" ca="1" si="92"/>
        <v>206.00286046707552</v>
      </c>
      <c r="AG241" s="306">
        <f t="shared" ca="1" si="114"/>
        <v>44.056176697958797</v>
      </c>
      <c r="AH241" s="304">
        <f t="shared" ca="1" si="115"/>
        <v>53.804964099906364</v>
      </c>
    </row>
    <row r="242" spans="1:34" x14ac:dyDescent="0.2">
      <c r="A242" s="347">
        <f t="shared" ca="1" si="93"/>
        <v>0.01</v>
      </c>
      <c r="B242" s="304">
        <f t="shared" ca="1" si="94"/>
        <v>2.3799999999999932</v>
      </c>
      <c r="D242" s="306">
        <f t="shared" ca="1" si="95"/>
        <v>5.9801883378579621</v>
      </c>
      <c r="E242" s="307">
        <f t="shared" ca="1" si="96"/>
        <v>43.438207617262023</v>
      </c>
      <c r="F242" s="304">
        <f t="shared" ca="1" si="97"/>
        <v>43.847925076981838</v>
      </c>
      <c r="G242" s="306">
        <f t="shared" ca="1" si="98"/>
        <v>17.835133557816317</v>
      </c>
      <c r="H242" s="307">
        <f t="shared" ca="1" si="99"/>
        <v>158.70775040376304</v>
      </c>
      <c r="I242" s="304">
        <f t="shared" ca="1" si="100"/>
        <v>159.70673757624721</v>
      </c>
      <c r="J242" s="306">
        <f t="shared" ca="1" si="101"/>
        <v>21.824625872276378</v>
      </c>
      <c r="K242" s="307">
        <f t="shared" ca="1" si="102"/>
        <v>207.58776606073229</v>
      </c>
      <c r="L242" s="304">
        <f t="shared" ca="1" si="87"/>
        <v>208.73187325502101</v>
      </c>
      <c r="M242" s="306">
        <f t="shared" ca="1" si="103"/>
        <v>1.458888625353665</v>
      </c>
      <c r="N242" s="304">
        <f t="shared" ca="1" si="104"/>
        <v>83.588161012407355</v>
      </c>
      <c r="P242" s="310">
        <f t="shared" ca="1" si="105"/>
        <v>6</v>
      </c>
      <c r="Q242" s="304">
        <f t="shared" ca="1" si="106"/>
        <v>531.25000000000102</v>
      </c>
      <c r="R242" s="306">
        <f t="shared" ca="1" si="107"/>
        <v>0.26660962314841402</v>
      </c>
      <c r="S242" s="307">
        <f t="shared" ca="1" si="108"/>
        <v>8.178954055684839</v>
      </c>
      <c r="T242" s="304">
        <f t="shared" ca="1" si="88"/>
        <v>80.235539286268278</v>
      </c>
      <c r="U242" s="311">
        <f t="shared" ca="1" si="89"/>
        <v>0</v>
      </c>
      <c r="V242" s="306">
        <f t="shared" ca="1" si="90"/>
        <v>1.1998317299057839</v>
      </c>
      <c r="W242" s="304">
        <f t="shared" ca="1" si="91"/>
        <v>93.495164808931847</v>
      </c>
      <c r="Y242" s="314" t="str">
        <f t="shared" ca="1" si="109"/>
        <v/>
      </c>
      <c r="Z242" s="315" t="str">
        <f t="shared" ca="1" si="110"/>
        <v/>
      </c>
      <c r="AA242" s="316" t="str">
        <f t="shared" ca="1" si="111"/>
        <v/>
      </c>
      <c r="AC242" s="310" t="e">
        <f t="shared" ca="1" si="112"/>
        <v>#N/A</v>
      </c>
      <c r="AD242" s="323" t="e">
        <f t="shared" ca="1" si="113"/>
        <v>#N/A</v>
      </c>
      <c r="AE242" s="324">
        <f t="shared" ca="1" si="92"/>
        <v>207.58776606073229</v>
      </c>
      <c r="AG242" s="306">
        <f t="shared" ca="1" si="114"/>
        <v>43.834253994569139</v>
      </c>
      <c r="AH242" s="304">
        <f t="shared" ca="1" si="115"/>
        <v>53.582966202024444</v>
      </c>
    </row>
    <row r="243" spans="1:34" x14ac:dyDescent="0.2">
      <c r="A243" s="347">
        <f t="shared" ca="1" si="93"/>
        <v>0.01</v>
      </c>
      <c r="B243" s="304">
        <f t="shared" ca="1" si="94"/>
        <v>2.389999999999993</v>
      </c>
      <c r="D243" s="306">
        <f t="shared" ca="1" si="95"/>
        <v>5.9590445466805759</v>
      </c>
      <c r="E243" s="307">
        <f t="shared" ca="1" si="96"/>
        <v>43.217164136094091</v>
      </c>
      <c r="F243" s="304">
        <f t="shared" ca="1" si="97"/>
        <v>43.626064317967312</v>
      </c>
      <c r="G243" s="306">
        <f t="shared" ca="1" si="98"/>
        <v>17.894724003283123</v>
      </c>
      <c r="H243" s="307">
        <f t="shared" ca="1" si="99"/>
        <v>159.139922045124</v>
      </c>
      <c r="I243" s="304">
        <f t="shared" ca="1" si="100"/>
        <v>160.14286102003368</v>
      </c>
      <c r="J243" s="306">
        <f t="shared" ca="1" si="101"/>
        <v>22.003275160081877</v>
      </c>
      <c r="K243" s="307">
        <f t="shared" ca="1" si="102"/>
        <v>209.17700442297672</v>
      </c>
      <c r="L243" s="304">
        <f t="shared" ca="1" si="87"/>
        <v>210.33108019772135</v>
      </c>
      <c r="M243" s="306">
        <f t="shared" ca="1" si="103"/>
        <v>1.4588202161472608</v>
      </c>
      <c r="N243" s="304">
        <f t="shared" ca="1" si="104"/>
        <v>83.584241453600555</v>
      </c>
      <c r="P243" s="310">
        <f t="shared" ca="1" si="105"/>
        <v>6</v>
      </c>
      <c r="Q243" s="304">
        <f t="shared" ca="1" si="106"/>
        <v>529.79000000000099</v>
      </c>
      <c r="R243" s="306">
        <f t="shared" ca="1" si="107"/>
        <v>0.26587691717232614</v>
      </c>
      <c r="S243" s="307">
        <f t="shared" ca="1" si="108"/>
        <v>8.1762952865131151</v>
      </c>
      <c r="T243" s="304">
        <f t="shared" ca="1" si="88"/>
        <v>80.209456760693669</v>
      </c>
      <c r="U243" s="311">
        <f t="shared" ca="1" si="89"/>
        <v>0</v>
      </c>
      <c r="V243" s="306">
        <f t="shared" ca="1" si="90"/>
        <v>1.1996410424964792</v>
      </c>
      <c r="W243" s="304">
        <f t="shared" ca="1" si="91"/>
        <v>93.991550551022797</v>
      </c>
      <c r="Y243" s="314" t="str">
        <f t="shared" ca="1" si="109"/>
        <v/>
      </c>
      <c r="Z243" s="315" t="str">
        <f t="shared" ca="1" si="110"/>
        <v/>
      </c>
      <c r="AA243" s="316" t="str">
        <f t="shared" ca="1" si="111"/>
        <v/>
      </c>
      <c r="AC243" s="310" t="e">
        <f t="shared" ca="1" si="112"/>
        <v>#N/A</v>
      </c>
      <c r="AD243" s="323" t="e">
        <f t="shared" ca="1" si="113"/>
        <v>#N/A</v>
      </c>
      <c r="AE243" s="324">
        <f t="shared" ca="1" si="92"/>
        <v>209.17700442297672</v>
      </c>
      <c r="AG243" s="306">
        <f t="shared" ca="1" si="114"/>
        <v>43.612306906660017</v>
      </c>
      <c r="AH243" s="304">
        <f t="shared" ca="1" si="115"/>
        <v>53.360944034242749</v>
      </c>
    </row>
    <row r="244" spans="1:34" x14ac:dyDescent="0.2">
      <c r="A244" s="347">
        <f t="shared" ca="1" si="93"/>
        <v>0.01</v>
      </c>
      <c r="B244" s="304">
        <f t="shared" ca="1" si="94"/>
        <v>2.3999999999999928</v>
      </c>
      <c r="D244" s="306">
        <f t="shared" ca="1" si="95"/>
        <v>5.9378604681827829</v>
      </c>
      <c r="E244" s="307">
        <f t="shared" ca="1" si="96"/>
        <v>42.996103734713216</v>
      </c>
      <c r="F244" s="304">
        <f t="shared" ca="1" si="97"/>
        <v>43.404183246616078</v>
      </c>
      <c r="G244" s="306">
        <f t="shared" ca="1" si="98"/>
        <v>17.954102607964952</v>
      </c>
      <c r="H244" s="307">
        <f t="shared" ca="1" si="99"/>
        <v>159.56988308247114</v>
      </c>
      <c r="I244" s="304">
        <f t="shared" ca="1" si="100"/>
        <v>160.57676478062086</v>
      </c>
      <c r="J244" s="306">
        <f t="shared" ca="1" si="101"/>
        <v>22.182519293138117</v>
      </c>
      <c r="K244" s="307">
        <f t="shared" ca="1" si="102"/>
        <v>210.77055344861469</v>
      </c>
      <c r="L244" s="304">
        <f t="shared" ca="1" si="87"/>
        <v>211.9346370068512</v>
      </c>
      <c r="M244" s="306">
        <f t="shared" ca="1" si="103"/>
        <v>1.4587519502621666</v>
      </c>
      <c r="N244" s="304">
        <f t="shared" ca="1" si="104"/>
        <v>83.580330106499929</v>
      </c>
      <c r="P244" s="310">
        <f t="shared" ca="1" si="105"/>
        <v>6</v>
      </c>
      <c r="Q244" s="304">
        <f t="shared" ca="1" si="106"/>
        <v>528.33000000000106</v>
      </c>
      <c r="R244" s="306">
        <f t="shared" ca="1" si="107"/>
        <v>0.26514421119623832</v>
      </c>
      <c r="S244" s="307">
        <f t="shared" ca="1" si="108"/>
        <v>8.1736438444011519</v>
      </c>
      <c r="T244" s="304">
        <f t="shared" ca="1" si="88"/>
        <v>80.1834461135753</v>
      </c>
      <c r="U244" s="311">
        <f t="shared" ca="1" si="89"/>
        <v>0</v>
      </c>
      <c r="V244" s="306">
        <f t="shared" ca="1" si="90"/>
        <v>1.1994498679759147</v>
      </c>
      <c r="W244" s="304">
        <f t="shared" ca="1" si="91"/>
        <v>94.486517133244931</v>
      </c>
      <c r="Y244" s="314" t="str">
        <f t="shared" ca="1" si="109"/>
        <v/>
      </c>
      <c r="Z244" s="315" t="str">
        <f t="shared" ca="1" si="110"/>
        <v/>
      </c>
      <c r="AA244" s="316" t="str">
        <f t="shared" ca="1" si="111"/>
        <v/>
      </c>
      <c r="AC244" s="310" t="e">
        <f t="shared" ca="1" si="112"/>
        <v>#N/A</v>
      </c>
      <c r="AD244" s="323" t="e">
        <f t="shared" ca="1" si="113"/>
        <v>#N/A</v>
      </c>
      <c r="AE244" s="324">
        <f t="shared" ca="1" si="92"/>
        <v>210.77055344861469</v>
      </c>
      <c r="AG244" s="306">
        <f t="shared" ca="1" si="114"/>
        <v>43.390338642477445</v>
      </c>
      <c r="AH244" s="304">
        <f t="shared" ca="1" si="115"/>
        <v>53.138900803280649</v>
      </c>
    </row>
    <row r="245" spans="1:34" x14ac:dyDescent="0.2">
      <c r="A245" s="347">
        <f t="shared" ca="1" si="93"/>
        <v>0.01</v>
      </c>
      <c r="B245" s="304">
        <f t="shared" ca="1" si="94"/>
        <v>2.4099999999999926</v>
      </c>
      <c r="D245" s="306">
        <f t="shared" ca="1" si="95"/>
        <v>5.9166366376924984</v>
      </c>
      <c r="E245" s="307">
        <f t="shared" ca="1" si="96"/>
        <v>42.77502956863021</v>
      </c>
      <c r="F245" s="304">
        <f t="shared" ca="1" si="97"/>
        <v>43.182285068065518</v>
      </c>
      <c r="G245" s="306">
        <f t="shared" ca="1" si="98"/>
        <v>18.013268974341877</v>
      </c>
      <c r="H245" s="307">
        <f t="shared" ca="1" si="99"/>
        <v>159.99763337815745</v>
      </c>
      <c r="I245" s="304">
        <f t="shared" ca="1" si="100"/>
        <v>161.00844867817736</v>
      </c>
      <c r="J245" s="306">
        <f t="shared" ca="1" si="101"/>
        <v>22.362356151049653</v>
      </c>
      <c r="K245" s="307">
        <f t="shared" ca="1" si="102"/>
        <v>212.36839103091785</v>
      </c>
      <c r="L245" s="304">
        <f t="shared" ca="1" si="87"/>
        <v>213.54252148386564</v>
      </c>
      <c r="M245" s="306">
        <f t="shared" ca="1" si="103"/>
        <v>1.4586838260737776</v>
      </c>
      <c r="N245" s="304">
        <f t="shared" ca="1" si="104"/>
        <v>83.576426878022488</v>
      </c>
      <c r="P245" s="310">
        <f t="shared" ca="1" si="105"/>
        <v>6</v>
      </c>
      <c r="Q245" s="304">
        <f t="shared" ca="1" si="106"/>
        <v>526.87000000000103</v>
      </c>
      <c r="R245" s="306">
        <f t="shared" ca="1" si="107"/>
        <v>0.26441150522015039</v>
      </c>
      <c r="S245" s="307">
        <f t="shared" ca="1" si="108"/>
        <v>8.1709997293489511</v>
      </c>
      <c r="T245" s="304">
        <f t="shared" ca="1" si="88"/>
        <v>80.157507344913213</v>
      </c>
      <c r="U245" s="311">
        <f t="shared" ca="1" si="89"/>
        <v>0</v>
      </c>
      <c r="V245" s="306">
        <f t="shared" ca="1" si="90"/>
        <v>1.1992582092330839</v>
      </c>
      <c r="W245" s="304">
        <f t="shared" ca="1" si="91"/>
        <v>94.980043361038952</v>
      </c>
      <c r="Y245" s="314" t="str">
        <f t="shared" ca="1" si="109"/>
        <v/>
      </c>
      <c r="Z245" s="315" t="str">
        <f t="shared" ca="1" si="110"/>
        <v/>
      </c>
      <c r="AA245" s="316" t="str">
        <f t="shared" ca="1" si="111"/>
        <v/>
      </c>
      <c r="AC245" s="310" t="e">
        <f t="shared" ca="1" si="112"/>
        <v>#N/A</v>
      </c>
      <c r="AD245" s="323" t="e">
        <f t="shared" ca="1" si="113"/>
        <v>#N/A</v>
      </c>
      <c r="AE245" s="324">
        <f t="shared" ca="1" si="92"/>
        <v>212.36839103091785</v>
      </c>
      <c r="AG245" s="306">
        <f t="shared" ca="1" si="114"/>
        <v>43.168352394401396</v>
      </c>
      <c r="AH245" s="304">
        <f t="shared" ca="1" si="115"/>
        <v>52.916839700006641</v>
      </c>
    </row>
    <row r="246" spans="1:34" x14ac:dyDescent="0.2">
      <c r="A246" s="347">
        <f t="shared" ca="1" si="93"/>
        <v>0.01</v>
      </c>
      <c r="B246" s="304">
        <f t="shared" ca="1" si="94"/>
        <v>2.4199999999999924</v>
      </c>
      <c r="D246" s="306">
        <f t="shared" ca="1" si="95"/>
        <v>5.8953735872311483</v>
      </c>
      <c r="E246" s="307">
        <f t="shared" ca="1" si="96"/>
        <v>42.553944777632708</v>
      </c>
      <c r="F246" s="304">
        <f t="shared" ca="1" si="97"/>
        <v>42.960372971737996</v>
      </c>
      <c r="G246" s="306">
        <f t="shared" ca="1" si="98"/>
        <v>18.072222710214188</v>
      </c>
      <c r="H246" s="307">
        <f t="shared" ca="1" si="99"/>
        <v>160.42317282593376</v>
      </c>
      <c r="I246" s="304">
        <f t="shared" ca="1" si="100"/>
        <v>161.43791256463581</v>
      </c>
      <c r="J246" s="306">
        <f t="shared" ca="1" si="101"/>
        <v>22.542783609472433</v>
      </c>
      <c r="K246" s="307">
        <f t="shared" ca="1" si="102"/>
        <v>213.97049506193829</v>
      </c>
      <c r="L246" s="304">
        <f t="shared" ca="1" si="87"/>
        <v>215.15471142857751</v>
      </c>
      <c r="M246" s="306">
        <f t="shared" ca="1" si="103"/>
        <v>1.4586158419753212</v>
      </c>
      <c r="N246" s="304">
        <f t="shared" ca="1" si="104"/>
        <v>83.572531676106934</v>
      </c>
      <c r="P246" s="310">
        <f t="shared" ca="1" si="105"/>
        <v>6</v>
      </c>
      <c r="Q246" s="304">
        <f t="shared" ca="1" si="106"/>
        <v>525.41000000000111</v>
      </c>
      <c r="R246" s="306">
        <f t="shared" ca="1" si="107"/>
        <v>0.26367879924406257</v>
      </c>
      <c r="S246" s="307">
        <f t="shared" ca="1" si="108"/>
        <v>8.1683629413565111</v>
      </c>
      <c r="T246" s="304">
        <f t="shared" ca="1" si="88"/>
        <v>80.13164045470738</v>
      </c>
      <c r="U246" s="311">
        <f t="shared" ca="1" si="89"/>
        <v>0</v>
      </c>
      <c r="V246" s="306">
        <f t="shared" ca="1" si="90"/>
        <v>1.1990660691559925</v>
      </c>
      <c r="W246" s="304">
        <f t="shared" ca="1" si="91"/>
        <v>95.472108204928546</v>
      </c>
      <c r="Y246" s="314" t="str">
        <f t="shared" ca="1" si="109"/>
        <v/>
      </c>
      <c r="Z246" s="315" t="str">
        <f t="shared" ca="1" si="110"/>
        <v/>
      </c>
      <c r="AA246" s="316" t="str">
        <f t="shared" ca="1" si="111"/>
        <v/>
      </c>
      <c r="AC246" s="310" t="e">
        <f t="shared" ca="1" si="112"/>
        <v>#N/A</v>
      </c>
      <c r="AD246" s="323" t="e">
        <f t="shared" ca="1" si="113"/>
        <v>#N/A</v>
      </c>
      <c r="AE246" s="324">
        <f t="shared" ca="1" si="92"/>
        <v>213.97049506193829</v>
      </c>
      <c r="AG246" s="306">
        <f t="shared" ca="1" si="114"/>
        <v>42.94635133885533</v>
      </c>
      <c r="AH246" s="304">
        <f t="shared" ca="1" si="115"/>
        <v>52.694763899347635</v>
      </c>
    </row>
    <row r="247" spans="1:34" x14ac:dyDescent="0.2">
      <c r="A247" s="347">
        <f t="shared" ca="1" si="93"/>
        <v>0.01</v>
      </c>
      <c r="B247" s="304">
        <f t="shared" ca="1" si="94"/>
        <v>2.4299999999999922</v>
      </c>
      <c r="D247" s="306">
        <f t="shared" ca="1" si="95"/>
        <v>5.8740718455293965</v>
      </c>
      <c r="E247" s="307">
        <f t="shared" ca="1" si="96"/>
        <v>42.332852485694325</v>
      </c>
      <c r="F247" s="304">
        <f t="shared" ca="1" si="97"/>
        <v>42.73845013125765</v>
      </c>
      <c r="G247" s="306">
        <f t="shared" ca="1" si="98"/>
        <v>18.130963428669482</v>
      </c>
      <c r="H247" s="307">
        <f t="shared" ca="1" si="99"/>
        <v>160.8465013507907</v>
      </c>
      <c r="I247" s="304">
        <f t="shared" ca="1" si="100"/>
        <v>161.86515632353266</v>
      </c>
      <c r="J247" s="306">
        <f t="shared" ca="1" si="101"/>
        <v>22.723799540166851</v>
      </c>
      <c r="K247" s="307">
        <f t="shared" ca="1" si="102"/>
        <v>215.5768434328219</v>
      </c>
      <c r="L247" s="304">
        <f t="shared" ca="1" si="87"/>
        <v>216.7711846394744</v>
      </c>
      <c r="M247" s="306">
        <f t="shared" ca="1" si="103"/>
        <v>1.4585479963775609</v>
      </c>
      <c r="N247" s="304">
        <f t="shared" ca="1" si="104"/>
        <v>83.568644409696731</v>
      </c>
      <c r="P247" s="310">
        <f t="shared" ca="1" si="105"/>
        <v>6</v>
      </c>
      <c r="Q247" s="304">
        <f t="shared" ca="1" si="106"/>
        <v>523.95000000000118</v>
      </c>
      <c r="R247" s="306">
        <f t="shared" ca="1" si="107"/>
        <v>0.26294609326797475</v>
      </c>
      <c r="S247" s="307">
        <f t="shared" ca="1" si="108"/>
        <v>8.1657334804238317</v>
      </c>
      <c r="T247" s="304">
        <f t="shared" ca="1" si="88"/>
        <v>80.105845442957786</v>
      </c>
      <c r="U247" s="311">
        <f t="shared" ca="1" si="89"/>
        <v>0</v>
      </c>
      <c r="V247" s="306">
        <f t="shared" ca="1" si="90"/>
        <v>1.1988734506316112</v>
      </c>
      <c r="W247" s="304">
        <f t="shared" ca="1" si="91"/>
        <v>95.962690800791236</v>
      </c>
      <c r="Y247" s="314" t="str">
        <f t="shared" ca="1" si="109"/>
        <v/>
      </c>
      <c r="Z247" s="315" t="str">
        <f t="shared" ca="1" si="110"/>
        <v/>
      </c>
      <c r="AA247" s="316" t="str">
        <f t="shared" ca="1" si="111"/>
        <v/>
      </c>
      <c r="AC247" s="310" t="e">
        <f t="shared" ca="1" si="112"/>
        <v>#N/A</v>
      </c>
      <c r="AD247" s="323" t="e">
        <f t="shared" ca="1" si="113"/>
        <v>#N/A</v>
      </c>
      <c r="AE247" s="324">
        <f t="shared" ca="1" si="92"/>
        <v>215.5768434328219</v>
      </c>
      <c r="AG247" s="306">
        <f t="shared" ca="1" si="114"/>
        <v>42.724338636217098</v>
      </c>
      <c r="AH247" s="304">
        <f t="shared" ca="1" si="115"/>
        <v>52.472676560199595</v>
      </c>
    </row>
    <row r="248" spans="1:34" x14ac:dyDescent="0.2">
      <c r="A248" s="347">
        <f t="shared" ca="1" si="93"/>
        <v>0.01</v>
      </c>
      <c r="B248" s="304">
        <f t="shared" ca="1" si="94"/>
        <v>2.439999999999992</v>
      </c>
      <c r="D248" s="306">
        <f t="shared" ca="1" si="95"/>
        <v>5.8527319380424991</v>
      </c>
      <c r="E248" s="307">
        <f t="shared" ca="1" si="96"/>
        <v>42.111755800885845</v>
      </c>
      <c r="F248" s="304">
        <f t="shared" ca="1" si="97"/>
        <v>42.51651970436933</v>
      </c>
      <c r="G248" s="306">
        <f t="shared" ca="1" si="98"/>
        <v>18.189490748049906</v>
      </c>
      <c r="H248" s="307">
        <f t="shared" ca="1" si="99"/>
        <v>161.26761890879956</v>
      </c>
      <c r="I248" s="304">
        <f t="shared" ca="1" si="100"/>
        <v>162.29017986984672</v>
      </c>
      <c r="J248" s="306">
        <f t="shared" ca="1" si="101"/>
        <v>22.905401811050449</v>
      </c>
      <c r="K248" s="307">
        <f t="shared" ca="1" si="102"/>
        <v>217.18741403411985</v>
      </c>
      <c r="L248" s="304">
        <f t="shared" ca="1" si="87"/>
        <v>218.39191891403371</v>
      </c>
      <c r="M248" s="306">
        <f t="shared" ca="1" si="103"/>
        <v>1.4584802877085028</v>
      </c>
      <c r="N248" s="304">
        <f t="shared" ca="1" si="104"/>
        <v>83.56476498872324</v>
      </c>
      <c r="P248" s="310">
        <f t="shared" ca="1" si="105"/>
        <v>6</v>
      </c>
      <c r="Q248" s="304">
        <f t="shared" ca="1" si="106"/>
        <v>522.49000000000115</v>
      </c>
      <c r="R248" s="306">
        <f t="shared" ca="1" si="107"/>
        <v>0.26221338729188687</v>
      </c>
      <c r="S248" s="307">
        <f t="shared" ca="1" si="108"/>
        <v>8.1631113465509131</v>
      </c>
      <c r="T248" s="304">
        <f t="shared" ca="1" si="88"/>
        <v>80.080122309664461</v>
      </c>
      <c r="U248" s="311">
        <f t="shared" ca="1" si="89"/>
        <v>0</v>
      </c>
      <c r="V248" s="306">
        <f t="shared" ca="1" si="90"/>
        <v>1.1986803565458259</v>
      </c>
      <c r="W248" s="304">
        <f t="shared" ca="1" si="91"/>
        <v>96.451770450114878</v>
      </c>
      <c r="Y248" s="314" t="str">
        <f t="shared" ca="1" si="109"/>
        <v/>
      </c>
      <c r="Z248" s="315" t="str">
        <f t="shared" ca="1" si="110"/>
        <v/>
      </c>
      <c r="AA248" s="316" t="str">
        <f t="shared" ca="1" si="111"/>
        <v/>
      </c>
      <c r="AC248" s="310" t="e">
        <f t="shared" ca="1" si="112"/>
        <v>#N/A</v>
      </c>
      <c r="AD248" s="323" t="e">
        <f t="shared" ca="1" si="113"/>
        <v>#N/A</v>
      </c>
      <c r="AE248" s="324">
        <f t="shared" ca="1" si="92"/>
        <v>217.18741403411985</v>
      </c>
      <c r="AG248" s="306">
        <f t="shared" ca="1" si="114"/>
        <v>42.502317430731793</v>
      </c>
      <c r="AH248" s="304">
        <f t="shared" ca="1" si="115"/>
        <v>52.250580825340172</v>
      </c>
    </row>
    <row r="249" spans="1:34" x14ac:dyDescent="0.2">
      <c r="A249" s="347">
        <f t="shared" ca="1" si="93"/>
        <v>0.01</v>
      </c>
      <c r="B249" s="304">
        <f t="shared" ca="1" si="94"/>
        <v>2.4499999999999917</v>
      </c>
      <c r="D249" s="306">
        <f t="shared" ca="1" si="95"/>
        <v>5.831354386965331</v>
      </c>
      <c r="E249" s="307">
        <f t="shared" ca="1" si="96"/>
        <v>41.8906578152883</v>
      </c>
      <c r="F249" s="304">
        <f t="shared" ca="1" si="97"/>
        <v>42.29458483285957</v>
      </c>
      <c r="G249" s="306">
        <f t="shared" ca="1" si="98"/>
        <v>18.247804291919557</v>
      </c>
      <c r="H249" s="307">
        <f t="shared" ca="1" si="99"/>
        <v>161.68652548695243</v>
      </c>
      <c r="I249" s="304">
        <f t="shared" ca="1" si="100"/>
        <v>162.71298314983693</v>
      </c>
      <c r="J249" s="306">
        <f t="shared" ca="1" si="101"/>
        <v>23.087588286250298</v>
      </c>
      <c r="K249" s="307">
        <f t="shared" ca="1" si="102"/>
        <v>218.80218475609863</v>
      </c>
      <c r="L249" s="304">
        <f t="shared" ca="1" si="87"/>
        <v>220.01689204903636</v>
      </c>
      <c r="M249" s="306">
        <f t="shared" ca="1" si="103"/>
        <v>1.4584127144131118</v>
      </c>
      <c r="N249" s="304">
        <f t="shared" ca="1" si="104"/>
        <v>83.560893324089548</v>
      </c>
      <c r="P249" s="310">
        <f t="shared" ca="1" si="105"/>
        <v>6</v>
      </c>
      <c r="Q249" s="304">
        <f t="shared" ca="1" si="106"/>
        <v>521.03000000000122</v>
      </c>
      <c r="R249" s="306">
        <f t="shared" ca="1" si="107"/>
        <v>0.26148068131579899</v>
      </c>
      <c r="S249" s="307">
        <f t="shared" ca="1" si="108"/>
        <v>8.1604965397377551</v>
      </c>
      <c r="T249" s="304">
        <f t="shared" ca="1" si="88"/>
        <v>80.054471054827388</v>
      </c>
      <c r="U249" s="311">
        <f t="shared" ca="1" si="89"/>
        <v>0</v>
      </c>
      <c r="V249" s="306">
        <f t="shared" ca="1" si="90"/>
        <v>1.1984867897833924</v>
      </c>
      <c r="W249" s="304">
        <f t="shared" ca="1" si="91"/>
        <v>96.939326620240436</v>
      </c>
      <c r="Y249" s="314" t="str">
        <f t="shared" ca="1" si="109"/>
        <v/>
      </c>
      <c r="Z249" s="315" t="str">
        <f t="shared" ca="1" si="110"/>
        <v/>
      </c>
      <c r="AA249" s="316" t="str">
        <f t="shared" ca="1" si="111"/>
        <v/>
      </c>
      <c r="AC249" s="310" t="e">
        <f t="shared" ca="1" si="112"/>
        <v>#N/A</v>
      </c>
      <c r="AD249" s="323" t="e">
        <f t="shared" ca="1" si="113"/>
        <v>#N/A</v>
      </c>
      <c r="AE249" s="324">
        <f t="shared" ca="1" si="92"/>
        <v>218.80218475609863</v>
      </c>
      <c r="AG249" s="306">
        <f t="shared" ca="1" si="114"/>
        <v>42.280290850426468</v>
      </c>
      <c r="AH249" s="304">
        <f t="shared" ca="1" si="115"/>
        <v>52.028479821343147</v>
      </c>
    </row>
    <row r="250" spans="1:34" x14ac:dyDescent="0.2">
      <c r="A250" s="347">
        <f t="shared" ca="1" si="93"/>
        <v>0.01</v>
      </c>
      <c r="B250" s="304">
        <f t="shared" ca="1" si="94"/>
        <v>2.4599999999999915</v>
      </c>
      <c r="D250" s="306">
        <f t="shared" ca="1" si="95"/>
        <v>5.8099397112468401</v>
      </c>
      <c r="E250" s="307">
        <f t="shared" ca="1" si="96"/>
        <v>41.669561604907571</v>
      </c>
      <c r="F250" s="304">
        <f t="shared" ca="1" si="97"/>
        <v>42.072648642479237</v>
      </c>
      <c r="G250" s="306">
        <f t="shared" ca="1" si="98"/>
        <v>18.305903689032025</v>
      </c>
      <c r="H250" s="307">
        <f t="shared" ca="1" si="99"/>
        <v>162.10322110300152</v>
      </c>
      <c r="I250" s="304">
        <f t="shared" ca="1" si="100"/>
        <v>163.13356614087951</v>
      </c>
      <c r="J250" s="306">
        <f t="shared" ca="1" si="101"/>
        <v>23.270356826155055</v>
      </c>
      <c r="K250" s="307">
        <f t="shared" ca="1" si="102"/>
        <v>220.4211334890484</v>
      </c>
      <c r="L250" s="304">
        <f t="shared" ca="1" si="87"/>
        <v>221.64608184087865</v>
      </c>
      <c r="M250" s="306">
        <f t="shared" ca="1" si="103"/>
        <v>1.4583452749530301</v>
      </c>
      <c r="N250" s="304">
        <f t="shared" ca="1" si="104"/>
        <v>83.557029327654234</v>
      </c>
      <c r="P250" s="310">
        <f t="shared" ca="1" si="105"/>
        <v>6</v>
      </c>
      <c r="Q250" s="304">
        <f t="shared" ca="1" si="106"/>
        <v>519.57000000000119</v>
      </c>
      <c r="R250" s="306">
        <f t="shared" ca="1" si="107"/>
        <v>0.26074797533971111</v>
      </c>
      <c r="S250" s="307">
        <f t="shared" ca="1" si="108"/>
        <v>8.1578890599843579</v>
      </c>
      <c r="T250" s="304">
        <f t="shared" ca="1" si="88"/>
        <v>80.028891678446556</v>
      </c>
      <c r="U250" s="311">
        <f t="shared" ca="1" si="89"/>
        <v>0</v>
      </c>
      <c r="V250" s="306">
        <f t="shared" ca="1" si="90"/>
        <v>1.1982927532278855</v>
      </c>
      <c r="W250" s="304">
        <f t="shared" ca="1" si="91"/>
        <v>97.425338944590663</v>
      </c>
      <c r="Y250" s="314" t="str">
        <f t="shared" ca="1" si="109"/>
        <v/>
      </c>
      <c r="Z250" s="315" t="str">
        <f t="shared" ca="1" si="110"/>
        <v/>
      </c>
      <c r="AA250" s="316" t="str">
        <f t="shared" ca="1" si="111"/>
        <v/>
      </c>
      <c r="AC250" s="310" t="e">
        <f t="shared" ca="1" si="112"/>
        <v>#N/A</v>
      </c>
      <c r="AD250" s="323" t="e">
        <f t="shared" ca="1" si="113"/>
        <v>#N/A</v>
      </c>
      <c r="AE250" s="324">
        <f t="shared" ca="1" si="92"/>
        <v>220.4211334890484</v>
      </c>
      <c r="AG250" s="306">
        <f t="shared" ca="1" si="114"/>
        <v>42.058262007026357</v>
      </c>
      <c r="AH250" s="304">
        <f t="shared" ca="1" si="115"/>
        <v>51.806376658494436</v>
      </c>
    </row>
    <row r="251" spans="1:34" x14ac:dyDescent="0.2">
      <c r="A251" s="347">
        <f t="shared" ca="1" si="93"/>
        <v>0.01</v>
      </c>
      <c r="B251" s="304">
        <f t="shared" ca="1" si="94"/>
        <v>2.4699999999999913</v>
      </c>
      <c r="D251" s="306">
        <f t="shared" ca="1" si="95"/>
        <v>5.7884884266043484</v>
      </c>
      <c r="E251" s="307">
        <f t="shared" ca="1" si="96"/>
        <v>41.448470229591138</v>
      </c>
      <c r="F251" s="304">
        <f t="shared" ca="1" si="97"/>
        <v>41.850714242868492</v>
      </c>
      <c r="G251" s="306">
        <f t="shared" ca="1" si="98"/>
        <v>18.36378857329807</v>
      </c>
      <c r="H251" s="307">
        <f t="shared" ca="1" si="99"/>
        <v>162.51770580529742</v>
      </c>
      <c r="I251" s="304">
        <f t="shared" ca="1" si="100"/>
        <v>163.55192885130398</v>
      </c>
      <c r="J251" s="306">
        <f t="shared" ca="1" si="101"/>
        <v>23.453705287466704</v>
      </c>
      <c r="K251" s="307">
        <f t="shared" ca="1" si="102"/>
        <v>222.04423812358991</v>
      </c>
      <c r="L251" s="304">
        <f t="shared" ca="1" si="87"/>
        <v>223.27946608588272</v>
      </c>
      <c r="M251" s="306">
        <f t="shared" ca="1" si="103"/>
        <v>1.4582779678063036</v>
      </c>
      <c r="N251" s="304">
        <f t="shared" ca="1" si="104"/>
        <v>83.553172912215729</v>
      </c>
      <c r="P251" s="310">
        <f t="shared" ca="1" si="105"/>
        <v>6</v>
      </c>
      <c r="Q251" s="304">
        <f t="shared" ca="1" si="106"/>
        <v>518.11000000000126</v>
      </c>
      <c r="R251" s="306">
        <f t="shared" ca="1" si="107"/>
        <v>0.26001526936362329</v>
      </c>
      <c r="S251" s="307">
        <f t="shared" ca="1" si="108"/>
        <v>8.1552889072907213</v>
      </c>
      <c r="T251" s="304">
        <f t="shared" ca="1" si="88"/>
        <v>80.003384180521977</v>
      </c>
      <c r="U251" s="311">
        <f t="shared" ca="1" si="89"/>
        <v>0</v>
      </c>
      <c r="V251" s="306">
        <f t="shared" ca="1" si="90"/>
        <v>1.1980982497616532</v>
      </c>
      <c r="W251" s="304">
        <f t="shared" ca="1" si="91"/>
        <v>97.909787222885029</v>
      </c>
      <c r="Y251" s="314" t="str">
        <f t="shared" ca="1" si="109"/>
        <v/>
      </c>
      <c r="Z251" s="315" t="str">
        <f t="shared" ca="1" si="110"/>
        <v/>
      </c>
      <c r="AA251" s="316" t="str">
        <f t="shared" ca="1" si="111"/>
        <v/>
      </c>
      <c r="AC251" s="310" t="e">
        <f t="shared" ca="1" si="112"/>
        <v>#N/A</v>
      </c>
      <c r="AD251" s="323" t="e">
        <f t="shared" ca="1" si="113"/>
        <v>#N/A</v>
      </c>
      <c r="AE251" s="324">
        <f t="shared" ca="1" si="92"/>
        <v>222.04423812358991</v>
      </c>
      <c r="AG251" s="306">
        <f t="shared" ca="1" si="114"/>
        <v>41.836233995873144</v>
      </c>
      <c r="AH251" s="304">
        <f t="shared" ca="1" si="115"/>
        <v>51.584274430710117</v>
      </c>
    </row>
    <row r="252" spans="1:34" x14ac:dyDescent="0.2">
      <c r="A252" s="347">
        <f t="shared" ca="1" si="93"/>
        <v>0.01</v>
      </c>
      <c r="B252" s="304">
        <f t="shared" ca="1" si="94"/>
        <v>2.4799999999999911</v>
      </c>
      <c r="D252" s="306">
        <f t="shared" ca="1" si="95"/>
        <v>5.7670010455372989</v>
      </c>
      <c r="E252" s="307">
        <f t="shared" ca="1" si="96"/>
        <v>41.227386732946279</v>
      </c>
      <c r="F252" s="304">
        <f t="shared" ca="1" si="97"/>
        <v>41.628784727483257</v>
      </c>
      <c r="G252" s="306">
        <f t="shared" ca="1" si="98"/>
        <v>18.421458583753441</v>
      </c>
      <c r="H252" s="307">
        <f t="shared" ca="1" si="99"/>
        <v>162.9299796726269</v>
      </c>
      <c r="I252" s="304">
        <f t="shared" ca="1" si="100"/>
        <v>163.96807132022855</v>
      </c>
      <c r="J252" s="306">
        <f t="shared" ca="1" si="101"/>
        <v>23.637631523251962</v>
      </c>
      <c r="K252" s="307">
        <f t="shared" ca="1" si="102"/>
        <v>223.67147655097952</v>
      </c>
      <c r="L252" s="304">
        <f t="shared" ca="1" si="87"/>
        <v>224.91702258060508</v>
      </c>
      <c r="M252" s="306">
        <f t="shared" ca="1" si="103"/>
        <v>1.4582107914671125</v>
      </c>
      <c r="N252" s="304">
        <f t="shared" ca="1" si="104"/>
        <v>83.549323991496948</v>
      </c>
      <c r="P252" s="310">
        <f t="shared" ca="1" si="105"/>
        <v>6</v>
      </c>
      <c r="Q252" s="304">
        <f t="shared" ca="1" si="106"/>
        <v>516.65000000000123</v>
      </c>
      <c r="R252" s="306">
        <f t="shared" ca="1" si="107"/>
        <v>0.25928256338753541</v>
      </c>
      <c r="S252" s="307">
        <f t="shared" ca="1" si="108"/>
        <v>8.1526960816568455</v>
      </c>
      <c r="T252" s="304">
        <f t="shared" ca="1" si="88"/>
        <v>79.977948561053651</v>
      </c>
      <c r="U252" s="311">
        <f t="shared" ca="1" si="89"/>
        <v>0</v>
      </c>
      <c r="V252" s="306">
        <f t="shared" ca="1" si="90"/>
        <v>1.1979032822657703</v>
      </c>
      <c r="W252" s="304">
        <f t="shared" ca="1" si="91"/>
        <v>98.392651421340858</v>
      </c>
      <c r="Y252" s="314" t="str">
        <f t="shared" ca="1" si="109"/>
        <v/>
      </c>
      <c r="Z252" s="315" t="str">
        <f t="shared" ca="1" si="110"/>
        <v/>
      </c>
      <c r="AA252" s="316" t="str">
        <f t="shared" ca="1" si="111"/>
        <v/>
      </c>
      <c r="AC252" s="310" t="e">
        <f t="shared" ca="1" si="112"/>
        <v>#N/A</v>
      </c>
      <c r="AD252" s="323" t="e">
        <f t="shared" ca="1" si="113"/>
        <v>#N/A</v>
      </c>
      <c r="AE252" s="324">
        <f t="shared" ca="1" si="92"/>
        <v>223.67147655097952</v>
      </c>
      <c r="AG252" s="306">
        <f t="shared" ca="1" si="114"/>
        <v>41.614209895844695</v>
      </c>
      <c r="AH252" s="304">
        <f t="shared" ca="1" si="115"/>
        <v>51.362176215455953</v>
      </c>
    </row>
    <row r="253" spans="1:34" x14ac:dyDescent="0.2">
      <c r="A253" s="347">
        <f t="shared" ca="1" si="93"/>
        <v>0.01</v>
      </c>
      <c r="B253" s="304">
        <f t="shared" ca="1" si="94"/>
        <v>2.4899999999999909</v>
      </c>
      <c r="D253" s="306">
        <f t="shared" ca="1" si="95"/>
        <v>5.7454780773407688</v>
      </c>
      <c r="E253" s="307">
        <f t="shared" ca="1" si="96"/>
        <v>41.006314142260386</v>
      </c>
      <c r="F253" s="304">
        <f t="shared" ca="1" si="97"/>
        <v>41.406863173524115</v>
      </c>
      <c r="G253" s="306">
        <f t="shared" ca="1" si="98"/>
        <v>18.47891336452685</v>
      </c>
      <c r="H253" s="307">
        <f t="shared" ca="1" si="99"/>
        <v>163.3400428140495</v>
      </c>
      <c r="I253" s="304">
        <f t="shared" ca="1" si="100"/>
        <v>164.38199361739476</v>
      </c>
      <c r="J253" s="306">
        <f t="shared" ca="1" si="101"/>
        <v>23.822133382993364</v>
      </c>
      <c r="K253" s="307">
        <f t="shared" ca="1" si="102"/>
        <v>225.3028266634129</v>
      </c>
      <c r="L253" s="304">
        <f t="shared" ca="1" si="87"/>
        <v>226.55872912214397</v>
      </c>
      <c r="M253" s="306">
        <f t="shared" ca="1" si="103"/>
        <v>1.4581437444455077</v>
      </c>
      <c r="N253" s="304">
        <f t="shared" ca="1" si="104"/>
        <v>83.545482480130062</v>
      </c>
      <c r="P253" s="310">
        <f t="shared" ca="1" si="105"/>
        <v>6</v>
      </c>
      <c r="Q253" s="304">
        <f t="shared" ca="1" si="106"/>
        <v>515.19000000000131</v>
      </c>
      <c r="R253" s="306">
        <f t="shared" ca="1" si="107"/>
        <v>0.25854985741144754</v>
      </c>
      <c r="S253" s="307">
        <f t="shared" ca="1" si="108"/>
        <v>8.1501105830827303</v>
      </c>
      <c r="T253" s="304">
        <f t="shared" ca="1" si="88"/>
        <v>79.952584820041594</v>
      </c>
      <c r="U253" s="311">
        <f t="shared" ca="1" si="89"/>
        <v>0</v>
      </c>
      <c r="V253" s="306">
        <f t="shared" ca="1" si="90"/>
        <v>1.1977078536199883</v>
      </c>
      <c r="W253" s="304">
        <f t="shared" ca="1" si="91"/>
        <v>98.873911672860814</v>
      </c>
      <c r="Y253" s="314" t="str">
        <f t="shared" ca="1" si="109"/>
        <v/>
      </c>
      <c r="Z253" s="315" t="str">
        <f t="shared" ca="1" si="110"/>
        <v/>
      </c>
      <c r="AA253" s="316" t="str">
        <f t="shared" ca="1" si="111"/>
        <v/>
      </c>
      <c r="AC253" s="310" t="e">
        <f t="shared" ca="1" si="112"/>
        <v>#N/A</v>
      </c>
      <c r="AD253" s="323" t="e">
        <f t="shared" ca="1" si="113"/>
        <v>#N/A</v>
      </c>
      <c r="AE253" s="324">
        <f t="shared" ca="1" si="92"/>
        <v>225.3028266634129</v>
      </c>
      <c r="AG253" s="306">
        <f t="shared" ca="1" si="114"/>
        <v>41.392192769276846</v>
      </c>
      <c r="AH253" s="304">
        <f t="shared" ca="1" si="115"/>
        <v>51.140085073668942</v>
      </c>
    </row>
    <row r="254" spans="1:34" x14ac:dyDescent="0.2">
      <c r="A254" s="347">
        <f t="shared" ca="1" si="93"/>
        <v>0.01</v>
      </c>
      <c r="B254" s="304">
        <f t="shared" ca="1" si="94"/>
        <v>2.4999999999999907</v>
      </c>
      <c r="D254" s="306">
        <f t="shared" ca="1" si="95"/>
        <v>5.7239200281186058</v>
      </c>
      <c r="E254" s="307">
        <f t="shared" ca="1" si="96"/>
        <v>40.785255468422811</v>
      </c>
      <c r="F254" s="304">
        <f t="shared" ca="1" si="97"/>
        <v>41.184952641866786</v>
      </c>
      <c r="G254" s="306">
        <f t="shared" ca="1" si="98"/>
        <v>18.536152564808035</v>
      </c>
      <c r="H254" s="307">
        <f t="shared" ca="1" si="99"/>
        <v>163.74789536873374</v>
      </c>
      <c r="I254" s="304">
        <f t="shared" ca="1" si="100"/>
        <v>164.79369584300127</v>
      </c>
      <c r="J254" s="306">
        <f t="shared" ca="1" si="101"/>
        <v>24.00720871264004</v>
      </c>
      <c r="K254" s="307">
        <f t="shared" ca="1" si="102"/>
        <v>226.93826635432683</v>
      </c>
      <c r="L254" s="304">
        <f t="shared" ca="1" si="87"/>
        <v>228.20456350844444</v>
      </c>
      <c r="M254" s="306">
        <f t="shared" ca="1" si="103"/>
        <v>1.458076825267151</v>
      </c>
      <c r="N254" s="304">
        <f t="shared" ca="1" si="104"/>
        <v>83.541648293641742</v>
      </c>
      <c r="P254" s="310">
        <f t="shared" ca="1" si="105"/>
        <v>6</v>
      </c>
      <c r="Q254" s="304">
        <f t="shared" ca="1" si="106"/>
        <v>513.73000000000138</v>
      </c>
      <c r="R254" s="306">
        <f t="shared" ca="1" si="107"/>
        <v>0.25781715143535971</v>
      </c>
      <c r="S254" s="307">
        <f t="shared" ca="1" si="108"/>
        <v>8.1475324115683758</v>
      </c>
      <c r="T254" s="304">
        <f t="shared" ca="1" si="88"/>
        <v>79.927292957485776</v>
      </c>
      <c r="U254" s="311">
        <f t="shared" ca="1" si="89"/>
        <v>0</v>
      </c>
      <c r="V254" s="306">
        <f t="shared" ca="1" si="90"/>
        <v>1.1975119667026943</v>
      </c>
      <c r="W254" s="304">
        <f t="shared" ca="1" si="91"/>
        <v>99.35354827720721</v>
      </c>
      <c r="Y254" s="314" t="str">
        <f t="shared" ca="1" si="109"/>
        <v/>
      </c>
      <c r="Z254" s="315" t="str">
        <f t="shared" ca="1" si="110"/>
        <v/>
      </c>
      <c r="AA254" s="316" t="str">
        <f t="shared" ca="1" si="111"/>
        <v/>
      </c>
      <c r="AC254" s="310" t="e">
        <f t="shared" ca="1" si="112"/>
        <v>#N/A</v>
      </c>
      <c r="AD254" s="323" t="e">
        <f t="shared" ca="1" si="113"/>
        <v>#N/A</v>
      </c>
      <c r="AE254" s="324">
        <f t="shared" ca="1" si="92"/>
        <v>226.93826635432683</v>
      </c>
      <c r="AG254" s="306">
        <f t="shared" ca="1" si="114"/>
        <v>41.170185661886677</v>
      </c>
      <c r="AH254" s="304">
        <f t="shared" ca="1" si="115"/>
        <v>50.918004049680363</v>
      </c>
    </row>
    <row r="255" spans="1:34" x14ac:dyDescent="0.2">
      <c r="A255" s="347">
        <f t="shared" ca="1" si="93"/>
        <v>0.01</v>
      </c>
      <c r="B255" s="304">
        <f t="shared" ca="1" si="94"/>
        <v>2.5099999999999905</v>
      </c>
      <c r="D255" s="306">
        <f t="shared" ca="1" si="95"/>
        <v>5.6983038827531436</v>
      </c>
      <c r="E255" s="307">
        <f t="shared" ca="1" si="96"/>
        <v>40.528670050862026</v>
      </c>
      <c r="F255" s="304">
        <f t="shared" ca="1" si="97"/>
        <v>40.927298508841751</v>
      </c>
      <c r="G255" s="306">
        <f t="shared" ca="1" si="98"/>
        <v>18.593135603635567</v>
      </c>
      <c r="H255" s="307">
        <f t="shared" ca="1" si="99"/>
        <v>164.15318206924235</v>
      </c>
      <c r="I255" s="304">
        <f t="shared" ca="1" si="100"/>
        <v>165.20282042093896</v>
      </c>
      <c r="J255" s="306">
        <f t="shared" ca="1" si="101"/>
        <v>24.192855153482256</v>
      </c>
      <c r="K255" s="307">
        <f t="shared" ca="1" si="102"/>
        <v>228.5777717415167</v>
      </c>
      <c r="L255" s="304">
        <f t="shared" ca="1" si="87"/>
        <v>229.85450175011644</v>
      </c>
      <c r="M255" s="306">
        <f t="shared" ca="1" si="103"/>
        <v>1.4580100323284388</v>
      </c>
      <c r="N255" s="304">
        <f t="shared" ca="1" si="104"/>
        <v>83.537821340152263</v>
      </c>
      <c r="P255" s="310">
        <f t="shared" ca="1" si="105"/>
        <v>7</v>
      </c>
      <c r="Q255" s="304">
        <f t="shared" ca="1" si="106"/>
        <v>511.97872340425727</v>
      </c>
      <c r="R255" s="306">
        <f t="shared" ca="1" si="107"/>
        <v>0.25693826730694563</v>
      </c>
      <c r="S255" s="307">
        <f t="shared" ca="1" si="108"/>
        <v>8.1449630288953063</v>
      </c>
      <c r="T255" s="304">
        <f t="shared" ca="1" si="88"/>
        <v>79.902087313462957</v>
      </c>
      <c r="U255" s="311">
        <f t="shared" ca="1" si="89"/>
        <v>0</v>
      </c>
      <c r="V255" s="306">
        <f t="shared" ca="1" si="90"/>
        <v>1.1973156246036714</v>
      </c>
      <c r="W255" s="304">
        <f t="shared" ca="1" si="91"/>
        <v>99.831109398379326</v>
      </c>
      <c r="Y255" s="314" t="str">
        <f t="shared" ca="1" si="109"/>
        <v/>
      </c>
      <c r="Z255" s="315" t="str">
        <f t="shared" ca="1" si="110"/>
        <v/>
      </c>
      <c r="AA255" s="316" t="str">
        <f t="shared" ca="1" si="111"/>
        <v/>
      </c>
      <c r="AC255" s="310" t="e">
        <f t="shared" ca="1" si="112"/>
        <v>#N/A</v>
      </c>
      <c r="AD255" s="323" t="e">
        <f t="shared" ca="1" si="113"/>
        <v>#N/A</v>
      </c>
      <c r="AE255" s="324">
        <f t="shared" ca="1" si="92"/>
        <v>228.5777717415167</v>
      </c>
      <c r="AG255" s="306">
        <f t="shared" ca="1" si="114"/>
        <v>40.91242094283168</v>
      </c>
      <c r="AH255" s="304">
        <f t="shared" ca="1" si="115"/>
        <v>50.660165511274769</v>
      </c>
    </row>
    <row r="256" spans="1:34" x14ac:dyDescent="0.2">
      <c r="A256" s="347">
        <f t="shared" ca="1" si="93"/>
        <v>0.01</v>
      </c>
      <c r="B256" s="304">
        <f t="shared" ca="1" si="94"/>
        <v>2.5199999999999902</v>
      </c>
      <c r="D256" s="306">
        <f t="shared" ca="1" si="95"/>
        <v>5.6686241991827799</v>
      </c>
      <c r="E256" s="307">
        <f t="shared" ca="1" si="96"/>
        <v>40.236572029981673</v>
      </c>
      <c r="F256" s="304">
        <f t="shared" ca="1" si="97"/>
        <v>40.633914763845532</v>
      </c>
      <c r="G256" s="306">
        <f t="shared" ca="1" si="98"/>
        <v>18.649821845627393</v>
      </c>
      <c r="H256" s="307">
        <f t="shared" ca="1" si="99"/>
        <v>164.55554778954217</v>
      </c>
      <c r="I256" s="304">
        <f t="shared" ca="1" si="100"/>
        <v>165.60900990945493</v>
      </c>
      <c r="J256" s="306">
        <f t="shared" ca="1" si="101"/>
        <v>24.37906994072857</v>
      </c>
      <c r="K256" s="307">
        <f t="shared" ca="1" si="102"/>
        <v>230.22131539081062</v>
      </c>
      <c r="L256" s="304">
        <f t="shared" ca="1" si="87"/>
        <v>231.50851628277098</v>
      </c>
      <c r="M256" s="306">
        <f t="shared" ca="1" si="103"/>
        <v>1.4579433638987085</v>
      </c>
      <c r="N256" s="304">
        <f t="shared" ca="1" si="104"/>
        <v>83.534001520501945</v>
      </c>
      <c r="P256" s="310">
        <f t="shared" ca="1" si="105"/>
        <v>7</v>
      </c>
      <c r="Q256" s="304">
        <f t="shared" ca="1" si="106"/>
        <v>509.93617021276793</v>
      </c>
      <c r="R256" s="306">
        <f t="shared" ca="1" si="107"/>
        <v>0.25591320502620485</v>
      </c>
      <c r="S256" s="307">
        <f t="shared" ca="1" si="108"/>
        <v>8.1424038968450443</v>
      </c>
      <c r="T256" s="304">
        <f t="shared" ca="1" si="88"/>
        <v>79.876982228049883</v>
      </c>
      <c r="U256" s="311">
        <f t="shared" ca="1" si="89"/>
        <v>0</v>
      </c>
      <c r="V256" s="306">
        <f t="shared" ca="1" si="90"/>
        <v>1.1971188308365972</v>
      </c>
      <c r="W256" s="304">
        <f t="shared" ca="1" si="91"/>
        <v>100.30613955727596</v>
      </c>
      <c r="Y256" s="314" t="str">
        <f t="shared" ca="1" si="109"/>
        <v/>
      </c>
      <c r="Z256" s="315" t="str">
        <f t="shared" ca="1" si="110"/>
        <v/>
      </c>
      <c r="AA256" s="316" t="str">
        <f t="shared" ca="1" si="111"/>
        <v/>
      </c>
      <c r="AC256" s="310" t="e">
        <f t="shared" ca="1" si="112"/>
        <v>#N/A</v>
      </c>
      <c r="AD256" s="323" t="e">
        <f t="shared" ca="1" si="113"/>
        <v>#N/A</v>
      </c>
      <c r="AE256" s="324">
        <f t="shared" ca="1" si="92"/>
        <v>230.22131539081062</v>
      </c>
      <c r="AG256" s="306">
        <f t="shared" ca="1" si="114"/>
        <v>40.618912047646269</v>
      </c>
      <c r="AH256" s="304">
        <f t="shared" ca="1" si="115"/>
        <v>50.366582892466553</v>
      </c>
    </row>
    <row r="257" spans="1:34" x14ac:dyDescent="0.2">
      <c r="A257" s="347">
        <f t="shared" ca="1" si="93"/>
        <v>0.01</v>
      </c>
      <c r="B257" s="304">
        <f t="shared" ca="1" si="94"/>
        <v>2.52999999999999</v>
      </c>
      <c r="D257" s="306">
        <f t="shared" ca="1" si="95"/>
        <v>5.6389064517572809</v>
      </c>
      <c r="E257" s="307">
        <f t="shared" ca="1" si="96"/>
        <v>39.944541774374066</v>
      </c>
      <c r="F257" s="304">
        <f t="shared" ca="1" si="97"/>
        <v>40.340595973986112</v>
      </c>
      <c r="G257" s="306">
        <f t="shared" ca="1" si="98"/>
        <v>18.706210910144964</v>
      </c>
      <c r="H257" s="307">
        <f t="shared" ca="1" si="99"/>
        <v>164.95499320728592</v>
      </c>
      <c r="I257" s="304">
        <f t="shared" ca="1" si="100"/>
        <v>166.01226494036689</v>
      </c>
      <c r="J257" s="306">
        <f t="shared" ca="1" si="101"/>
        <v>24.565850104507433</v>
      </c>
      <c r="K257" s="307">
        <f t="shared" ca="1" si="102"/>
        <v>231.86886809579477</v>
      </c>
      <c r="L257" s="304">
        <f t="shared" ca="1" si="87"/>
        <v>233.16657775801016</v>
      </c>
      <c r="M257" s="306">
        <f t="shared" ca="1" si="103"/>
        <v>1.4578768182658401</v>
      </c>
      <c r="N257" s="304">
        <f t="shared" ca="1" si="104"/>
        <v>83.530188736593558</v>
      </c>
      <c r="P257" s="310">
        <f t="shared" ca="1" si="105"/>
        <v>7</v>
      </c>
      <c r="Q257" s="304">
        <f t="shared" ca="1" si="106"/>
        <v>507.8936170212786</v>
      </c>
      <c r="R257" s="306">
        <f t="shared" ca="1" si="107"/>
        <v>0.25488814274546401</v>
      </c>
      <c r="S257" s="307">
        <f t="shared" ca="1" si="108"/>
        <v>8.1398550154175897</v>
      </c>
      <c r="T257" s="304">
        <f t="shared" ca="1" si="88"/>
        <v>79.851977701246554</v>
      </c>
      <c r="U257" s="311">
        <f t="shared" ca="1" si="89"/>
        <v>0</v>
      </c>
      <c r="V257" s="306">
        <f t="shared" ca="1" si="90"/>
        <v>1.1969215891256337</v>
      </c>
      <c r="W257" s="304">
        <f t="shared" ca="1" si="91"/>
        <v>100.77861427087412</v>
      </c>
      <c r="Y257" s="314" t="str">
        <f t="shared" ca="1" si="109"/>
        <v/>
      </c>
      <c r="Z257" s="315" t="str">
        <f t="shared" ca="1" si="110"/>
        <v/>
      </c>
      <c r="AA257" s="316" t="str">
        <f t="shared" ca="1" si="111"/>
        <v/>
      </c>
      <c r="AC257" s="310" t="e">
        <f t="shared" ca="1" si="112"/>
        <v>#N/A</v>
      </c>
      <c r="AD257" s="323" t="e">
        <f t="shared" ca="1" si="113"/>
        <v>#N/A</v>
      </c>
      <c r="AE257" s="324">
        <f t="shared" ca="1" si="92"/>
        <v>231.86886809579477</v>
      </c>
      <c r="AG257" s="306">
        <f t="shared" ca="1" si="114"/>
        <v>40.325466333414354</v>
      </c>
      <c r="AH257" s="304">
        <f t="shared" ca="1" si="115"/>
        <v>50.073063548674597</v>
      </c>
    </row>
    <row r="258" spans="1:34" x14ac:dyDescent="0.2">
      <c r="A258" s="347">
        <f t="shared" ca="1" si="93"/>
        <v>0.01</v>
      </c>
      <c r="B258" s="304">
        <f t="shared" ca="1" si="94"/>
        <v>2.5399999999999898</v>
      </c>
      <c r="D258" s="306">
        <f t="shared" ca="1" si="95"/>
        <v>5.6091513179567922</v>
      </c>
      <c r="E258" s="307">
        <f t="shared" ca="1" si="96"/>
        <v>39.652583416634357</v>
      </c>
      <c r="F258" s="304">
        <f t="shared" ca="1" si="97"/>
        <v>40.047346355543738</v>
      </c>
      <c r="G258" s="306">
        <f t="shared" ca="1" si="98"/>
        <v>18.762302423324531</v>
      </c>
      <c r="H258" s="307">
        <f t="shared" ca="1" si="99"/>
        <v>165.35151904145226</v>
      </c>
      <c r="I258" s="304">
        <f t="shared" ca="1" si="100"/>
        <v>166.41258618728344</v>
      </c>
      <c r="J258" s="306">
        <f t="shared" ca="1" si="101"/>
        <v>24.75319267117478</v>
      </c>
      <c r="K258" s="307">
        <f t="shared" ca="1" si="102"/>
        <v>233.52040065703846</v>
      </c>
      <c r="L258" s="304">
        <f t="shared" ca="1" si="87"/>
        <v>234.82865683395642</v>
      </c>
      <c r="M258" s="306">
        <f t="shared" ca="1" si="103"/>
        <v>1.457810393735921</v>
      </c>
      <c r="N258" s="304">
        <f t="shared" ca="1" si="104"/>
        <v>83.526382891373061</v>
      </c>
      <c r="P258" s="310">
        <f t="shared" ca="1" si="105"/>
        <v>7</v>
      </c>
      <c r="Q258" s="304">
        <f t="shared" ca="1" si="106"/>
        <v>505.85106382978927</v>
      </c>
      <c r="R258" s="306">
        <f t="shared" ca="1" si="107"/>
        <v>0.25386308046472317</v>
      </c>
      <c r="S258" s="307">
        <f t="shared" ca="1" si="108"/>
        <v>8.1373163846129426</v>
      </c>
      <c r="T258" s="304">
        <f t="shared" ca="1" si="88"/>
        <v>79.82707373305297</v>
      </c>
      <c r="U258" s="311">
        <f t="shared" ca="1" si="89"/>
        <v>0</v>
      </c>
      <c r="V258" s="306">
        <f t="shared" ca="1" si="90"/>
        <v>1.1967239031922905</v>
      </c>
      <c r="W258" s="304">
        <f t="shared" ca="1" si="91"/>
        <v>101.24850933126294</v>
      </c>
      <c r="Y258" s="314" t="str">
        <f t="shared" ca="1" si="109"/>
        <v/>
      </c>
      <c r="Z258" s="315" t="str">
        <f t="shared" ca="1" si="110"/>
        <v/>
      </c>
      <c r="AA258" s="316" t="str">
        <f t="shared" ca="1" si="111"/>
        <v/>
      </c>
      <c r="AC258" s="310" t="e">
        <f t="shared" ca="1" si="112"/>
        <v>#N/A</v>
      </c>
      <c r="AD258" s="323" t="e">
        <f t="shared" ca="1" si="113"/>
        <v>#N/A</v>
      </c>
      <c r="AE258" s="324">
        <f t="shared" ca="1" si="92"/>
        <v>233.52040065703846</v>
      </c>
      <c r="AG258" s="306">
        <f t="shared" ca="1" si="114"/>
        <v>40.032087979223192</v>
      </c>
      <c r="AH258" s="304">
        <f t="shared" ca="1" si="115"/>
        <v>49.779611657336673</v>
      </c>
    </row>
    <row r="259" spans="1:34" x14ac:dyDescent="0.2">
      <c r="A259" s="347">
        <f t="shared" ca="1" si="93"/>
        <v>0.01</v>
      </c>
      <c r="B259" s="304">
        <f t="shared" ca="1" si="94"/>
        <v>2.5499999999999896</v>
      </c>
      <c r="D259" s="306">
        <f t="shared" ca="1" si="95"/>
        <v>5.5793594701384821</v>
      </c>
      <c r="E259" s="307">
        <f t="shared" ca="1" si="96"/>
        <v>39.360701060591971</v>
      </c>
      <c r="F259" s="304">
        <f t="shared" ca="1" si="97"/>
        <v>39.754170096711988</v>
      </c>
      <c r="G259" s="306">
        <f t="shared" ca="1" si="98"/>
        <v>18.818096018025916</v>
      </c>
      <c r="H259" s="307">
        <f t="shared" ca="1" si="99"/>
        <v>165.7451260520582</v>
      </c>
      <c r="I259" s="304">
        <f t="shared" ca="1" si="100"/>
        <v>166.80997436531277</v>
      </c>
      <c r="J259" s="306">
        <f t="shared" ca="1" si="101"/>
        <v>24.941094663381531</v>
      </c>
      <c r="K259" s="307">
        <f t="shared" ca="1" si="102"/>
        <v>235.17588388250601</v>
      </c>
      <c r="L259" s="304">
        <f t="shared" ca="1" si="87"/>
        <v>236.49472417566889</v>
      </c>
      <c r="M259" s="306">
        <f t="shared" ca="1" si="103"/>
        <v>1.4577440886329163</v>
      </c>
      <c r="N259" s="304">
        <f t="shared" ca="1" si="104"/>
        <v>83.522583888810701</v>
      </c>
      <c r="P259" s="310">
        <f t="shared" ca="1" si="105"/>
        <v>7</v>
      </c>
      <c r="Q259" s="304">
        <f t="shared" ca="1" si="106"/>
        <v>503.80851063829999</v>
      </c>
      <c r="R259" s="306">
        <f t="shared" ca="1" si="107"/>
        <v>0.25283801818398238</v>
      </c>
      <c r="S259" s="307">
        <f t="shared" ca="1" si="108"/>
        <v>8.1347880044311029</v>
      </c>
      <c r="T259" s="304">
        <f t="shared" ca="1" si="88"/>
        <v>79.802270323469131</v>
      </c>
      <c r="U259" s="311">
        <f t="shared" ca="1" si="89"/>
        <v>0</v>
      </c>
      <c r="V259" s="306">
        <f t="shared" ca="1" si="90"/>
        <v>1.1965257767553645</v>
      </c>
      <c r="W259" s="304">
        <f t="shared" ca="1" si="91"/>
        <v>101.71580080556568</v>
      </c>
      <c r="Y259" s="314" t="str">
        <f t="shared" ca="1" si="109"/>
        <v/>
      </c>
      <c r="Z259" s="315" t="str">
        <f t="shared" ca="1" si="110"/>
        <v/>
      </c>
      <c r="AA259" s="316" t="str">
        <f t="shared" ca="1" si="111"/>
        <v/>
      </c>
      <c r="AC259" s="310" t="e">
        <f t="shared" ca="1" si="112"/>
        <v>#N/A</v>
      </c>
      <c r="AD259" s="323" t="e">
        <f t="shared" ca="1" si="113"/>
        <v>#N/A</v>
      </c>
      <c r="AE259" s="324">
        <f t="shared" ca="1" si="92"/>
        <v>235.17588388250601</v>
      </c>
      <c r="AG259" s="306">
        <f t="shared" ca="1" si="114"/>
        <v>39.738781135040746</v>
      </c>
      <c r="AH259" s="304">
        <f t="shared" ca="1" si="115"/>
        <v>49.486231366786505</v>
      </c>
    </row>
    <row r="260" spans="1:34" x14ac:dyDescent="0.2">
      <c r="A260" s="347">
        <f t="shared" ca="1" si="93"/>
        <v>0.01</v>
      </c>
      <c r="B260" s="304">
        <f t="shared" ca="1" si="94"/>
        <v>2.5599999999999894</v>
      </c>
      <c r="D260" s="306">
        <f t="shared" ca="1" si="95"/>
        <v>5.5495315755558501</v>
      </c>
      <c r="E260" s="307">
        <f t="shared" ca="1" si="96"/>
        <v>39.068898781220724</v>
      </c>
      <c r="F260" s="304">
        <f t="shared" ca="1" si="97"/>
        <v>39.461071357546309</v>
      </c>
      <c r="G260" s="306">
        <f t="shared" ca="1" si="98"/>
        <v>18.873591333781473</v>
      </c>
      <c r="H260" s="307">
        <f t="shared" ca="1" si="99"/>
        <v>166.13581503987041</v>
      </c>
      <c r="I260" s="304">
        <f t="shared" ca="1" si="100"/>
        <v>167.20443023077055</v>
      </c>
      <c r="J260" s="306">
        <f t="shared" ca="1" si="101"/>
        <v>25.129553100140569</v>
      </c>
      <c r="K260" s="307">
        <f t="shared" ca="1" si="102"/>
        <v>236.83528858796566</v>
      </c>
      <c r="L260" s="304">
        <f t="shared" ref="L260:L323" ca="1" si="116">SQRT(pos_x^2+pos_z^2)</f>
        <v>238.16475045555705</v>
      </c>
      <c r="M260" s="306">
        <f t="shared" ca="1" si="103"/>
        <v>1.4576779012983474</v>
      </c>
      <c r="N260" s="304">
        <f t="shared" ca="1" si="104"/>
        <v>83.518791633882685</v>
      </c>
      <c r="P260" s="310">
        <f t="shared" ca="1" si="105"/>
        <v>7</v>
      </c>
      <c r="Q260" s="304">
        <f t="shared" ca="1" si="106"/>
        <v>501.76595744681066</v>
      </c>
      <c r="R260" s="306">
        <f t="shared" ca="1" si="107"/>
        <v>0.2518129559032416</v>
      </c>
      <c r="S260" s="307">
        <f t="shared" ca="1" si="108"/>
        <v>8.1322698748720708</v>
      </c>
      <c r="T260" s="304">
        <f t="shared" ref="T260:T323" ca="1" si="117">m*g</f>
        <v>79.777567472495022</v>
      </c>
      <c r="U260" s="311">
        <f t="shared" ref="U260:U323" ca="1" si="118">IF(pos_xz&lt;L_rampe,Poids*COS(Beta),0)</f>
        <v>0</v>
      </c>
      <c r="V260" s="306">
        <f t="shared" ref="V260:V323" ca="1" si="119">Rho_moyen*(20000-Alt_rampe-pos_z)/(20000+Alt_rampe+pos_z)</f>
        <v>1.196327213530876</v>
      </c>
      <c r="W260" s="304">
        <f t="shared" ref="W260:W323" ca="1" si="120">1/2*Rho*Sref*Cx*vit_xz^2</f>
        <v>102.18046503583894</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236.83528858796566</v>
      </c>
      <c r="AG260" s="306">
        <f t="shared" ca="1" si="114"/>
        <v>39.445549921627858</v>
      </c>
      <c r="AH260" s="304">
        <f t="shared" ca="1" si="115"/>
        <v>49.192926796165651</v>
      </c>
    </row>
    <row r="261" spans="1:34" x14ac:dyDescent="0.2">
      <c r="A261" s="347">
        <f t="shared" ref="A261:A324" ca="1" si="122">IF(B260+0.01&lt;=T_ini+ROUNDUP(Temps_fin_propu,0), 0.01, IF(K260&gt;0, 0.1, 0.0001))</f>
        <v>0.01</v>
      </c>
      <c r="B261" s="304">
        <f t="shared" ref="B261:B324" ca="1" si="123">B260+pas</f>
        <v>2.5699999999999892</v>
      </c>
      <c r="D261" s="306">
        <f t="shared" ref="D261:D324" ca="1" si="124">IF(AND(L260&lt;L_rampe,Poussee&lt;Poids*SIN(M260)),0,(-W260+Poussee)/m*COS(M260)-U260/m*SIN(M260))</f>
        <v>5.5196682963775894</v>
      </c>
      <c r="E261" s="307">
        <f t="shared" ref="E261:E324" ca="1" si="125">IF(AND(L260&lt;L_rampe,Poussee&lt;Poids*SIN(M260)),0,(-W260+Poussee)/m*SIN(M260)+U260/m*COS(M260)-Poids/m)</f>
        <v>38.777180624552201</v>
      </c>
      <c r="F261" s="304">
        <f t="shared" ref="F261:F324" ca="1" si="126">SQRT(acc_x^2+acc_z^2)</f>
        <v>39.168054269917242</v>
      </c>
      <c r="G261" s="306">
        <f t="shared" ref="G261:G324" ca="1" si="127">G260+acc_x*pas</f>
        <v>18.928788016745248</v>
      </c>
      <c r="H261" s="307">
        <f t="shared" ref="H261:H324" ca="1" si="128">H260+acc_z*pas</f>
        <v>166.52358684611593</v>
      </c>
      <c r="I261" s="304">
        <f t="shared" ref="I261:I324" ca="1" si="129">SQRT(vit_x^2+vit_z^2)</f>
        <v>167.59595458088717</v>
      </c>
      <c r="J261" s="306">
        <f t="shared" ref="J261:J324" ca="1" si="130">J260+0.5*(vit_x+G260)*pas*(K260&gt;=0)</f>
        <v>25.318564996893201</v>
      </c>
      <c r="K261" s="307">
        <f t="shared" ref="K261:K324" ca="1" si="131">K260+0.5*(vit_z+H260)*pas</f>
        <v>238.49858559739559</v>
      </c>
      <c r="L261" s="304">
        <f t="shared" ca="1" si="116"/>
        <v>239.83870635379131</v>
      </c>
      <c r="M261" s="306">
        <f t="shared" ref="M261:M324" ca="1" si="132">IF(AND(L260&gt;L_rampe,G261&gt;0),ATAN2(G261,H261),$M$4)</f>
        <v>1.4576118300909759</v>
      </c>
      <c r="N261" s="304">
        <f t="shared" ref="N261:N324" ca="1" si="133">DEGREES(Beta)</f>
        <v>83.515006032552975</v>
      </c>
      <c r="P261" s="310">
        <f t="shared" ref="P261:P324" ca="1" si="134">MATCH(t-pas/2-T_ini,CdP_t)</f>
        <v>7</v>
      </c>
      <c r="Q261" s="304">
        <f t="shared" ref="Q261:Q324" ca="1" si="135">(INDEX(CdP,2,i_P+1)-INDEX(CdP,2,i_P+0))/(INDEX(CdP,1,i_P+1)-INDEX(CdP,1,i_P+0))*(t-pas/2-T_ini-INDEX(CdP,1,i_P+0))+INDEX(CdP,2,i_P+0)</f>
        <v>499.72340425532133</v>
      </c>
      <c r="R261" s="306">
        <f t="shared" ref="R261:R324" ca="1" si="136">Poussee/(g*ISP)</f>
        <v>0.25078789362250076</v>
      </c>
      <c r="S261" s="307">
        <f t="shared" ref="S261:S324" ca="1" si="137">S260-Débit*pas</f>
        <v>8.129761995935846</v>
      </c>
      <c r="T261" s="304">
        <f t="shared" ca="1" si="117"/>
        <v>79.752965180130658</v>
      </c>
      <c r="U261" s="311">
        <f t="shared" ca="1" si="118"/>
        <v>0</v>
      </c>
      <c r="V261" s="306">
        <f t="shared" ca="1" si="119"/>
        <v>1.1961282172320109</v>
      </c>
      <c r="W261" s="304">
        <f t="shared" ca="1" si="120"/>
        <v>102.64247863895012</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238.49858559739559</v>
      </c>
      <c r="AG261" s="306">
        <f t="shared" ref="AG261:AG324" ca="1" si="143">IF(AND(L260&lt;L_rampe,Poussee&lt;Poids*SIN(M260)),0,(-W260+Poussee)/m-Poids*SIN(M260)/m)</f>
        <v>39.152398430453609</v>
      </c>
      <c r="AH261" s="304">
        <f t="shared" ref="AH261:AH324" ca="1" si="144">IF(AND(L260&lt;L_rampe,Poussee&lt;Poids*SIN(M260)), g*SIN(M260), (-W260+Poussee)/m)</f>
        <v>48.899702035338585</v>
      </c>
    </row>
    <row r="262" spans="1:34" x14ac:dyDescent="0.2">
      <c r="A262" s="347">
        <f t="shared" ca="1" si="122"/>
        <v>0.01</v>
      </c>
      <c r="B262" s="304">
        <f t="shared" ca="1" si="123"/>
        <v>2.579999999999989</v>
      </c>
      <c r="D262" s="306">
        <f t="shared" ca="1" si="124"/>
        <v>5.4897702897061151</v>
      </c>
      <c r="E262" s="307">
        <f t="shared" ca="1" si="125"/>
        <v>38.485550607592145</v>
      </c>
      <c r="F262" s="304">
        <f t="shared" ca="1" si="126"/>
        <v>38.875122937468326</v>
      </c>
      <c r="G262" s="306">
        <f t="shared" ca="1" si="127"/>
        <v>18.98368571964231</v>
      </c>
      <c r="H262" s="307">
        <f t="shared" ca="1" si="128"/>
        <v>166.90844235219186</v>
      </c>
      <c r="I262" s="304">
        <f t="shared" ca="1" si="129"/>
        <v>167.98454825351379</v>
      </c>
      <c r="J262" s="306">
        <f t="shared" ca="1" si="130"/>
        <v>25.508127365575138</v>
      </c>
      <c r="K262" s="307">
        <f t="shared" ca="1" si="131"/>
        <v>240.16574574338713</v>
      </c>
      <c r="L262" s="304">
        <f t="shared" ca="1" si="116"/>
        <v>241.5165625587108</v>
      </c>
      <c r="M262" s="306">
        <f t="shared" ca="1" si="132"/>
        <v>1.4575458733864937</v>
      </c>
      <c r="N262" s="304">
        <f t="shared" ca="1" si="133"/>
        <v>83.511226991755549</v>
      </c>
      <c r="P262" s="310">
        <f t="shared" ca="1" si="134"/>
        <v>7</v>
      </c>
      <c r="Q262" s="304">
        <f t="shared" ca="1" si="135"/>
        <v>497.68085106383205</v>
      </c>
      <c r="R262" s="306">
        <f t="shared" ca="1" si="136"/>
        <v>0.24976283134175997</v>
      </c>
      <c r="S262" s="307">
        <f t="shared" ca="1" si="137"/>
        <v>8.1272643676224288</v>
      </c>
      <c r="T262" s="304">
        <f t="shared" ca="1" si="117"/>
        <v>79.728463446376026</v>
      </c>
      <c r="U262" s="311">
        <f t="shared" ca="1" si="118"/>
        <v>0</v>
      </c>
      <c r="V262" s="306">
        <f t="shared" ca="1" si="119"/>
        <v>1.1959287915690591</v>
      </c>
      <c r="W262" s="304">
        <f t="shared" ca="1" si="120"/>
        <v>103.10181850643224</v>
      </c>
      <c r="Y262" s="314" t="str">
        <f t="shared" ca="1" si="138"/>
        <v/>
      </c>
      <c r="Z262" s="315" t="str">
        <f t="shared" ca="1" si="139"/>
        <v/>
      </c>
      <c r="AA262" s="316" t="str">
        <f t="shared" ca="1" si="140"/>
        <v/>
      </c>
      <c r="AC262" s="310" t="e">
        <f t="shared" ca="1" si="141"/>
        <v>#N/A</v>
      </c>
      <c r="AD262" s="323" t="e">
        <f t="shared" ca="1" si="142"/>
        <v>#N/A</v>
      </c>
      <c r="AE262" s="324">
        <f t="shared" ca="1" si="121"/>
        <v>240.16574574338713</v>
      </c>
      <c r="AG262" s="306">
        <f t="shared" ca="1" si="143"/>
        <v>38.859330723613695</v>
      </c>
      <c r="AH262" s="304">
        <f t="shared" ca="1" si="144"/>
        <v>48.606561144810833</v>
      </c>
    </row>
    <row r="263" spans="1:34" x14ac:dyDescent="0.2">
      <c r="A263" s="347">
        <f t="shared" ca="1" si="122"/>
        <v>0.01</v>
      </c>
      <c r="B263" s="304">
        <f t="shared" ca="1" si="123"/>
        <v>2.5899999999999888</v>
      </c>
      <c r="D263" s="306">
        <f t="shared" ca="1" si="124"/>
        <v>5.4598382075957126</v>
      </c>
      <c r="E263" s="307">
        <f t="shared" ca="1" si="125"/>
        <v>38.194012718240153</v>
      </c>
      <c r="F263" s="304">
        <f t="shared" ca="1" si="126"/>
        <v>38.582281435578849</v>
      </c>
      <c r="G263" s="306">
        <f t="shared" ca="1" si="127"/>
        <v>19.038284101718268</v>
      </c>
      <c r="H263" s="307">
        <f t="shared" ca="1" si="128"/>
        <v>167.29038247937424</v>
      </c>
      <c r="I263" s="304">
        <f t="shared" ca="1" si="129"/>
        <v>168.37021212682802</v>
      </c>
      <c r="J263" s="306">
        <f t="shared" ca="1" si="130"/>
        <v>25.698237214681942</v>
      </c>
      <c r="K263" s="307">
        <f t="shared" ca="1" si="131"/>
        <v>241.83673986754496</v>
      </c>
      <c r="L263" s="304">
        <f t="shared" ca="1" si="116"/>
        <v>243.19828976722815</v>
      </c>
      <c r="M263" s="306">
        <f t="shared" ca="1" si="132"/>
        <v>1.4574800295772203</v>
      </c>
      <c r="N263" s="304">
        <f t="shared" ca="1" si="133"/>
        <v>83.507454419377126</v>
      </c>
      <c r="P263" s="310">
        <f t="shared" ca="1" si="134"/>
        <v>7</v>
      </c>
      <c r="Q263" s="304">
        <f t="shared" ca="1" si="135"/>
        <v>495.63829787234272</v>
      </c>
      <c r="R263" s="306">
        <f t="shared" ca="1" si="136"/>
        <v>0.24873776906101916</v>
      </c>
      <c r="S263" s="307">
        <f t="shared" ca="1" si="137"/>
        <v>8.124776989931819</v>
      </c>
      <c r="T263" s="304">
        <f t="shared" ca="1" si="117"/>
        <v>79.704062271231152</v>
      </c>
      <c r="U263" s="311">
        <f t="shared" ca="1" si="118"/>
        <v>0</v>
      </c>
      <c r="V263" s="306">
        <f t="shared" ca="1" si="119"/>
        <v>1.1957289402493543</v>
      </c>
      <c r="W263" s="304">
        <f t="shared" ca="1" si="120"/>
        <v>103.55846180431671</v>
      </c>
      <c r="Y263" s="314" t="str">
        <f t="shared" ca="1" si="138"/>
        <v/>
      </c>
      <c r="Z263" s="315" t="str">
        <f t="shared" ca="1" si="139"/>
        <v/>
      </c>
      <c r="AA263" s="316" t="str">
        <f t="shared" ca="1" si="140"/>
        <v/>
      </c>
      <c r="AC263" s="310" t="e">
        <f t="shared" ca="1" si="141"/>
        <v>#N/A</v>
      </c>
      <c r="AD263" s="323" t="e">
        <f t="shared" ca="1" si="142"/>
        <v>#N/A</v>
      </c>
      <c r="AE263" s="324">
        <f t="shared" ca="1" si="121"/>
        <v>241.83673986754496</v>
      </c>
      <c r="AG263" s="306">
        <f t="shared" ca="1" si="143"/>
        <v>38.56635083375204</v>
      </c>
      <c r="AH263" s="304">
        <f t="shared" ca="1" si="144"/>
        <v>48.313508155650261</v>
      </c>
    </row>
    <row r="264" spans="1:34" x14ac:dyDescent="0.2">
      <c r="A264" s="347">
        <f t="shared" ca="1" si="122"/>
        <v>0.01</v>
      </c>
      <c r="B264" s="304">
        <f t="shared" ca="1" si="123"/>
        <v>2.5999999999999885</v>
      </c>
      <c r="D264" s="306">
        <f t="shared" ca="1" si="124"/>
        <v>5.4298726970702678</v>
      </c>
      <c r="E264" s="307">
        <f t="shared" ca="1" si="125"/>
        <v>37.902570915212515</v>
      </c>
      <c r="F264" s="304">
        <f t="shared" ca="1" si="126"/>
        <v>38.289533811331559</v>
      </c>
      <c r="G264" s="306">
        <f t="shared" ca="1" si="127"/>
        <v>19.092582828688972</v>
      </c>
      <c r="H264" s="307">
        <f t="shared" ca="1" si="128"/>
        <v>167.66940818852638</v>
      </c>
      <c r="I264" s="304">
        <f t="shared" ca="1" si="129"/>
        <v>168.75294711903857</v>
      </c>
      <c r="J264" s="306">
        <f t="shared" ca="1" si="130"/>
        <v>25.888891549333977</v>
      </c>
      <c r="K264" s="307">
        <f t="shared" ca="1" si="131"/>
        <v>243.51153882088445</v>
      </c>
      <c r="L264" s="304">
        <f t="shared" ca="1" si="116"/>
        <v>244.88385868523122</v>
      </c>
      <c r="M264" s="306">
        <f t="shared" ca="1" si="132"/>
        <v>1.457414297071806</v>
      </c>
      <c r="N264" s="304">
        <f t="shared" ca="1" si="133"/>
        <v>83.503688224240065</v>
      </c>
      <c r="P264" s="310">
        <f t="shared" ca="1" si="134"/>
        <v>7</v>
      </c>
      <c r="Q264" s="304">
        <f t="shared" ca="1" si="135"/>
        <v>493.59574468085339</v>
      </c>
      <c r="R264" s="306">
        <f t="shared" ca="1" si="136"/>
        <v>0.24771270678027832</v>
      </c>
      <c r="S264" s="307">
        <f t="shared" ca="1" si="137"/>
        <v>8.1222998628640166</v>
      </c>
      <c r="T264" s="304">
        <f t="shared" ca="1" si="117"/>
        <v>79.679761654696009</v>
      </c>
      <c r="U264" s="311">
        <f t="shared" ca="1" si="118"/>
        <v>0</v>
      </c>
      <c r="V264" s="306">
        <f t="shared" ca="1" si="119"/>
        <v>1.1955286669772158</v>
      </c>
      <c r="W264" s="304">
        <f t="shared" ca="1" si="120"/>
        <v>104.01238597294498</v>
      </c>
      <c r="Y264" s="314" t="str">
        <f t="shared" ca="1" si="138"/>
        <v/>
      </c>
      <c r="Z264" s="315" t="str">
        <f t="shared" ca="1" si="139"/>
        <v/>
      </c>
      <c r="AA264" s="316" t="str">
        <f t="shared" ca="1" si="140"/>
        <v/>
      </c>
      <c r="AC264" s="310" t="e">
        <f t="shared" ca="1" si="141"/>
        <v>#N/A</v>
      </c>
      <c r="AD264" s="323" t="e">
        <f t="shared" ca="1" si="142"/>
        <v>#N/A</v>
      </c>
      <c r="AE264" s="324">
        <f t="shared" ca="1" si="121"/>
        <v>243.51153882088445</v>
      </c>
      <c r="AG264" s="306">
        <f t="shared" ca="1" si="143"/>
        <v>38.273462763985513</v>
      </c>
      <c r="AH264" s="304">
        <f t="shared" ca="1" si="144"/>
        <v>48.02054706941157</v>
      </c>
    </row>
    <row r="265" spans="1:34" x14ac:dyDescent="0.2">
      <c r="A265" s="347">
        <f t="shared" ca="1" si="122"/>
        <v>0.01</v>
      </c>
      <c r="B265" s="304">
        <f t="shared" ca="1" si="123"/>
        <v>2.6099999999999883</v>
      </c>
      <c r="D265" s="306">
        <f t="shared" ca="1" si="124"/>
        <v>5.3998744001407344</v>
      </c>
      <c r="E265" s="307">
        <f t="shared" ca="1" si="125"/>
        <v>37.611229127968166</v>
      </c>
      <c r="F265" s="304">
        <f t="shared" ca="1" si="126"/>
        <v>37.99688408348527</v>
      </c>
      <c r="G265" s="306">
        <f t="shared" ca="1" si="127"/>
        <v>19.14658157269038</v>
      </c>
      <c r="H265" s="307">
        <f t="shared" ca="1" si="128"/>
        <v>168.04552047980604</v>
      </c>
      <c r="I265" s="304">
        <f t="shared" ca="1" si="129"/>
        <v>169.13275418808917</v>
      </c>
      <c r="J265" s="306">
        <f t="shared" ca="1" si="130"/>
        <v>26.080087371340873</v>
      </c>
      <c r="K265" s="307">
        <f t="shared" ca="1" si="131"/>
        <v>245.1901134642261</v>
      </c>
      <c r="L265" s="304">
        <f t="shared" ca="1" si="116"/>
        <v>246.57324002798205</v>
      </c>
      <c r="M265" s="306">
        <f t="shared" ca="1" si="132"/>
        <v>1.4573486742949395</v>
      </c>
      <c r="N265" s="304">
        <f t="shared" ca="1" si="133"/>
        <v>83.499928316085672</v>
      </c>
      <c r="P265" s="310">
        <f t="shared" ca="1" si="134"/>
        <v>7</v>
      </c>
      <c r="Q265" s="304">
        <f t="shared" ca="1" si="135"/>
        <v>491.55319148936405</v>
      </c>
      <c r="R265" s="306">
        <f t="shared" ca="1" si="136"/>
        <v>0.24668764449953751</v>
      </c>
      <c r="S265" s="307">
        <f t="shared" ca="1" si="137"/>
        <v>8.1198329864190217</v>
      </c>
      <c r="T265" s="304">
        <f t="shared" ca="1" si="117"/>
        <v>79.65556159677061</v>
      </c>
      <c r="U265" s="311">
        <f t="shared" ca="1" si="118"/>
        <v>0</v>
      </c>
      <c r="V265" s="306">
        <f t="shared" ca="1" si="119"/>
        <v>1.1953279754538912</v>
      </c>
      <c r="W265" s="304">
        <f t="shared" ca="1" si="120"/>
        <v>104.46356872675808</v>
      </c>
      <c r="Y265" s="314" t="str">
        <f t="shared" ca="1" si="138"/>
        <v/>
      </c>
      <c r="Z265" s="315" t="str">
        <f t="shared" ca="1" si="139"/>
        <v/>
      </c>
      <c r="AA265" s="316" t="str">
        <f t="shared" ca="1" si="140"/>
        <v/>
      </c>
      <c r="AC265" s="310" t="e">
        <f t="shared" ca="1" si="141"/>
        <v>#N/A</v>
      </c>
      <c r="AD265" s="323" t="e">
        <f t="shared" ca="1" si="142"/>
        <v>#N/A</v>
      </c>
      <c r="AE265" s="324">
        <f t="shared" ca="1" si="121"/>
        <v>245.1901134642261</v>
      </c>
      <c r="AG265" s="306">
        <f t="shared" ca="1" si="143"/>
        <v>37.980670487831695</v>
      </c>
      <c r="AH265" s="304">
        <f t="shared" ca="1" si="144"/>
        <v>47.727681858063789</v>
      </c>
    </row>
    <row r="266" spans="1:34" x14ac:dyDescent="0.2">
      <c r="A266" s="347">
        <f t="shared" ca="1" si="122"/>
        <v>0.01</v>
      </c>
      <c r="B266" s="304">
        <f t="shared" ca="1" si="123"/>
        <v>2.6199999999999881</v>
      </c>
      <c r="D266" s="306">
        <f t="shared" ca="1" si="124"/>
        <v>5.3698439538222429</v>
      </c>
      <c r="E266" s="307">
        <f t="shared" ca="1" si="125"/>
        <v>37.319991256637721</v>
      </c>
      <c r="F266" s="304">
        <f t="shared" ca="1" si="126"/>
        <v>37.704336242452499</v>
      </c>
      <c r="G266" s="306">
        <f t="shared" ca="1" si="127"/>
        <v>19.200280012228603</v>
      </c>
      <c r="H266" s="307">
        <f t="shared" ca="1" si="128"/>
        <v>168.41872039237242</v>
      </c>
      <c r="I266" s="304">
        <f t="shared" ca="1" si="129"/>
        <v>169.50963433136215</v>
      </c>
      <c r="J266" s="306">
        <f t="shared" ca="1" si="130"/>
        <v>26.271821679265468</v>
      </c>
      <c r="K266" s="307">
        <f t="shared" ca="1" si="131"/>
        <v>246.872434668587</v>
      </c>
      <c r="L266" s="304">
        <f t="shared" ca="1" si="116"/>
        <v>248.26640452051276</v>
      </c>
      <c r="M266" s="306">
        <f t="shared" ca="1" si="132"/>
        <v>1.457283159687063</v>
      </c>
      <c r="N266" s="304">
        <f t="shared" ca="1" si="133"/>
        <v>83.496174605557897</v>
      </c>
      <c r="P266" s="310">
        <f t="shared" ca="1" si="134"/>
        <v>7</v>
      </c>
      <c r="Q266" s="304">
        <f t="shared" ca="1" si="135"/>
        <v>489.51063829787478</v>
      </c>
      <c r="R266" s="306">
        <f t="shared" ca="1" si="136"/>
        <v>0.24566258221879672</v>
      </c>
      <c r="S266" s="307">
        <f t="shared" ca="1" si="137"/>
        <v>8.1173763605968343</v>
      </c>
      <c r="T266" s="304">
        <f t="shared" ca="1" si="117"/>
        <v>79.631462097454943</v>
      </c>
      <c r="U266" s="311">
        <f t="shared" ca="1" si="118"/>
        <v>0</v>
      </c>
      <c r="V266" s="306">
        <f t="shared" ca="1" si="119"/>
        <v>1.1951268693774957</v>
      </c>
      <c r="W266" s="304">
        <f t="shared" ca="1" si="120"/>
        <v>104.91198805406526</v>
      </c>
      <c r="Y266" s="314" t="str">
        <f t="shared" ca="1" si="138"/>
        <v/>
      </c>
      <c r="Z266" s="315" t="str">
        <f t="shared" ca="1" si="139"/>
        <v/>
      </c>
      <c r="AA266" s="316" t="str">
        <f t="shared" ca="1" si="140"/>
        <v/>
      </c>
      <c r="AC266" s="310" t="e">
        <f t="shared" ca="1" si="141"/>
        <v>#N/A</v>
      </c>
      <c r="AD266" s="323" t="e">
        <f t="shared" ca="1" si="142"/>
        <v>#N/A</v>
      </c>
      <c r="AE266" s="324">
        <f t="shared" ca="1" si="121"/>
        <v>246.872434668587</v>
      </c>
      <c r="AG266" s="306">
        <f t="shared" ca="1" si="143"/>
        <v>37.687977949139707</v>
      </c>
      <c r="AH266" s="304">
        <f t="shared" ca="1" si="144"/>
        <v>47.43491646392085</v>
      </c>
    </row>
    <row r="267" spans="1:34" x14ac:dyDescent="0.2">
      <c r="A267" s="347">
        <f t="shared" ca="1" si="122"/>
        <v>0.01</v>
      </c>
      <c r="B267" s="304">
        <f t="shared" ca="1" si="123"/>
        <v>2.6299999999999879</v>
      </c>
      <c r="D267" s="306">
        <f t="shared" ca="1" si="124"/>
        <v>5.3397819901508985</v>
      </c>
      <c r="E267" s="307">
        <f t="shared" ca="1" si="125"/>
        <v>37.028861171955654</v>
      </c>
      <c r="F267" s="304">
        <f t="shared" ca="1" si="126"/>
        <v>37.411894250282288</v>
      </c>
      <c r="G267" s="306">
        <f t="shared" ca="1" si="127"/>
        <v>19.253677832130112</v>
      </c>
      <c r="H267" s="307">
        <f t="shared" ca="1" si="128"/>
        <v>168.78900900409198</v>
      </c>
      <c r="I267" s="304">
        <f t="shared" ca="1" si="129"/>
        <v>169.88358858538075</v>
      </c>
      <c r="J267" s="306">
        <f t="shared" ca="1" si="130"/>
        <v>26.464091468487261</v>
      </c>
      <c r="K267" s="307">
        <f t="shared" ca="1" si="131"/>
        <v>248.55847331556933</v>
      </c>
      <c r="L267" s="304">
        <f t="shared" ca="1" si="116"/>
        <v>249.96332289801848</v>
      </c>
      <c r="M267" s="306">
        <f t="shared" ca="1" si="132"/>
        <v>1.4572177517040923</v>
      </c>
      <c r="N267" s="304">
        <f t="shared" ca="1" si="133"/>
        <v>83.492427004187221</v>
      </c>
      <c r="P267" s="310">
        <f t="shared" ca="1" si="134"/>
        <v>7</v>
      </c>
      <c r="Q267" s="304">
        <f t="shared" ca="1" si="135"/>
        <v>487.46808510638544</v>
      </c>
      <c r="R267" s="306">
        <f t="shared" ca="1" si="136"/>
        <v>0.24463751993805591</v>
      </c>
      <c r="S267" s="307">
        <f t="shared" ca="1" si="137"/>
        <v>8.1149299853974544</v>
      </c>
      <c r="T267" s="304">
        <f t="shared" ca="1" si="117"/>
        <v>79.607463156749034</v>
      </c>
      <c r="U267" s="311">
        <f t="shared" ca="1" si="118"/>
        <v>0</v>
      </c>
      <c r="V267" s="306">
        <f t="shared" ca="1" si="119"/>
        <v>1.1949253524429568</v>
      </c>
      <c r="W267" s="304">
        <f t="shared" ca="1" si="120"/>
        <v>105.35762221679123</v>
      </c>
      <c r="Y267" s="314" t="str">
        <f t="shared" ca="1" si="138"/>
        <v/>
      </c>
      <c r="Z267" s="315" t="str">
        <f t="shared" ca="1" si="139"/>
        <v/>
      </c>
      <c r="AA267" s="316" t="str">
        <f t="shared" ca="1" si="140"/>
        <v/>
      </c>
      <c r="AC267" s="310" t="e">
        <f t="shared" ca="1" si="141"/>
        <v>#N/A</v>
      </c>
      <c r="AD267" s="323" t="e">
        <f t="shared" ca="1" si="142"/>
        <v>#N/A</v>
      </c>
      <c r="AE267" s="324">
        <f t="shared" ca="1" si="121"/>
        <v>248.55847331556933</v>
      </c>
      <c r="AG267" s="306">
        <f t="shared" ca="1" si="143"/>
        <v>37.395389062024115</v>
      </c>
      <c r="AH267" s="304">
        <f t="shared" ca="1" si="144"/>
        <v>47.142254799575241</v>
      </c>
    </row>
    <row r="268" spans="1:34" x14ac:dyDescent="0.2">
      <c r="A268" s="347">
        <f t="shared" ca="1" si="122"/>
        <v>0.01</v>
      </c>
      <c r="B268" s="304">
        <f t="shared" ca="1" si="123"/>
        <v>2.6399999999999877</v>
      </c>
      <c r="D268" s="306">
        <f t="shared" ca="1" si="124"/>
        <v>5.3096891362002845</v>
      </c>
      <c r="E268" s="307">
        <f t="shared" ca="1" si="125"/>
        <v>36.737842715195555</v>
      </c>
      <c r="F268" s="304">
        <f t="shared" ca="1" si="126"/>
        <v>37.119562040648198</v>
      </c>
      <c r="G268" s="306">
        <f t="shared" ca="1" si="127"/>
        <v>19.306774723492115</v>
      </c>
      <c r="H268" s="307">
        <f t="shared" ca="1" si="128"/>
        <v>169.15638743124393</v>
      </c>
      <c r="I268" s="304">
        <f t="shared" ca="1" si="129"/>
        <v>170.25461802551135</v>
      </c>
      <c r="J268" s="306">
        <f t="shared" ca="1" si="130"/>
        <v>26.656893731265374</v>
      </c>
      <c r="K268" s="307">
        <f t="shared" ca="1" si="131"/>
        <v>250.248200297746</v>
      </c>
      <c r="L268" s="304">
        <f t="shared" ca="1" si="116"/>
        <v>251.66396590624723</v>
      </c>
      <c r="M268" s="306">
        <f t="shared" ca="1" si="132"/>
        <v>1.4571524488171419</v>
      </c>
      <c r="N268" s="304">
        <f t="shared" ca="1" si="133"/>
        <v>83.488685424374935</v>
      </c>
      <c r="P268" s="310">
        <f t="shared" ca="1" si="134"/>
        <v>7</v>
      </c>
      <c r="Q268" s="304">
        <f t="shared" ca="1" si="135"/>
        <v>485.42553191489611</v>
      </c>
      <c r="R268" s="306">
        <f t="shared" ca="1" si="136"/>
        <v>0.24361245765731507</v>
      </c>
      <c r="S268" s="307">
        <f t="shared" ca="1" si="137"/>
        <v>8.1124938608208819</v>
      </c>
      <c r="T268" s="304">
        <f t="shared" ca="1" si="117"/>
        <v>79.583564774652856</v>
      </c>
      <c r="U268" s="311">
        <f t="shared" ca="1" si="118"/>
        <v>0</v>
      </c>
      <c r="V268" s="306">
        <f t="shared" ca="1" si="119"/>
        <v>1.1947234283419568</v>
      </c>
      <c r="W268" s="304">
        <f t="shared" ca="1" si="120"/>
        <v>105.80044975020283</v>
      </c>
      <c r="Y268" s="314" t="str">
        <f t="shared" ca="1" si="138"/>
        <v/>
      </c>
      <c r="Z268" s="315" t="str">
        <f t="shared" ca="1" si="139"/>
        <v/>
      </c>
      <c r="AA268" s="316" t="str">
        <f t="shared" ca="1" si="140"/>
        <v/>
      </c>
      <c r="AC268" s="310" t="e">
        <f t="shared" ca="1" si="141"/>
        <v>#N/A</v>
      </c>
      <c r="AD268" s="323" t="e">
        <f t="shared" ca="1" si="142"/>
        <v>#N/A</v>
      </c>
      <c r="AE268" s="324">
        <f t="shared" ca="1" si="121"/>
        <v>250.248200297746</v>
      </c>
      <c r="AG268" s="306">
        <f t="shared" ca="1" si="143"/>
        <v>37.102907710801894</v>
      </c>
      <c r="AH268" s="304">
        <f t="shared" ca="1" si="144"/>
        <v>46.849700747834746</v>
      </c>
    </row>
    <row r="269" spans="1:34" x14ac:dyDescent="0.2">
      <c r="A269" s="347">
        <f t="shared" ca="1" si="122"/>
        <v>0.01</v>
      </c>
      <c r="B269" s="304">
        <f t="shared" ca="1" si="123"/>
        <v>2.6499999999999875</v>
      </c>
      <c r="D269" s="306">
        <f t="shared" ca="1" si="124"/>
        <v>5.2795660140977008</v>
      </c>
      <c r="E269" s="307">
        <f t="shared" ca="1" si="125"/>
        <v>36.446939698108437</v>
      </c>
      <c r="F269" s="304">
        <f t="shared" ca="1" si="126"/>
        <v>36.827343518841651</v>
      </c>
      <c r="G269" s="306">
        <f t="shared" ca="1" si="127"/>
        <v>19.359570383633091</v>
      </c>
      <c r="H269" s="307">
        <f t="shared" ca="1" si="128"/>
        <v>169.52085682822502</v>
      </c>
      <c r="I269" s="304">
        <f t="shared" ca="1" si="129"/>
        <v>170.62272376566494</v>
      </c>
      <c r="J269" s="306">
        <f t="shared" ca="1" si="130"/>
        <v>26.850225456800999</v>
      </c>
      <c r="K269" s="307">
        <f t="shared" ca="1" si="131"/>
        <v>251.94158651904334</v>
      </c>
      <c r="L269" s="304">
        <f t="shared" ca="1" si="116"/>
        <v>253.36830430188706</v>
      </c>
      <c r="M269" s="306">
        <f t="shared" ca="1" si="132"/>
        <v>1.4570872495122564</v>
      </c>
      <c r="N269" s="304">
        <f t="shared" ca="1" si="133"/>
        <v>83.484949779377814</v>
      </c>
      <c r="P269" s="310">
        <f t="shared" ca="1" si="134"/>
        <v>7</v>
      </c>
      <c r="Q269" s="304">
        <f t="shared" ca="1" si="135"/>
        <v>483.38297872340678</v>
      </c>
      <c r="R269" s="306">
        <f t="shared" ca="1" si="136"/>
        <v>0.24258739537657426</v>
      </c>
      <c r="S269" s="307">
        <f t="shared" ca="1" si="137"/>
        <v>8.1100679868671168</v>
      </c>
      <c r="T269" s="304">
        <f t="shared" ca="1" si="117"/>
        <v>79.559766951166424</v>
      </c>
      <c r="U269" s="311">
        <f t="shared" ca="1" si="118"/>
        <v>0</v>
      </c>
      <c r="V269" s="306">
        <f t="shared" ca="1" si="119"/>
        <v>1.1945211007628751</v>
      </c>
      <c r="W269" s="304">
        <f t="shared" ca="1" si="120"/>
        <v>106.2404494626151</v>
      </c>
      <c r="Y269" s="314" t="str">
        <f t="shared" ca="1" si="138"/>
        <v/>
      </c>
      <c r="Z269" s="315" t="str">
        <f t="shared" ca="1" si="139"/>
        <v/>
      </c>
      <c r="AA269" s="316" t="str">
        <f t="shared" ca="1" si="140"/>
        <v/>
      </c>
      <c r="AC269" s="310" t="e">
        <f t="shared" ca="1" si="141"/>
        <v>#N/A</v>
      </c>
      <c r="AD269" s="323" t="e">
        <f t="shared" ca="1" si="142"/>
        <v>#N/A</v>
      </c>
      <c r="AE269" s="324">
        <f t="shared" ca="1" si="121"/>
        <v>251.94158651904334</v>
      </c>
      <c r="AG269" s="306">
        <f t="shared" ca="1" si="143"/>
        <v>36.810537749932394</v>
      </c>
      <c r="AH269" s="304">
        <f t="shared" ca="1" si="144"/>
        <v>46.557258161662141</v>
      </c>
    </row>
    <row r="270" spans="1:34" x14ac:dyDescent="0.2">
      <c r="A270" s="347">
        <f t="shared" ca="1" si="122"/>
        <v>0.01</v>
      </c>
      <c r="B270" s="304">
        <f t="shared" ca="1" si="123"/>
        <v>2.6599999999999873</v>
      </c>
      <c r="D270" s="306">
        <f t="shared" ca="1" si="124"/>
        <v>5.2494132410400987</v>
      </c>
      <c r="E270" s="307">
        <f t="shared" ca="1" si="125"/>
        <v>36.156155902864015</v>
      </c>
      <c r="F270" s="304">
        <f t="shared" ca="1" si="126"/>
        <v>36.535242561770623</v>
      </c>
      <c r="G270" s="306">
        <f t="shared" ca="1" si="127"/>
        <v>19.412064516043493</v>
      </c>
      <c r="H270" s="307">
        <f t="shared" ca="1" si="128"/>
        <v>169.88241838725367</v>
      </c>
      <c r="I270" s="304">
        <f t="shared" ca="1" si="129"/>
        <v>170.98790695799786</v>
      </c>
      <c r="J270" s="306">
        <f t="shared" ca="1" si="130"/>
        <v>27.044083631299383</v>
      </c>
      <c r="K270" s="307">
        <f t="shared" ca="1" si="131"/>
        <v>253.63860289512073</v>
      </c>
      <c r="L270" s="304">
        <f t="shared" ca="1" si="116"/>
        <v>255.07630885294984</v>
      </c>
      <c r="M270" s="306">
        <f t="shared" ca="1" si="132"/>
        <v>1.4570221522901456</v>
      </c>
      <c r="N270" s="304">
        <f t="shared" ca="1" si="133"/>
        <v>83.481219983292846</v>
      </c>
      <c r="P270" s="310">
        <f t="shared" ca="1" si="134"/>
        <v>7</v>
      </c>
      <c r="Q270" s="304">
        <f t="shared" ca="1" si="135"/>
        <v>481.3404255319175</v>
      </c>
      <c r="R270" s="306">
        <f t="shared" ca="1" si="136"/>
        <v>0.24156233309583347</v>
      </c>
      <c r="S270" s="307">
        <f t="shared" ca="1" si="137"/>
        <v>8.1076523635361593</v>
      </c>
      <c r="T270" s="304">
        <f t="shared" ca="1" si="117"/>
        <v>79.536069686289721</v>
      </c>
      <c r="U270" s="311">
        <f t="shared" ca="1" si="118"/>
        <v>0</v>
      </c>
      <c r="V270" s="306">
        <f t="shared" ca="1" si="119"/>
        <v>1.1943183733907341</v>
      </c>
      <c r="W270" s="304">
        <f t="shared" ca="1" si="120"/>
        <v>106.67760043507668</v>
      </c>
      <c r="Y270" s="314" t="str">
        <f t="shared" ca="1" si="138"/>
        <v/>
      </c>
      <c r="Z270" s="315" t="str">
        <f t="shared" ca="1" si="139"/>
        <v/>
      </c>
      <c r="AA270" s="316" t="str">
        <f t="shared" ca="1" si="140"/>
        <v/>
      </c>
      <c r="AC270" s="310" t="e">
        <f t="shared" ca="1" si="141"/>
        <v>#N/A</v>
      </c>
      <c r="AD270" s="323" t="e">
        <f t="shared" ca="1" si="142"/>
        <v>#N/A</v>
      </c>
      <c r="AE270" s="324">
        <f t="shared" ca="1" si="121"/>
        <v>253.63860289512073</v>
      </c>
      <c r="AG270" s="306">
        <f t="shared" ca="1" si="143"/>
        <v>36.518283003960242</v>
      </c>
      <c r="AH270" s="304">
        <f t="shared" ca="1" si="144"/>
        <v>46.264930864117886</v>
      </c>
    </row>
    <row r="271" spans="1:34" x14ac:dyDescent="0.2">
      <c r="A271" s="347">
        <f t="shared" ca="1" si="122"/>
        <v>0.01</v>
      </c>
      <c r="B271" s="304">
        <f t="shared" ca="1" si="123"/>
        <v>2.6699999999999871</v>
      </c>
      <c r="D271" s="306">
        <f t="shared" ca="1" si="124"/>
        <v>5.2192314293098274</v>
      </c>
      <c r="E271" s="307">
        <f t="shared" ca="1" si="125"/>
        <v>35.865495081995078</v>
      </c>
      <c r="F271" s="304">
        <f t="shared" ca="1" si="126"/>
        <v>36.243263017963883</v>
      </c>
      <c r="G271" s="306">
        <f t="shared" ca="1" si="127"/>
        <v>19.464256830336591</v>
      </c>
      <c r="H271" s="307">
        <f t="shared" ca="1" si="128"/>
        <v>170.24107333807362</v>
      </c>
      <c r="I271" s="304">
        <f t="shared" ca="1" si="129"/>
        <v>171.35016879261212</v>
      </c>
      <c r="J271" s="306">
        <f t="shared" ca="1" si="130"/>
        <v>27.238465238031285</v>
      </c>
      <c r="K271" s="307">
        <f t="shared" ca="1" si="131"/>
        <v>255.33922035374735</v>
      </c>
      <c r="L271" s="304">
        <f t="shared" ca="1" si="116"/>
        <v>256.78795033915236</v>
      </c>
      <c r="M271" s="306">
        <f t="shared" ca="1" si="132"/>
        <v>1.4569571556659267</v>
      </c>
      <c r="N271" s="304">
        <f t="shared" ca="1" si="133"/>
        <v>83.477495951042499</v>
      </c>
      <c r="P271" s="310">
        <f t="shared" ca="1" si="134"/>
        <v>7</v>
      </c>
      <c r="Q271" s="304">
        <f t="shared" ca="1" si="135"/>
        <v>479.29787234042817</v>
      </c>
      <c r="R271" s="306">
        <f t="shared" ca="1" si="136"/>
        <v>0.24053727081509266</v>
      </c>
      <c r="S271" s="307">
        <f t="shared" ca="1" si="137"/>
        <v>8.1052469908280091</v>
      </c>
      <c r="T271" s="304">
        <f t="shared" ca="1" si="117"/>
        <v>79.512472980022778</v>
      </c>
      <c r="U271" s="311">
        <f t="shared" ca="1" si="118"/>
        <v>0</v>
      </c>
      <c r="V271" s="306">
        <f t="shared" ca="1" si="119"/>
        <v>1.1941152499071426</v>
      </c>
      <c r="W271" s="304">
        <f t="shared" ca="1" si="120"/>
        <v>107.11188202103534</v>
      </c>
      <c r="Y271" s="314" t="str">
        <f t="shared" ca="1" si="138"/>
        <v/>
      </c>
      <c r="Z271" s="315" t="str">
        <f t="shared" ca="1" si="139"/>
        <v/>
      </c>
      <c r="AA271" s="316" t="str">
        <f t="shared" ca="1" si="140"/>
        <v/>
      </c>
      <c r="AC271" s="310" t="e">
        <f t="shared" ca="1" si="141"/>
        <v>#N/A</v>
      </c>
      <c r="AD271" s="323" t="e">
        <f t="shared" ca="1" si="142"/>
        <v>#N/A</v>
      </c>
      <c r="AE271" s="324">
        <f t="shared" ca="1" si="121"/>
        <v>255.33922035374735</v>
      </c>
      <c r="AG271" s="306">
        <f t="shared" ca="1" si="143"/>
        <v>36.226147267461293</v>
      </c>
      <c r="AH271" s="304">
        <f t="shared" ca="1" si="144"/>
        <v>45.972722648305833</v>
      </c>
    </row>
    <row r="272" spans="1:34" x14ac:dyDescent="0.2">
      <c r="A272" s="347">
        <f t="shared" ca="1" si="122"/>
        <v>0.01</v>
      </c>
      <c r="B272" s="304">
        <f t="shared" ca="1" si="123"/>
        <v>2.6799999999999868</v>
      </c>
      <c r="D272" s="306">
        <f t="shared" ca="1" si="124"/>
        <v>5.1890211862900513</v>
      </c>
      <c r="E272" s="307">
        <f t="shared" ca="1" si="125"/>
        <v>35.574960958344803</v>
      </c>
      <c r="F272" s="304">
        <f t="shared" ca="1" si="126"/>
        <v>35.951408707580903</v>
      </c>
      <c r="G272" s="306">
        <f t="shared" ca="1" si="127"/>
        <v>19.516147042199492</v>
      </c>
      <c r="H272" s="307">
        <f t="shared" ca="1" si="128"/>
        <v>170.59682294765707</v>
      </c>
      <c r="I272" s="304">
        <f t="shared" ca="1" si="129"/>
        <v>171.70951049725522</v>
      </c>
      <c r="J272" s="306">
        <f t="shared" ca="1" si="130"/>
        <v>27.433367257393964</v>
      </c>
      <c r="K272" s="307">
        <f t="shared" ca="1" si="131"/>
        <v>257.04340983517602</v>
      </c>
      <c r="L272" s="304">
        <f t="shared" ca="1" si="116"/>
        <v>258.5031995522944</v>
      </c>
      <c r="M272" s="306">
        <f t="shared" ca="1" si="132"/>
        <v>1.4568922581688688</v>
      </c>
      <c r="N272" s="304">
        <f t="shared" ca="1" si="133"/>
        <v>83.473777598360115</v>
      </c>
      <c r="P272" s="310">
        <f t="shared" ca="1" si="134"/>
        <v>7</v>
      </c>
      <c r="Q272" s="304">
        <f t="shared" ca="1" si="135"/>
        <v>477.25531914893884</v>
      </c>
      <c r="R272" s="306">
        <f t="shared" ca="1" si="136"/>
        <v>0.23951220853435182</v>
      </c>
      <c r="S272" s="307">
        <f t="shared" ca="1" si="137"/>
        <v>8.1028518687426665</v>
      </c>
      <c r="T272" s="304">
        <f t="shared" ca="1" si="117"/>
        <v>79.488976832365566</v>
      </c>
      <c r="U272" s="311">
        <f t="shared" ca="1" si="118"/>
        <v>0</v>
      </c>
      <c r="V272" s="306">
        <f t="shared" ca="1" si="119"/>
        <v>1.1939117339902416</v>
      </c>
      <c r="W272" s="304">
        <f t="shared" ca="1" si="120"/>
        <v>107.54327384598341</v>
      </c>
      <c r="Y272" s="314" t="str">
        <f t="shared" ca="1" si="138"/>
        <v/>
      </c>
      <c r="Z272" s="315" t="str">
        <f t="shared" ca="1" si="139"/>
        <v/>
      </c>
      <c r="AA272" s="316" t="str">
        <f t="shared" ca="1" si="140"/>
        <v/>
      </c>
      <c r="AC272" s="310" t="e">
        <f t="shared" ca="1" si="141"/>
        <v>#N/A</v>
      </c>
      <c r="AD272" s="323" t="e">
        <f t="shared" ca="1" si="142"/>
        <v>#N/A</v>
      </c>
      <c r="AE272" s="324">
        <f t="shared" ca="1" si="121"/>
        <v>257.04340983517602</v>
      </c>
      <c r="AG272" s="306">
        <f t="shared" ca="1" si="143"/>
        <v>35.934134304991524</v>
      </c>
      <c r="AH272" s="304">
        <f t="shared" ca="1" si="144"/>
        <v>45.680637277321878</v>
      </c>
    </row>
    <row r="273" spans="1:34" x14ac:dyDescent="0.2">
      <c r="A273" s="347">
        <f t="shared" ca="1" si="122"/>
        <v>0.01</v>
      </c>
      <c r="B273" s="304">
        <f t="shared" ca="1" si="123"/>
        <v>2.6899999999999866</v>
      </c>
      <c r="D273" s="306">
        <f t="shared" ca="1" si="124"/>
        <v>5.158783114480034</v>
      </c>
      <c r="E273" s="307">
        <f t="shared" ca="1" si="125"/>
        <v>35.28455722501711</v>
      </c>
      <c r="F273" s="304">
        <f t="shared" ca="1" si="126"/>
        <v>35.659683422427513</v>
      </c>
      <c r="G273" s="306">
        <f t="shared" ca="1" si="127"/>
        <v>19.567734873344293</v>
      </c>
      <c r="H273" s="307">
        <f t="shared" ca="1" si="128"/>
        <v>170.94966851990725</v>
      </c>
      <c r="I273" s="304">
        <f t="shared" ca="1" si="129"/>
        <v>172.06593333701957</v>
      </c>
      <c r="J273" s="306">
        <f t="shared" ca="1" si="130"/>
        <v>27.628786666971685</v>
      </c>
      <c r="K273" s="307">
        <f t="shared" ca="1" si="131"/>
        <v>258.75114229251386</v>
      </c>
      <c r="L273" s="304">
        <f t="shared" ca="1" si="116"/>
        <v>260.22202729663331</v>
      </c>
      <c r="M273" s="306">
        <f t="shared" ca="1" si="132"/>
        <v>1.456827458342145</v>
      </c>
      <c r="N273" s="304">
        <f t="shared" ca="1" si="133"/>
        <v>83.470064841775667</v>
      </c>
      <c r="P273" s="310">
        <f t="shared" ca="1" si="134"/>
        <v>7</v>
      </c>
      <c r="Q273" s="304">
        <f t="shared" ca="1" si="135"/>
        <v>475.21276595744951</v>
      </c>
      <c r="R273" s="306">
        <f t="shared" ca="1" si="136"/>
        <v>0.238487146253611</v>
      </c>
      <c r="S273" s="307">
        <f t="shared" ca="1" si="137"/>
        <v>8.1004669972801295</v>
      </c>
      <c r="T273" s="304">
        <f t="shared" ca="1" si="117"/>
        <v>79.46558124331807</v>
      </c>
      <c r="U273" s="311">
        <f t="shared" ca="1" si="118"/>
        <v>0</v>
      </c>
      <c r="V273" s="306">
        <f t="shared" ca="1" si="119"/>
        <v>1.1937078293146497</v>
      </c>
      <c r="W273" s="304">
        <f t="shared" ca="1" si="120"/>
        <v>107.97175580708357</v>
      </c>
      <c r="Y273" s="314" t="str">
        <f t="shared" ca="1" si="138"/>
        <v/>
      </c>
      <c r="Z273" s="315" t="str">
        <f t="shared" ca="1" si="139"/>
        <v/>
      </c>
      <c r="AA273" s="316" t="str">
        <f t="shared" ca="1" si="140"/>
        <v/>
      </c>
      <c r="AC273" s="310" t="e">
        <f t="shared" ca="1" si="141"/>
        <v>#N/A</v>
      </c>
      <c r="AD273" s="323" t="e">
        <f t="shared" ca="1" si="142"/>
        <v>#N/A</v>
      </c>
      <c r="AE273" s="324">
        <f t="shared" ca="1" si="121"/>
        <v>258.75114229251386</v>
      </c>
      <c r="AG273" s="306">
        <f t="shared" ca="1" si="143"/>
        <v>35.642247851038846</v>
      </c>
      <c r="AH273" s="304">
        <f t="shared" ca="1" si="144"/>
        <v>45.388678484205592</v>
      </c>
    </row>
    <row r="274" spans="1:34" x14ac:dyDescent="0.2">
      <c r="A274" s="347">
        <f t="shared" ca="1" si="122"/>
        <v>0.01</v>
      </c>
      <c r="B274" s="304">
        <f t="shared" ca="1" si="123"/>
        <v>2.6999999999999864</v>
      </c>
      <c r="D274" s="306">
        <f t="shared" ca="1" si="124"/>
        <v>5.1285178115101271</v>
      </c>
      <c r="E274" s="307">
        <f t="shared" ca="1" si="125"/>
        <v>34.99428754532984</v>
      </c>
      <c r="F274" s="304">
        <f t="shared" ca="1" si="126"/>
        <v>35.368090925977384</v>
      </c>
      <c r="G274" s="306">
        <f t="shared" ca="1" si="127"/>
        <v>19.619020051459394</v>
      </c>
      <c r="H274" s="307">
        <f t="shared" ca="1" si="128"/>
        <v>171.29961139536056</v>
      </c>
      <c r="I274" s="304">
        <f t="shared" ca="1" si="129"/>
        <v>172.41943861404116</v>
      </c>
      <c r="J274" s="306">
        <f t="shared" ca="1" si="130"/>
        <v>27.824720441595705</v>
      </c>
      <c r="K274" s="307">
        <f t="shared" ca="1" si="131"/>
        <v>260.4623886920902</v>
      </c>
      <c r="L274" s="304">
        <f t="shared" ca="1" si="116"/>
        <v>261.9444043892567</v>
      </c>
      <c r="M274" s="306">
        <f t="shared" ca="1" si="132"/>
        <v>1.4567627547425874</v>
      </c>
      <c r="N274" s="304">
        <f t="shared" ca="1" si="133"/>
        <v>83.466357598601704</v>
      </c>
      <c r="P274" s="310">
        <f t="shared" ca="1" si="134"/>
        <v>7</v>
      </c>
      <c r="Q274" s="304">
        <f t="shared" ca="1" si="135"/>
        <v>473.17021276596023</v>
      </c>
      <c r="R274" s="306">
        <f t="shared" ca="1" si="136"/>
        <v>0.23746208397287022</v>
      </c>
      <c r="S274" s="307">
        <f t="shared" ca="1" si="137"/>
        <v>8.0980923764404</v>
      </c>
      <c r="T274" s="304">
        <f t="shared" ca="1" si="117"/>
        <v>79.442286212880333</v>
      </c>
      <c r="U274" s="311">
        <f t="shared" ca="1" si="118"/>
        <v>0</v>
      </c>
      <c r="V274" s="306">
        <f t="shared" ca="1" si="119"/>
        <v>1.1935035395514084</v>
      </c>
      <c r="W274" s="304">
        <f t="shared" ca="1" si="120"/>
        <v>108.39730807277506</v>
      </c>
      <c r="Y274" s="314" t="str">
        <f t="shared" ca="1" si="138"/>
        <v/>
      </c>
      <c r="Z274" s="315" t="str">
        <f t="shared" ca="1" si="139"/>
        <v/>
      </c>
      <c r="AA274" s="316" t="str">
        <f t="shared" ca="1" si="140"/>
        <v/>
      </c>
      <c r="AC274" s="310" t="e">
        <f t="shared" ca="1" si="141"/>
        <v>#N/A</v>
      </c>
      <c r="AD274" s="323" t="e">
        <f t="shared" ca="1" si="142"/>
        <v>#N/A</v>
      </c>
      <c r="AE274" s="324">
        <f t="shared" ca="1" si="121"/>
        <v>260.4623886920902</v>
      </c>
      <c r="AG274" s="306">
        <f t="shared" ca="1" si="143"/>
        <v>35.350491609977801</v>
      </c>
      <c r="AH274" s="304">
        <f t="shared" ca="1" si="144"/>
        <v>45.096849971894663</v>
      </c>
    </row>
    <row r="275" spans="1:34" x14ac:dyDescent="0.2">
      <c r="A275" s="347">
        <f t="shared" ca="1" si="122"/>
        <v>0.01</v>
      </c>
      <c r="B275" s="304">
        <f t="shared" ca="1" si="123"/>
        <v>2.7099999999999862</v>
      </c>
      <c r="D275" s="306">
        <f t="shared" ca="1" si="124"/>
        <v>5.0982258701565808</v>
      </c>
      <c r="E275" s="307">
        <f t="shared" ca="1" si="125"/>
        <v>34.704155552770963</v>
      </c>
      <c r="F275" s="304">
        <f t="shared" ca="1" si="126"/>
        <v>35.07663495339964</v>
      </c>
      <c r="G275" s="306">
        <f t="shared" ca="1" si="127"/>
        <v>19.67000231016096</v>
      </c>
      <c r="H275" s="307">
        <f t="shared" ca="1" si="128"/>
        <v>171.64665295088827</v>
      </c>
      <c r="I275" s="304">
        <f t="shared" ca="1" si="129"/>
        <v>172.77002766719815</v>
      </c>
      <c r="J275" s="306">
        <f t="shared" ca="1" si="130"/>
        <v>28.021165553403808</v>
      </c>
      <c r="K275" s="307">
        <f t="shared" ca="1" si="131"/>
        <v>262.17712001382142</v>
      </c>
      <c r="L275" s="304">
        <f t="shared" ca="1" si="116"/>
        <v>263.67030166045055</v>
      </c>
      <c r="M275" s="306">
        <f t="shared" ca="1" si="132"/>
        <v>1.4566981459404471</v>
      </c>
      <c r="N275" s="304">
        <f t="shared" ca="1" si="133"/>
        <v>83.462655786919669</v>
      </c>
      <c r="P275" s="310">
        <f t="shared" ca="1" si="134"/>
        <v>7</v>
      </c>
      <c r="Q275" s="304">
        <f t="shared" ca="1" si="135"/>
        <v>471.1276595744709</v>
      </c>
      <c r="R275" s="306">
        <f t="shared" ca="1" si="136"/>
        <v>0.23643702169212941</v>
      </c>
      <c r="S275" s="307">
        <f t="shared" ca="1" si="137"/>
        <v>8.095728006223478</v>
      </c>
      <c r="T275" s="304">
        <f t="shared" ca="1" si="117"/>
        <v>79.419091741052327</v>
      </c>
      <c r="U275" s="311">
        <f t="shared" ca="1" si="118"/>
        <v>0</v>
      </c>
      <c r="V275" s="306">
        <f t="shared" ca="1" si="119"/>
        <v>1.1932988683679306</v>
      </c>
      <c r="W275" s="304">
        <f t="shared" ca="1" si="120"/>
        <v>108.81991108236082</v>
      </c>
      <c r="Y275" s="314" t="str">
        <f t="shared" ca="1" si="138"/>
        <v/>
      </c>
      <c r="Z275" s="315" t="str">
        <f t="shared" ca="1" si="139"/>
        <v/>
      </c>
      <c r="AA275" s="316" t="str">
        <f t="shared" ca="1" si="140"/>
        <v/>
      </c>
      <c r="AC275" s="310" t="e">
        <f t="shared" ca="1" si="141"/>
        <v>#N/A</v>
      </c>
      <c r="AD275" s="323" t="e">
        <f t="shared" ca="1" si="142"/>
        <v>#N/A</v>
      </c>
      <c r="AE275" s="324">
        <f t="shared" ca="1" si="121"/>
        <v>262.17712001382142</v>
      </c>
      <c r="AG275" s="306">
        <f t="shared" ca="1" si="143"/>
        <v>35.058869256027229</v>
      </c>
      <c r="AH275" s="304">
        <f t="shared" ca="1" si="144"/>
        <v>44.805155413182355</v>
      </c>
    </row>
    <row r="276" spans="1:34" x14ac:dyDescent="0.2">
      <c r="A276" s="347">
        <f t="shared" ca="1" si="122"/>
        <v>0.01</v>
      </c>
      <c r="B276" s="304">
        <f t="shared" ca="1" si="123"/>
        <v>2.719999999999986</v>
      </c>
      <c r="D276" s="306">
        <f t="shared" ca="1" si="124"/>
        <v>5.0679078783561797</v>
      </c>
      <c r="E276" s="307">
        <f t="shared" ca="1" si="125"/>
        <v>34.41416485095764</v>
      </c>
      <c r="F276" s="304">
        <f t="shared" ca="1" si="126"/>
        <v>34.785319211592594</v>
      </c>
      <c r="G276" s="306">
        <f t="shared" ca="1" si="127"/>
        <v>19.720681388944524</v>
      </c>
      <c r="H276" s="307">
        <f t="shared" ca="1" si="128"/>
        <v>171.99079459939784</v>
      </c>
      <c r="I276" s="304">
        <f t="shared" ca="1" si="129"/>
        <v>173.11770187180895</v>
      </c>
      <c r="J276" s="306">
        <f t="shared" ca="1" si="130"/>
        <v>28.218118971899337</v>
      </c>
      <c r="K276" s="307">
        <f t="shared" ca="1" si="131"/>
        <v>263.89530725157283</v>
      </c>
      <c r="L276" s="304">
        <f t="shared" ca="1" si="116"/>
        <v>265.39968995406588</v>
      </c>
      <c r="M276" s="306">
        <f t="shared" ca="1" si="132"/>
        <v>1.4566336305191585</v>
      </c>
      <c r="N276" s="304">
        <f t="shared" ca="1" si="133"/>
        <v>83.458959325566326</v>
      </c>
      <c r="P276" s="310">
        <f t="shared" ca="1" si="134"/>
        <v>7</v>
      </c>
      <c r="Q276" s="304">
        <f t="shared" ca="1" si="135"/>
        <v>469.08510638298156</v>
      </c>
      <c r="R276" s="306">
        <f t="shared" ca="1" si="136"/>
        <v>0.23541195941138857</v>
      </c>
      <c r="S276" s="307">
        <f t="shared" ca="1" si="137"/>
        <v>8.0933738866293634</v>
      </c>
      <c r="T276" s="304">
        <f t="shared" ca="1" si="117"/>
        <v>79.395997827834066</v>
      </c>
      <c r="U276" s="311">
        <f t="shared" ca="1" si="118"/>
        <v>0</v>
      </c>
      <c r="V276" s="306">
        <f t="shared" ca="1" si="119"/>
        <v>1.1930938194279468</v>
      </c>
      <c r="W276" s="304">
        <f t="shared" ca="1" si="120"/>
        <v>109.23954554557545</v>
      </c>
      <c r="Y276" s="314" t="str">
        <f t="shared" ca="1" si="138"/>
        <v/>
      </c>
      <c r="Z276" s="315" t="str">
        <f t="shared" ca="1" si="139"/>
        <v/>
      </c>
      <c r="AA276" s="316" t="str">
        <f t="shared" ca="1" si="140"/>
        <v/>
      </c>
      <c r="AC276" s="310" t="e">
        <f t="shared" ca="1" si="141"/>
        <v>#N/A</v>
      </c>
      <c r="AD276" s="323" t="e">
        <f t="shared" ca="1" si="142"/>
        <v>#N/A</v>
      </c>
      <c r="AE276" s="324">
        <f t="shared" ca="1" si="121"/>
        <v>263.89530725157283</v>
      </c>
      <c r="AG276" s="306">
        <f t="shared" ca="1" si="143"/>
        <v>34.767384433210736</v>
      </c>
      <c r="AH276" s="304">
        <f t="shared" ca="1" si="144"/>
        <v>44.513598450677769</v>
      </c>
    </row>
    <row r="277" spans="1:34" x14ac:dyDescent="0.2">
      <c r="A277" s="347">
        <f t="shared" ca="1" si="122"/>
        <v>0.01</v>
      </c>
      <c r="B277" s="304">
        <f t="shared" ca="1" si="123"/>
        <v>2.7299999999999858</v>
      </c>
      <c r="D277" s="306">
        <f t="shared" ca="1" si="124"/>
        <v>5.0375644192206792</v>
      </c>
      <c r="E277" s="307">
        <f t="shared" ca="1" si="125"/>
        <v>34.124319013598239</v>
      </c>
      <c r="F277" s="304">
        <f t="shared" ca="1" si="126"/>
        <v>34.494147379223918</v>
      </c>
      <c r="G277" s="306">
        <f t="shared" ca="1" si="127"/>
        <v>19.771057033136731</v>
      </c>
      <c r="H277" s="307">
        <f t="shared" ca="1" si="128"/>
        <v>172.33203778953381</v>
      </c>
      <c r="I277" s="304">
        <f t="shared" ca="1" si="129"/>
        <v>173.46246263932971</v>
      </c>
      <c r="J277" s="306">
        <f t="shared" ca="1" si="130"/>
        <v>28.415577664009742</v>
      </c>
      <c r="K277" s="307">
        <f t="shared" ca="1" si="131"/>
        <v>265.6169214135175</v>
      </c>
      <c r="L277" s="304">
        <f t="shared" ca="1" si="116"/>
        <v>267.13254012788133</v>
      </c>
      <c r="M277" s="306">
        <f t="shared" ca="1" si="132"/>
        <v>1.4565692070751091</v>
      </c>
      <c r="N277" s="304">
        <f t="shared" ca="1" si="133"/>
        <v>83.455268134120601</v>
      </c>
      <c r="P277" s="310">
        <f t="shared" ca="1" si="134"/>
        <v>7</v>
      </c>
      <c r="Q277" s="304">
        <f t="shared" ca="1" si="135"/>
        <v>467.04255319149229</v>
      </c>
      <c r="R277" s="306">
        <f t="shared" ca="1" si="136"/>
        <v>0.23438689713064778</v>
      </c>
      <c r="S277" s="307">
        <f t="shared" ca="1" si="137"/>
        <v>8.0910300176580563</v>
      </c>
      <c r="T277" s="304">
        <f t="shared" ca="1" si="117"/>
        <v>79.373004473225535</v>
      </c>
      <c r="U277" s="311">
        <f t="shared" ca="1" si="118"/>
        <v>0</v>
      </c>
      <c r="V277" s="306">
        <f t="shared" ca="1" si="119"/>
        <v>1.1928883963914518</v>
      </c>
      <c r="W277" s="304">
        <f t="shared" ca="1" si="120"/>
        <v>109.65619244213431</v>
      </c>
      <c r="Y277" s="314" t="str">
        <f t="shared" ca="1" si="138"/>
        <v/>
      </c>
      <c r="Z277" s="315" t="str">
        <f t="shared" ca="1" si="139"/>
        <v/>
      </c>
      <c r="AA277" s="316" t="str">
        <f t="shared" ca="1" si="140"/>
        <v/>
      </c>
      <c r="AC277" s="310" t="e">
        <f t="shared" ca="1" si="141"/>
        <v>#N/A</v>
      </c>
      <c r="AD277" s="323" t="e">
        <f t="shared" ca="1" si="142"/>
        <v>#N/A</v>
      </c>
      <c r="AE277" s="324">
        <f t="shared" ca="1" si="121"/>
        <v>265.6169214135175</v>
      </c>
      <c r="AG277" s="306">
        <f t="shared" ca="1" si="143"/>
        <v>34.476040755320071</v>
      </c>
      <c r="AH277" s="304">
        <f t="shared" ca="1" si="144"/>
        <v>44.222182696769025</v>
      </c>
    </row>
    <row r="278" spans="1:34" x14ac:dyDescent="0.2">
      <c r="A278" s="347">
        <f t="shared" ca="1" si="122"/>
        <v>0.01</v>
      </c>
      <c r="B278" s="304">
        <f t="shared" ca="1" si="123"/>
        <v>2.7399999999999856</v>
      </c>
      <c r="D278" s="306">
        <f t="shared" ca="1" si="124"/>
        <v>5.0071960710510277</v>
      </c>
      <c r="E278" s="307">
        <f t="shared" ca="1" si="125"/>
        <v>33.834621584457039</v>
      </c>
      <c r="F278" s="304">
        <f t="shared" ca="1" si="126"/>
        <v>34.203123106777177</v>
      </c>
      <c r="G278" s="306">
        <f t="shared" ca="1" si="127"/>
        <v>19.821128993847243</v>
      </c>
      <c r="H278" s="307">
        <f t="shared" ca="1" si="128"/>
        <v>172.67038400537839</v>
      </c>
      <c r="I278" s="304">
        <f t="shared" ca="1" si="129"/>
        <v>173.80431141705193</v>
      </c>
      <c r="J278" s="306">
        <f t="shared" ca="1" si="130"/>
        <v>28.613538594144661</v>
      </c>
      <c r="K278" s="307">
        <f t="shared" ca="1" si="131"/>
        <v>267.34193352249207</v>
      </c>
      <c r="L278" s="304">
        <f t="shared" ca="1" si="116"/>
        <v>268.86882305396284</v>
      </c>
      <c r="M278" s="306">
        <f t="shared" ca="1" si="132"/>
        <v>1.4565048742174116</v>
      </c>
      <c r="N278" s="304">
        <f t="shared" ca="1" si="133"/>
        <v>83.451582132890522</v>
      </c>
      <c r="P278" s="310">
        <f t="shared" ca="1" si="134"/>
        <v>7</v>
      </c>
      <c r="Q278" s="304">
        <f t="shared" ca="1" si="135"/>
        <v>465.00000000000296</v>
      </c>
      <c r="R278" s="306">
        <f t="shared" ca="1" si="136"/>
        <v>0.23336183484990697</v>
      </c>
      <c r="S278" s="307">
        <f t="shared" ca="1" si="137"/>
        <v>8.0886963993095566</v>
      </c>
      <c r="T278" s="304">
        <f t="shared" ca="1" si="117"/>
        <v>79.350111677226749</v>
      </c>
      <c r="U278" s="311">
        <f t="shared" ca="1" si="118"/>
        <v>0</v>
      </c>
      <c r="V278" s="306">
        <f t="shared" ca="1" si="119"/>
        <v>1.1926826029146551</v>
      </c>
      <c r="W278" s="304">
        <f t="shared" ca="1" si="120"/>
        <v>110.06983302126444</v>
      </c>
      <c r="Y278" s="314" t="str">
        <f t="shared" ca="1" si="138"/>
        <v/>
      </c>
      <c r="Z278" s="315" t="str">
        <f t="shared" ca="1" si="139"/>
        <v/>
      </c>
      <c r="AA278" s="316" t="str">
        <f t="shared" ca="1" si="140"/>
        <v/>
      </c>
      <c r="AC278" s="310" t="e">
        <f t="shared" ca="1" si="141"/>
        <v>#N/A</v>
      </c>
      <c r="AD278" s="323" t="e">
        <f t="shared" ca="1" si="142"/>
        <v>#N/A</v>
      </c>
      <c r="AE278" s="324">
        <f t="shared" ca="1" si="121"/>
        <v>267.34193352249207</v>
      </c>
      <c r="AG278" s="306">
        <f t="shared" ca="1" si="143"/>
        <v>34.18484180588127</v>
      </c>
      <c r="AH278" s="304">
        <f t="shared" ca="1" si="144"/>
        <v>43.93091173358917</v>
      </c>
    </row>
    <row r="279" spans="1:34" x14ac:dyDescent="0.2">
      <c r="A279" s="347">
        <f t="shared" ca="1" si="122"/>
        <v>0.01</v>
      </c>
      <c r="B279" s="304">
        <f t="shared" ca="1" si="123"/>
        <v>2.7499999999999853</v>
      </c>
      <c r="D279" s="306">
        <f t="shared" ca="1" si="124"/>
        <v>4.9768034073515057</v>
      </c>
      <c r="E279" s="307">
        <f t="shared" ca="1" si="125"/>
        <v>33.545076077322015</v>
      </c>
      <c r="F279" s="304">
        <f t="shared" ca="1" si="126"/>
        <v>33.91225001660532</v>
      </c>
      <c r="G279" s="306">
        <f t="shared" ca="1" si="127"/>
        <v>19.870897027920758</v>
      </c>
      <c r="H279" s="307">
        <f t="shared" ca="1" si="128"/>
        <v>173.00583476615162</v>
      </c>
      <c r="I279" s="304">
        <f t="shared" ca="1" si="129"/>
        <v>174.14324968779923</v>
      </c>
      <c r="J279" s="306">
        <f t="shared" ca="1" si="130"/>
        <v>28.811998724253499</v>
      </c>
      <c r="K279" s="307">
        <f t="shared" ca="1" si="131"/>
        <v>269.07031461634972</v>
      </c>
      <c r="L279" s="304">
        <f t="shared" ca="1" si="116"/>
        <v>270.60850961902105</v>
      </c>
      <c r="M279" s="306">
        <f t="shared" ca="1" si="132"/>
        <v>1.4564406305676818</v>
      </c>
      <c r="N279" s="304">
        <f t="shared" ca="1" si="133"/>
        <v>83.447901242900485</v>
      </c>
      <c r="P279" s="310">
        <f t="shared" ca="1" si="134"/>
        <v>7</v>
      </c>
      <c r="Q279" s="304">
        <f t="shared" ca="1" si="135"/>
        <v>462.95744680851362</v>
      </c>
      <c r="R279" s="306">
        <f t="shared" ca="1" si="136"/>
        <v>0.23233677256916616</v>
      </c>
      <c r="S279" s="307">
        <f t="shared" ca="1" si="137"/>
        <v>8.0863730315838644</v>
      </c>
      <c r="T279" s="304">
        <f t="shared" ca="1" si="117"/>
        <v>79.327319439837709</v>
      </c>
      <c r="U279" s="311">
        <f t="shared" ca="1" si="118"/>
        <v>0</v>
      </c>
      <c r="V279" s="306">
        <f t="shared" ca="1" si="119"/>
        <v>1.1924764426499286</v>
      </c>
      <c r="W279" s="304">
        <f t="shared" ca="1" si="120"/>
        <v>110.48044880121657</v>
      </c>
      <c r="Y279" s="314" t="str">
        <f t="shared" ca="1" si="138"/>
        <v/>
      </c>
      <c r="Z279" s="315" t="str">
        <f t="shared" ca="1" si="139"/>
        <v/>
      </c>
      <c r="AA279" s="316" t="str">
        <f t="shared" ca="1" si="140"/>
        <v/>
      </c>
      <c r="AC279" s="310" t="e">
        <f t="shared" ca="1" si="141"/>
        <v>#N/A</v>
      </c>
      <c r="AD279" s="323" t="e">
        <f t="shared" ca="1" si="142"/>
        <v>#N/A</v>
      </c>
      <c r="AE279" s="324">
        <f t="shared" ca="1" si="121"/>
        <v>269.07031461634972</v>
      </c>
      <c r="AG279" s="306">
        <f t="shared" ca="1" si="143"/>
        <v>33.893791138123646</v>
      </c>
      <c r="AH279" s="304">
        <f t="shared" ca="1" si="144"/>
        <v>43.639789112985014</v>
      </c>
    </row>
    <row r="280" spans="1:34" x14ac:dyDescent="0.2">
      <c r="A280" s="347">
        <f t="shared" ca="1" si="122"/>
        <v>0.01</v>
      </c>
      <c r="B280" s="304">
        <f t="shared" ca="1" si="123"/>
        <v>2.7599999999999851</v>
      </c>
      <c r="D280" s="306">
        <f t="shared" ca="1" si="124"/>
        <v>4.9463869968436569</v>
      </c>
      <c r="E280" s="307">
        <f t="shared" ca="1" si="125"/>
        <v>33.255685975975226</v>
      </c>
      <c r="F280" s="304">
        <f t="shared" ca="1" si="126"/>
        <v>33.621531702990858</v>
      </c>
      <c r="G280" s="306">
        <f t="shared" ca="1" si="127"/>
        <v>19.920360897889196</v>
      </c>
      <c r="H280" s="307">
        <f t="shared" ca="1" si="128"/>
        <v>173.33839162591138</v>
      </c>
      <c r="I280" s="304">
        <f t="shared" ca="1" si="129"/>
        <v>174.47927896962429</v>
      </c>
      <c r="J280" s="306">
        <f t="shared" ca="1" si="130"/>
        <v>29.010955013882548</v>
      </c>
      <c r="K280" s="307">
        <f t="shared" ca="1" si="131"/>
        <v>270.80203574831006</v>
      </c>
      <c r="L280" s="304">
        <f t="shared" ca="1" si="116"/>
        <v>272.35157072476471</v>
      </c>
      <c r="M280" s="306">
        <f t="shared" ca="1" si="132"/>
        <v>1.45637647475982</v>
      </c>
      <c r="N280" s="304">
        <f t="shared" ca="1" si="133"/>
        <v>83.444225385878752</v>
      </c>
      <c r="P280" s="310">
        <f t="shared" ca="1" si="134"/>
        <v>7</v>
      </c>
      <c r="Q280" s="304">
        <f t="shared" ca="1" si="135"/>
        <v>460.91489361702429</v>
      </c>
      <c r="R280" s="306">
        <f t="shared" ca="1" si="136"/>
        <v>0.23131171028842534</v>
      </c>
      <c r="S280" s="307">
        <f t="shared" ca="1" si="137"/>
        <v>8.0840599144809797</v>
      </c>
      <c r="T280" s="304">
        <f t="shared" ca="1" si="117"/>
        <v>79.304627761058413</v>
      </c>
      <c r="U280" s="311">
        <f t="shared" ca="1" si="118"/>
        <v>0</v>
      </c>
      <c r="V280" s="306">
        <f t="shared" ca="1" si="119"/>
        <v>1.1922699192457549</v>
      </c>
      <c r="W280" s="304">
        <f t="shared" ca="1" si="120"/>
        <v>110.88802156875951</v>
      </c>
      <c r="Y280" s="314" t="str">
        <f t="shared" ca="1" si="138"/>
        <v/>
      </c>
      <c r="Z280" s="315" t="str">
        <f t="shared" ca="1" si="139"/>
        <v/>
      </c>
      <c r="AA280" s="316" t="str">
        <f t="shared" ca="1" si="140"/>
        <v/>
      </c>
      <c r="AC280" s="310" t="e">
        <f t="shared" ca="1" si="141"/>
        <v>#N/A</v>
      </c>
      <c r="AD280" s="323" t="e">
        <f t="shared" ca="1" si="142"/>
        <v>#N/A</v>
      </c>
      <c r="AE280" s="324">
        <f t="shared" ca="1" si="121"/>
        <v>270.80203574831006</v>
      </c>
      <c r="AG280" s="306">
        <f t="shared" ca="1" si="143"/>
        <v>33.602892274951635</v>
      </c>
      <c r="AH280" s="304">
        <f t="shared" ca="1" si="144"/>
        <v>43.348818356488721</v>
      </c>
    </row>
    <row r="281" spans="1:34" x14ac:dyDescent="0.2">
      <c r="A281" s="347">
        <f t="shared" ca="1" si="122"/>
        <v>0.01</v>
      </c>
      <c r="B281" s="304">
        <f t="shared" ca="1" si="123"/>
        <v>2.7699999999999849</v>
      </c>
      <c r="D281" s="306">
        <f t="shared" ca="1" si="124"/>
        <v>4.9159474034800592</v>
      </c>
      <c r="E281" s="307">
        <f t="shared" ca="1" si="125"/>
        <v>32.966454734166078</v>
      </c>
      <c r="F281" s="304">
        <f t="shared" ca="1" si="126"/>
        <v>33.330971732213321</v>
      </c>
      <c r="G281" s="306">
        <f t="shared" ca="1" si="127"/>
        <v>19.969520371923998</v>
      </c>
      <c r="H281" s="307">
        <f t="shared" ca="1" si="128"/>
        <v>173.66805617325304</v>
      </c>
      <c r="I281" s="304">
        <f t="shared" ca="1" si="129"/>
        <v>174.81240081550524</v>
      </c>
      <c r="J281" s="306">
        <f t="shared" ca="1" si="130"/>
        <v>29.210404420231615</v>
      </c>
      <c r="K281" s="307">
        <f t="shared" ca="1" si="131"/>
        <v>272.53706798730587</v>
      </c>
      <c r="L281" s="304">
        <f t="shared" ca="1" si="116"/>
        <v>274.09797728825157</v>
      </c>
      <c r="M281" s="306">
        <f t="shared" ca="1" si="132"/>
        <v>1.456312405439796</v>
      </c>
      <c r="N281" s="304">
        <f t="shared" ca="1" si="133"/>
        <v>83.440554484245098</v>
      </c>
      <c r="P281" s="310">
        <f t="shared" ca="1" si="134"/>
        <v>7</v>
      </c>
      <c r="Q281" s="304">
        <f t="shared" ca="1" si="135"/>
        <v>458.87234042553501</v>
      </c>
      <c r="R281" s="306">
        <f t="shared" ca="1" si="136"/>
        <v>0.23028664800768453</v>
      </c>
      <c r="S281" s="307">
        <f t="shared" ca="1" si="137"/>
        <v>8.0817570480009024</v>
      </c>
      <c r="T281" s="304">
        <f t="shared" ca="1" si="117"/>
        <v>79.282036640888862</v>
      </c>
      <c r="U281" s="311">
        <f t="shared" ca="1" si="118"/>
        <v>0</v>
      </c>
      <c r="V281" s="306">
        <f t="shared" ca="1" si="119"/>
        <v>1.1920630363466791</v>
      </c>
      <c r="W281" s="304">
        <f t="shared" ca="1" si="120"/>
        <v>111.29253337865649</v>
      </c>
      <c r="Y281" s="314" t="str">
        <f t="shared" ca="1" si="138"/>
        <v/>
      </c>
      <c r="Z281" s="315" t="str">
        <f t="shared" ca="1" si="139"/>
        <v/>
      </c>
      <c r="AA281" s="316" t="str">
        <f t="shared" ca="1" si="140"/>
        <v/>
      </c>
      <c r="AC281" s="310" t="e">
        <f t="shared" ca="1" si="141"/>
        <v>#N/A</v>
      </c>
      <c r="AD281" s="323" t="e">
        <f t="shared" ca="1" si="142"/>
        <v>#N/A</v>
      </c>
      <c r="AE281" s="324">
        <f t="shared" ca="1" si="121"/>
        <v>272.53706798730587</v>
      </c>
      <c r="AG281" s="306">
        <f t="shared" ca="1" si="143"/>
        <v>33.31214870891921</v>
      </c>
      <c r="AH281" s="304">
        <f t="shared" ca="1" si="144"/>
        <v>43.058002955292089</v>
      </c>
    </row>
    <row r="282" spans="1:34" x14ac:dyDescent="0.2">
      <c r="A282" s="347">
        <f t="shared" ca="1" si="122"/>
        <v>0.01</v>
      </c>
      <c r="B282" s="304">
        <f t="shared" ca="1" si="123"/>
        <v>2.7799999999999847</v>
      </c>
      <c r="D282" s="306">
        <f t="shared" ca="1" si="124"/>
        <v>4.8854851864580118</v>
      </c>
      <c r="E282" s="307">
        <f t="shared" ca="1" si="125"/>
        <v>32.677385775587346</v>
      </c>
      <c r="F282" s="304">
        <f t="shared" ca="1" si="126"/>
        <v>33.04057364262399</v>
      </c>
      <c r="G282" s="306">
        <f t="shared" ca="1" si="127"/>
        <v>20.018375223788578</v>
      </c>
      <c r="H282" s="307">
        <f t="shared" ca="1" si="128"/>
        <v>173.99483003100892</v>
      </c>
      <c r="I282" s="304">
        <f t="shared" ca="1" si="129"/>
        <v>175.14261681304203</v>
      </c>
      <c r="J282" s="306">
        <f t="shared" ca="1" si="130"/>
        <v>29.410343898210179</v>
      </c>
      <c r="K282" s="307">
        <f t="shared" ca="1" si="131"/>
        <v>274.27538241832718</v>
      </c>
      <c r="L282" s="304">
        <f t="shared" ca="1" si="116"/>
        <v>275.84770024223621</v>
      </c>
      <c r="M282" s="306">
        <f t="shared" ca="1" si="132"/>
        <v>1.4562484212654387</v>
      </c>
      <c r="N282" s="304">
        <f t="shared" ca="1" si="133"/>
        <v>83.436888461098803</v>
      </c>
      <c r="P282" s="310">
        <f t="shared" ca="1" si="134"/>
        <v>7</v>
      </c>
      <c r="Q282" s="304">
        <f t="shared" ca="1" si="135"/>
        <v>456.82978723404568</v>
      </c>
      <c r="R282" s="306">
        <f t="shared" ca="1" si="136"/>
        <v>0.22926158572694372</v>
      </c>
      <c r="S282" s="307">
        <f t="shared" ca="1" si="137"/>
        <v>8.0794644321436326</v>
      </c>
      <c r="T282" s="304">
        <f t="shared" ca="1" si="117"/>
        <v>79.259546079329041</v>
      </c>
      <c r="U282" s="311">
        <f t="shared" ca="1" si="118"/>
        <v>0</v>
      </c>
      <c r="V282" s="306">
        <f t="shared" ca="1" si="119"/>
        <v>1.191855797593258</v>
      </c>
      <c r="W282" s="304">
        <f t="shared" ca="1" si="120"/>
        <v>111.69396655312384</v>
      </c>
      <c r="Y282" s="314" t="str">
        <f t="shared" ca="1" si="138"/>
        <v/>
      </c>
      <c r="Z282" s="315" t="str">
        <f t="shared" ca="1" si="139"/>
        <v/>
      </c>
      <c r="AA282" s="316" t="str">
        <f t="shared" ca="1" si="140"/>
        <v/>
      </c>
      <c r="AC282" s="310" t="e">
        <f t="shared" ca="1" si="141"/>
        <v>#N/A</v>
      </c>
      <c r="AD282" s="323" t="e">
        <f t="shared" ca="1" si="142"/>
        <v>#N/A</v>
      </c>
      <c r="AE282" s="324">
        <f t="shared" ca="1" si="121"/>
        <v>274.27538241832718</v>
      </c>
      <c r="AG282" s="306">
        <f t="shared" ca="1" si="143"/>
        <v>33.021563902207234</v>
      </c>
      <c r="AH282" s="304">
        <f t="shared" ca="1" si="144"/>
        <v>42.767346370223663</v>
      </c>
    </row>
    <row r="283" spans="1:34" x14ac:dyDescent="0.2">
      <c r="A283" s="347">
        <f t="shared" ca="1" si="122"/>
        <v>0.01</v>
      </c>
      <c r="B283" s="304">
        <f t="shared" ca="1" si="123"/>
        <v>2.7899999999999845</v>
      </c>
      <c r="D283" s="306">
        <f t="shared" ca="1" si="124"/>
        <v>4.8550009002330423</v>
      </c>
      <c r="E283" s="307">
        <f t="shared" ca="1" si="125"/>
        <v>32.388482493853978</v>
      </c>
      <c r="F283" s="304">
        <f t="shared" ca="1" si="126"/>
        <v>32.750340944728336</v>
      </c>
      <c r="G283" s="306">
        <f t="shared" ca="1" si="127"/>
        <v>20.066925232790908</v>
      </c>
      <c r="H283" s="307">
        <f t="shared" ca="1" si="128"/>
        <v>174.31871485594746</v>
      </c>
      <c r="I283" s="304">
        <f t="shared" ca="1" si="129"/>
        <v>175.4699285841524</v>
      </c>
      <c r="J283" s="306">
        <f t="shared" ca="1" si="130"/>
        <v>29.610770400493077</v>
      </c>
      <c r="K283" s="307">
        <f t="shared" ca="1" si="131"/>
        <v>276.01695014276197</v>
      </c>
      <c r="L283" s="304">
        <f t="shared" ca="1" si="116"/>
        <v>277.60071053551474</v>
      </c>
      <c r="M283" s="306">
        <f t="shared" ca="1" si="132"/>
        <v>1.4561845209062292</v>
      </c>
      <c r="N283" s="304">
        <f t="shared" ca="1" si="133"/>
        <v>83.433227240206719</v>
      </c>
      <c r="P283" s="310">
        <f t="shared" ca="1" si="134"/>
        <v>7</v>
      </c>
      <c r="Q283" s="304">
        <f t="shared" ca="1" si="135"/>
        <v>454.78723404255635</v>
      </c>
      <c r="R283" s="306">
        <f t="shared" ca="1" si="136"/>
        <v>0.2282365234462029</v>
      </c>
      <c r="S283" s="307">
        <f t="shared" ca="1" si="137"/>
        <v>8.0771820669091703</v>
      </c>
      <c r="T283" s="304">
        <f t="shared" ca="1" si="117"/>
        <v>79.237156076378966</v>
      </c>
      <c r="U283" s="311">
        <f t="shared" ca="1" si="118"/>
        <v>0</v>
      </c>
      <c r="V283" s="306">
        <f t="shared" ca="1" si="119"/>
        <v>1.1916482066220109</v>
      </c>
      <c r="W283" s="304">
        <f t="shared" ca="1" si="120"/>
        <v>112.09230368127238</v>
      </c>
      <c r="Y283" s="314" t="str">
        <f t="shared" ca="1" si="138"/>
        <v/>
      </c>
      <c r="Z283" s="315" t="str">
        <f t="shared" ca="1" si="139"/>
        <v/>
      </c>
      <c r="AA283" s="316" t="str">
        <f t="shared" ca="1" si="140"/>
        <v/>
      </c>
      <c r="AC283" s="310" t="e">
        <f t="shared" ca="1" si="141"/>
        <v>#N/A</v>
      </c>
      <c r="AD283" s="323" t="e">
        <f t="shared" ca="1" si="142"/>
        <v>#N/A</v>
      </c>
      <c r="AE283" s="324">
        <f t="shared" ca="1" si="121"/>
        <v>276.01695014276197</v>
      </c>
      <c r="AG283" s="306">
        <f t="shared" ca="1" si="143"/>
        <v>32.731141286603446</v>
      </c>
      <c r="AH283" s="304">
        <f t="shared" ca="1" si="144"/>
        <v>42.476852031728583</v>
      </c>
    </row>
    <row r="284" spans="1:34" x14ac:dyDescent="0.2">
      <c r="A284" s="347">
        <f t="shared" ca="1" si="122"/>
        <v>0.01</v>
      </c>
      <c r="B284" s="304">
        <f t="shared" ca="1" si="123"/>
        <v>2.7999999999999843</v>
      </c>
      <c r="D284" s="306">
        <f t="shared" ca="1" si="124"/>
        <v>4.8244950945323204</v>
      </c>
      <c r="E284" s="307">
        <f t="shared" ca="1" si="125"/>
        <v>32.099748252484545</v>
      </c>
      <c r="F284" s="304">
        <f t="shared" ca="1" si="126"/>
        <v>32.460277121276263</v>
      </c>
      <c r="G284" s="306">
        <f t="shared" ca="1" si="127"/>
        <v>20.115170183736232</v>
      </c>
      <c r="H284" s="307">
        <f t="shared" ca="1" si="128"/>
        <v>174.63971233847232</v>
      </c>
      <c r="I284" s="304">
        <f t="shared" ca="1" si="129"/>
        <v>175.79433778476778</v>
      </c>
      <c r="J284" s="306">
        <f t="shared" ca="1" si="130"/>
        <v>29.811680877575714</v>
      </c>
      <c r="K284" s="307">
        <f t="shared" ca="1" si="131"/>
        <v>277.76174227873406</v>
      </c>
      <c r="L284" s="304">
        <f t="shared" ca="1" si="116"/>
        <v>279.35697913326646</v>
      </c>
      <c r="M284" s="306">
        <f t="shared" ca="1" si="132"/>
        <v>1.4561207030430963</v>
      </c>
      <c r="N284" s="304">
        <f t="shared" ca="1" si="133"/>
        <v>83.429570745991668</v>
      </c>
      <c r="P284" s="310">
        <f t="shared" ca="1" si="134"/>
        <v>7</v>
      </c>
      <c r="Q284" s="304">
        <f t="shared" ca="1" si="135"/>
        <v>452.74468085106707</v>
      </c>
      <c r="R284" s="306">
        <f t="shared" ca="1" si="136"/>
        <v>0.22721146116546212</v>
      </c>
      <c r="S284" s="307">
        <f t="shared" ca="1" si="137"/>
        <v>8.0749099522975154</v>
      </c>
      <c r="T284" s="304">
        <f t="shared" ca="1" si="117"/>
        <v>79.214866632038635</v>
      </c>
      <c r="U284" s="311">
        <f t="shared" ca="1" si="118"/>
        <v>0</v>
      </c>
      <c r="V284" s="306">
        <f t="shared" ca="1" si="119"/>
        <v>1.1914402670653719</v>
      </c>
      <c r="W284" s="304">
        <f t="shared" ca="1" si="120"/>
        <v>112.48752761853142</v>
      </c>
      <c r="Y284" s="314" t="str">
        <f t="shared" ca="1" si="138"/>
        <v/>
      </c>
      <c r="Z284" s="315" t="str">
        <f t="shared" ca="1" si="139"/>
        <v/>
      </c>
      <c r="AA284" s="316" t="str">
        <f t="shared" ca="1" si="140"/>
        <v/>
      </c>
      <c r="AC284" s="310" t="e">
        <f t="shared" ca="1" si="141"/>
        <v>#N/A</v>
      </c>
      <c r="AD284" s="323" t="e">
        <f t="shared" ca="1" si="142"/>
        <v>#N/A</v>
      </c>
      <c r="AE284" s="324">
        <f t="shared" ca="1" si="121"/>
        <v>277.76174227873406</v>
      </c>
      <c r="AG284" s="306">
        <f t="shared" ca="1" si="143"/>
        <v>32.440884263485181</v>
      </c>
      <c r="AH284" s="304">
        <f t="shared" ca="1" si="144"/>
        <v>42.186523339851057</v>
      </c>
    </row>
    <row r="285" spans="1:34" x14ac:dyDescent="0.2">
      <c r="A285" s="347">
        <f t="shared" ca="1" si="122"/>
        <v>0.01</v>
      </c>
      <c r="B285" s="304">
        <f t="shared" ca="1" si="123"/>
        <v>2.8099999999999841</v>
      </c>
      <c r="D285" s="306">
        <f t="shared" ca="1" si="124"/>
        <v>4.7939683143679801</v>
      </c>
      <c r="E285" s="307">
        <f t="shared" ca="1" si="125"/>
        <v>31.811186384885374</v>
      </c>
      <c r="F285" s="304">
        <f t="shared" ca="1" si="126"/>
        <v>32.170385627360467</v>
      </c>
      <c r="G285" s="306">
        <f t="shared" ca="1" si="127"/>
        <v>20.163109866879914</v>
      </c>
      <c r="H285" s="307">
        <f t="shared" ca="1" si="128"/>
        <v>174.95782420232118</v>
      </c>
      <c r="I285" s="304">
        <f t="shared" ca="1" si="129"/>
        <v>176.11584610452914</v>
      </c>
      <c r="J285" s="306">
        <f t="shared" ca="1" si="130"/>
        <v>30.013072277828794</v>
      </c>
      <c r="K285" s="307">
        <f t="shared" ca="1" si="131"/>
        <v>279.50972996143804</v>
      </c>
      <c r="L285" s="304">
        <f t="shared" ca="1" si="116"/>
        <v>281.11647701739253</v>
      </c>
      <c r="M285" s="306">
        <f t="shared" ca="1" si="132"/>
        <v>1.4560569663682184</v>
      </c>
      <c r="N285" s="304">
        <f t="shared" ca="1" si="133"/>
        <v>83.425918903520966</v>
      </c>
      <c r="P285" s="310">
        <f t="shared" ca="1" si="134"/>
        <v>7</v>
      </c>
      <c r="Q285" s="304">
        <f t="shared" ca="1" si="135"/>
        <v>450.70212765957774</v>
      </c>
      <c r="R285" s="306">
        <f t="shared" ca="1" si="136"/>
        <v>0.22618639888472128</v>
      </c>
      <c r="S285" s="307">
        <f t="shared" ca="1" si="137"/>
        <v>8.072648088308668</v>
      </c>
      <c r="T285" s="304">
        <f t="shared" ca="1" si="117"/>
        <v>79.192677746308036</v>
      </c>
      <c r="U285" s="311">
        <f t="shared" ca="1" si="118"/>
        <v>0</v>
      </c>
      <c r="V285" s="306">
        <f t="shared" ca="1" si="119"/>
        <v>1.19123198255164</v>
      </c>
      <c r="W285" s="304">
        <f t="shared" ca="1" si="120"/>
        <v>112.87962148605605</v>
      </c>
      <c r="Y285" s="314" t="str">
        <f t="shared" ca="1" si="138"/>
        <v/>
      </c>
      <c r="Z285" s="315" t="str">
        <f t="shared" ca="1" si="139"/>
        <v/>
      </c>
      <c r="AA285" s="316" t="str">
        <f t="shared" ca="1" si="140"/>
        <v/>
      </c>
      <c r="AC285" s="310" t="e">
        <f t="shared" ca="1" si="141"/>
        <v>#N/A</v>
      </c>
      <c r="AD285" s="323" t="e">
        <f t="shared" ca="1" si="142"/>
        <v>#N/A</v>
      </c>
      <c r="AE285" s="324">
        <f t="shared" ca="1" si="121"/>
        <v>279.50972996143804</v>
      </c>
      <c r="AG285" s="306">
        <f t="shared" ca="1" si="143"/>
        <v>32.150796203804624</v>
      </c>
      <c r="AH285" s="304">
        <f t="shared" ca="1" si="144"/>
        <v>41.8963636642195</v>
      </c>
    </row>
    <row r="286" spans="1:34" x14ac:dyDescent="0.2">
      <c r="A286" s="347">
        <f t="shared" ca="1" si="122"/>
        <v>0.01</v>
      </c>
      <c r="B286" s="304">
        <f t="shared" ca="1" si="123"/>
        <v>2.8199999999999839</v>
      </c>
      <c r="D286" s="306">
        <f t="shared" ca="1" si="124"/>
        <v>4.7634211000502713</v>
      </c>
      <c r="E286" s="307">
        <f t="shared" ca="1" si="125"/>
        <v>31.522800194337535</v>
      </c>
      <c r="F286" s="304">
        <f t="shared" ca="1" si="126"/>
        <v>31.880669890523485</v>
      </c>
      <c r="G286" s="306">
        <f t="shared" ca="1" si="127"/>
        <v>20.210744077880417</v>
      </c>
      <c r="H286" s="307">
        <f t="shared" ca="1" si="128"/>
        <v>175.27305220426456</v>
      </c>
      <c r="I286" s="304">
        <f t="shared" ca="1" si="129"/>
        <v>176.43445526648253</v>
      </c>
      <c r="J286" s="306">
        <f t="shared" ca="1" si="130"/>
        <v>30.214941547552595</v>
      </c>
      <c r="K286" s="307">
        <f t="shared" ca="1" si="131"/>
        <v>281.26088434347099</v>
      </c>
      <c r="L286" s="304">
        <f t="shared" ca="1" si="116"/>
        <v>282.87917518685146</v>
      </c>
      <c r="M286" s="306">
        <f t="shared" ca="1" si="132"/>
        <v>1.4559933095848259</v>
      </c>
      <c r="N286" s="304">
        <f t="shared" ca="1" si="133"/>
        <v>83.422271638495189</v>
      </c>
      <c r="P286" s="310">
        <f t="shared" ca="1" si="134"/>
        <v>7</v>
      </c>
      <c r="Q286" s="304">
        <f t="shared" ca="1" si="135"/>
        <v>448.65957446808841</v>
      </c>
      <c r="R286" s="306">
        <f t="shared" ca="1" si="136"/>
        <v>0.22516133660398047</v>
      </c>
      <c r="S286" s="307">
        <f t="shared" ca="1" si="137"/>
        <v>8.070396474942628</v>
      </c>
      <c r="T286" s="304">
        <f t="shared" ca="1" si="117"/>
        <v>79.170589419187181</v>
      </c>
      <c r="U286" s="311">
        <f t="shared" ca="1" si="118"/>
        <v>0</v>
      </c>
      <c r="V286" s="306">
        <f t="shared" ca="1" si="119"/>
        <v>1.1910233567049344</v>
      </c>
      <c r="W286" s="304">
        <f t="shared" ca="1" si="120"/>
        <v>113.2685686701178</v>
      </c>
      <c r="Y286" s="314" t="str">
        <f t="shared" ca="1" si="138"/>
        <v/>
      </c>
      <c r="Z286" s="315" t="str">
        <f t="shared" ca="1" si="139"/>
        <v/>
      </c>
      <c r="AA286" s="316" t="str">
        <f t="shared" ca="1" si="140"/>
        <v/>
      </c>
      <c r="AC286" s="310" t="e">
        <f t="shared" ca="1" si="141"/>
        <v>#N/A</v>
      </c>
      <c r="AD286" s="323" t="e">
        <f t="shared" ca="1" si="142"/>
        <v>#N/A</v>
      </c>
      <c r="AE286" s="324">
        <f t="shared" ca="1" si="121"/>
        <v>281.26088434347099</v>
      </c>
      <c r="AG286" s="306">
        <f t="shared" ca="1" si="143"/>
        <v>31.860880448076998</v>
      </c>
      <c r="AH286" s="304">
        <f t="shared" ca="1" si="144"/>
        <v>41.606376344034494</v>
      </c>
    </row>
    <row r="287" spans="1:34" x14ac:dyDescent="0.2">
      <c r="A287" s="347">
        <f t="shared" ca="1" si="122"/>
        <v>0.01</v>
      </c>
      <c r="B287" s="304">
        <f t="shared" ca="1" si="123"/>
        <v>2.8299999999999836</v>
      </c>
      <c r="D287" s="306">
        <f t="shared" ca="1" si="124"/>
        <v>4.7328539872006932</v>
      </c>
      <c r="E287" s="307">
        <f t="shared" ca="1" si="125"/>
        <v>31.234592953986187</v>
      </c>
      <c r="F287" s="304">
        <f t="shared" ca="1" si="126"/>
        <v>31.591133310873243</v>
      </c>
      <c r="G287" s="306">
        <f t="shared" ca="1" si="127"/>
        <v>20.258072617752426</v>
      </c>
      <c r="H287" s="307">
        <f t="shared" ca="1" si="128"/>
        <v>175.58539813380443</v>
      </c>
      <c r="I287" s="304">
        <f t="shared" ca="1" si="129"/>
        <v>176.75016702677468</v>
      </c>
      <c r="J287" s="306">
        <f t="shared" ca="1" si="130"/>
        <v>30.417285631030758</v>
      </c>
      <c r="K287" s="307">
        <f t="shared" ca="1" si="131"/>
        <v>283.01517659516134</v>
      </c>
      <c r="L287" s="304">
        <f t="shared" ca="1" si="116"/>
        <v>284.64504465799166</v>
      </c>
      <c r="M287" s="306">
        <f t="shared" ca="1" si="132"/>
        <v>1.4559297314070097</v>
      </c>
      <c r="N287" s="304">
        <f t="shared" ca="1" si="133"/>
        <v>83.418628877237197</v>
      </c>
      <c r="P287" s="310">
        <f t="shared" ca="1" si="134"/>
        <v>7</v>
      </c>
      <c r="Q287" s="304">
        <f t="shared" ca="1" si="135"/>
        <v>446.61702127659908</v>
      </c>
      <c r="R287" s="306">
        <f t="shared" ca="1" si="136"/>
        <v>0.22413627432323965</v>
      </c>
      <c r="S287" s="307">
        <f t="shared" ca="1" si="137"/>
        <v>8.0681551121993955</v>
      </c>
      <c r="T287" s="304">
        <f t="shared" ca="1" si="117"/>
        <v>79.148601650676071</v>
      </c>
      <c r="U287" s="311">
        <f t="shared" ca="1" si="118"/>
        <v>0</v>
      </c>
      <c r="V287" s="306">
        <f t="shared" ca="1" si="119"/>
        <v>1.1908143931451449</v>
      </c>
      <c r="W287" s="304">
        <f t="shared" ca="1" si="120"/>
        <v>113.65435282147844</v>
      </c>
      <c r="Y287" s="314" t="str">
        <f t="shared" ca="1" si="138"/>
        <v/>
      </c>
      <c r="Z287" s="315" t="str">
        <f t="shared" ca="1" si="139"/>
        <v/>
      </c>
      <c r="AA287" s="316" t="str">
        <f t="shared" ca="1" si="140"/>
        <v/>
      </c>
      <c r="AC287" s="310" t="e">
        <f t="shared" ca="1" si="141"/>
        <v>#N/A</v>
      </c>
      <c r="AD287" s="323" t="e">
        <f t="shared" ca="1" si="142"/>
        <v>#N/A</v>
      </c>
      <c r="AE287" s="324">
        <f t="shared" ca="1" si="121"/>
        <v>283.01517659516134</v>
      </c>
      <c r="AG287" s="306">
        <f t="shared" ca="1" si="143"/>
        <v>31.571140306371035</v>
      </c>
      <c r="AH287" s="304">
        <f t="shared" ca="1" si="144"/>
        <v>41.316564688059124</v>
      </c>
    </row>
    <row r="288" spans="1:34" x14ac:dyDescent="0.2">
      <c r="A288" s="347">
        <f t="shared" ca="1" si="122"/>
        <v>0.01</v>
      </c>
      <c r="B288" s="304">
        <f t="shared" ca="1" si="123"/>
        <v>2.8399999999999834</v>
      </c>
      <c r="D288" s="306">
        <f t="shared" ca="1" si="124"/>
        <v>4.7022675067649535</v>
      </c>
      <c r="E288" s="307">
        <f t="shared" ca="1" si="125"/>
        <v>30.946567906832804</v>
      </c>
      <c r="F288" s="304">
        <f t="shared" ca="1" si="126"/>
        <v>31.301779261208004</v>
      </c>
      <c r="G288" s="306">
        <f t="shared" ca="1" si="127"/>
        <v>20.305095292820074</v>
      </c>
      <c r="H288" s="307">
        <f t="shared" ca="1" si="128"/>
        <v>175.89486381287276</v>
      </c>
      <c r="I288" s="304">
        <f t="shared" ca="1" si="129"/>
        <v>177.06298317434832</v>
      </c>
      <c r="J288" s="306">
        <f t="shared" ca="1" si="130"/>
        <v>30.62010147058362</v>
      </c>
      <c r="K288" s="307">
        <f t="shared" ca="1" si="131"/>
        <v>284.77257790489472</v>
      </c>
      <c r="L288" s="304">
        <f t="shared" ca="1" si="116"/>
        <v>286.41405646488124</v>
      </c>
      <c r="M288" s="306">
        <f t="shared" ca="1" si="132"/>
        <v>1.45586623055953</v>
      </c>
      <c r="N288" s="304">
        <f t="shared" ca="1" si="133"/>
        <v>83.414990546681111</v>
      </c>
      <c r="P288" s="310">
        <f t="shared" ca="1" si="134"/>
        <v>7</v>
      </c>
      <c r="Q288" s="304">
        <f t="shared" ca="1" si="135"/>
        <v>444.57446808510974</v>
      </c>
      <c r="R288" s="306">
        <f t="shared" ca="1" si="136"/>
        <v>0.22311121204249884</v>
      </c>
      <c r="S288" s="307">
        <f t="shared" ca="1" si="137"/>
        <v>8.0659240000789705</v>
      </c>
      <c r="T288" s="304">
        <f t="shared" ca="1" si="117"/>
        <v>79.126714440774705</v>
      </c>
      <c r="U288" s="311">
        <f t="shared" ca="1" si="118"/>
        <v>0</v>
      </c>
      <c r="V288" s="306">
        <f t="shared" ca="1" si="119"/>
        <v>1.1906050954878857</v>
      </c>
      <c r="W288" s="304">
        <f t="shared" ca="1" si="120"/>
        <v>114.03695785474773</v>
      </c>
      <c r="Y288" s="314" t="str">
        <f t="shared" ca="1" si="138"/>
        <v/>
      </c>
      <c r="Z288" s="315" t="str">
        <f t="shared" ca="1" si="139"/>
        <v/>
      </c>
      <c r="AA288" s="316" t="str">
        <f t="shared" ca="1" si="140"/>
        <v/>
      </c>
      <c r="AC288" s="310" t="e">
        <f t="shared" ca="1" si="141"/>
        <v>#N/A</v>
      </c>
      <c r="AD288" s="323" t="e">
        <f t="shared" ca="1" si="142"/>
        <v>#N/A</v>
      </c>
      <c r="AE288" s="324">
        <f t="shared" ca="1" si="121"/>
        <v>284.77257790489472</v>
      </c>
      <c r="AG288" s="306">
        <f t="shared" ca="1" si="143"/>
        <v>31.281579058302341</v>
      </c>
      <c r="AH288" s="304">
        <f t="shared" ca="1" si="144"/>
        <v>41.026931974612133</v>
      </c>
    </row>
    <row r="289" spans="1:34" x14ac:dyDescent="0.2">
      <c r="A289" s="347">
        <f t="shared" ca="1" si="122"/>
        <v>0.01</v>
      </c>
      <c r="B289" s="304">
        <f t="shared" ca="1" si="123"/>
        <v>2.8499999999999832</v>
      </c>
      <c r="D289" s="306">
        <f t="shared" ca="1" si="124"/>
        <v>4.6716621850259497</v>
      </c>
      <c r="E289" s="307">
        <f t="shared" ca="1" si="125"/>
        <v>30.65872826572987</v>
      </c>
      <c r="F289" s="304">
        <f t="shared" ca="1" si="126"/>
        <v>31.012611087150741</v>
      </c>
      <c r="G289" s="306">
        <f t="shared" ca="1" si="127"/>
        <v>20.351811914670332</v>
      </c>
      <c r="H289" s="307">
        <f t="shared" ca="1" si="128"/>
        <v>176.20145109553005</v>
      </c>
      <c r="I289" s="304">
        <f t="shared" ca="1" si="129"/>
        <v>177.37290553063787</v>
      </c>
      <c r="J289" s="306">
        <f t="shared" ca="1" si="130"/>
        <v>30.823386006621071</v>
      </c>
      <c r="K289" s="307">
        <f t="shared" ca="1" si="131"/>
        <v>286.53305947943676</v>
      </c>
      <c r="L289" s="304">
        <f t="shared" ca="1" si="116"/>
        <v>288.18618165963409</v>
      </c>
      <c r="M289" s="306">
        <f t="shared" ca="1" si="132"/>
        <v>1.4558028057776327</v>
      </c>
      <c r="N289" s="304">
        <f t="shared" ca="1" si="133"/>
        <v>83.411356574361847</v>
      </c>
      <c r="P289" s="310">
        <f t="shared" ca="1" si="134"/>
        <v>7</v>
      </c>
      <c r="Q289" s="304">
        <f t="shared" ca="1" si="135"/>
        <v>442.53191489362047</v>
      </c>
      <c r="R289" s="306">
        <f t="shared" ca="1" si="136"/>
        <v>0.22208614976175803</v>
      </c>
      <c r="S289" s="307">
        <f t="shared" ca="1" si="137"/>
        <v>8.0637031385813529</v>
      </c>
      <c r="T289" s="304">
        <f t="shared" ca="1" si="117"/>
        <v>79.104927789483071</v>
      </c>
      <c r="U289" s="311">
        <f t="shared" ca="1" si="118"/>
        <v>0</v>
      </c>
      <c r="V289" s="306">
        <f t="shared" ca="1" si="119"/>
        <v>1.1903954673444517</v>
      </c>
      <c r="W289" s="304">
        <f t="shared" ca="1" si="120"/>
        <v>114.41636794772565</v>
      </c>
      <c r="Y289" s="314" t="str">
        <f t="shared" ca="1" si="138"/>
        <v/>
      </c>
      <c r="Z289" s="315" t="str">
        <f t="shared" ca="1" si="139"/>
        <v/>
      </c>
      <c r="AA289" s="316" t="str">
        <f t="shared" ca="1" si="140"/>
        <v/>
      </c>
      <c r="AC289" s="310" t="e">
        <f t="shared" ca="1" si="141"/>
        <v>#N/A</v>
      </c>
      <c r="AD289" s="323" t="e">
        <f t="shared" ca="1" si="142"/>
        <v>#N/A</v>
      </c>
      <c r="AE289" s="324">
        <f t="shared" ca="1" si="121"/>
        <v>286.53305947943676</v>
      </c>
      <c r="AG289" s="306">
        <f t="shared" ca="1" si="143"/>
        <v>30.992199953029175</v>
      </c>
      <c r="AH289" s="304">
        <f t="shared" ca="1" si="144"/>
        <v>40.737481451563561</v>
      </c>
    </row>
    <row r="290" spans="1:34" x14ac:dyDescent="0.2">
      <c r="A290" s="347">
        <f t="shared" ca="1" si="122"/>
        <v>0.01</v>
      </c>
      <c r="B290" s="304">
        <f t="shared" ca="1" si="123"/>
        <v>2.859999999999983</v>
      </c>
      <c r="D290" s="306">
        <f t="shared" ca="1" si="124"/>
        <v>4.6410385436165251</v>
      </c>
      <c r="E290" s="307">
        <f t="shared" ca="1" si="125"/>
        <v>30.371077213378122</v>
      </c>
      <c r="F290" s="304">
        <f t="shared" ca="1" si="126"/>
        <v>30.723632107293401</v>
      </c>
      <c r="G290" s="306">
        <f t="shared" ca="1" si="127"/>
        <v>20.398222300106497</v>
      </c>
      <c r="H290" s="307">
        <f t="shared" ca="1" si="128"/>
        <v>176.50516186766382</v>
      </c>
      <c r="I290" s="304">
        <f t="shared" ca="1" si="129"/>
        <v>177.67993594926457</v>
      </c>
      <c r="J290" s="306">
        <f t="shared" ca="1" si="130"/>
        <v>31.027136177694956</v>
      </c>
      <c r="K290" s="307">
        <f t="shared" ca="1" si="131"/>
        <v>288.29659254425275</v>
      </c>
      <c r="L290" s="304">
        <f t="shared" ca="1" si="116"/>
        <v>289.96139131273344</v>
      </c>
      <c r="M290" s="306">
        <f t="shared" ca="1" si="132"/>
        <v>1.4557394558068633</v>
      </c>
      <c r="N290" s="304">
        <f t="shared" ca="1" si="133"/>
        <v>83.407726888404483</v>
      </c>
      <c r="P290" s="310">
        <f t="shared" ca="1" si="134"/>
        <v>7</v>
      </c>
      <c r="Q290" s="304">
        <f t="shared" ca="1" si="135"/>
        <v>440.48936170213113</v>
      </c>
      <c r="R290" s="306">
        <f t="shared" ca="1" si="136"/>
        <v>0.22106108748101722</v>
      </c>
      <c r="S290" s="307">
        <f t="shared" ca="1" si="137"/>
        <v>8.0614925277065428</v>
      </c>
      <c r="T290" s="304">
        <f t="shared" ca="1" si="117"/>
        <v>79.083241696801196</v>
      </c>
      <c r="U290" s="311">
        <f t="shared" ca="1" si="118"/>
        <v>0</v>
      </c>
      <c r="V290" s="306">
        <f t="shared" ca="1" si="119"/>
        <v>1.1901855123217697</v>
      </c>
      <c r="W290" s="304">
        <f t="shared" ca="1" si="120"/>
        <v>114.79256754072793</v>
      </c>
      <c r="Y290" s="314" t="str">
        <f t="shared" ca="1" si="138"/>
        <v/>
      </c>
      <c r="Z290" s="315" t="str">
        <f t="shared" ca="1" si="139"/>
        <v/>
      </c>
      <c r="AA290" s="316" t="str">
        <f t="shared" ca="1" si="140"/>
        <v/>
      </c>
      <c r="AC290" s="310" t="e">
        <f t="shared" ca="1" si="141"/>
        <v>#N/A</v>
      </c>
      <c r="AD290" s="323" t="e">
        <f t="shared" ca="1" si="142"/>
        <v>#N/A</v>
      </c>
      <c r="AE290" s="324">
        <f t="shared" ca="1" si="121"/>
        <v>288.29659254425275</v>
      </c>
      <c r="AG290" s="306">
        <f t="shared" ca="1" si="143"/>
        <v>30.703006209250805</v>
      </c>
      <c r="AH290" s="304">
        <f t="shared" ca="1" si="144"/>
        <v>40.448216336332912</v>
      </c>
    </row>
    <row r="291" spans="1:34" x14ac:dyDescent="0.2">
      <c r="A291" s="347">
        <f t="shared" ca="1" si="122"/>
        <v>0.01</v>
      </c>
      <c r="B291" s="304">
        <f t="shared" ca="1" si="123"/>
        <v>2.8699999999999828</v>
      </c>
      <c r="D291" s="306">
        <f t="shared" ca="1" si="124"/>
        <v>4.6103970995323387</v>
      </c>
      <c r="E291" s="307">
        <f t="shared" ca="1" si="125"/>
        <v>30.08361790232648</v>
      </c>
      <c r="F291" s="304">
        <f t="shared" ca="1" si="126"/>
        <v>30.434845613351722</v>
      </c>
      <c r="G291" s="306">
        <f t="shared" ca="1" si="127"/>
        <v>20.444326271101819</v>
      </c>
      <c r="H291" s="307">
        <f t="shared" ca="1" si="128"/>
        <v>176.80599804668708</v>
      </c>
      <c r="I291" s="304">
        <f t="shared" ca="1" si="129"/>
        <v>177.98407631573218</v>
      </c>
      <c r="J291" s="306">
        <f t="shared" ca="1" si="130"/>
        <v>31.231348920550996</v>
      </c>
      <c r="K291" s="307">
        <f t="shared" ca="1" si="131"/>
        <v>290.06314834382448</v>
      </c>
      <c r="L291" s="304">
        <f t="shared" ca="1" si="116"/>
        <v>291.7396565133522</v>
      </c>
      <c r="M291" s="306">
        <f t="shared" ca="1" si="132"/>
        <v>1.4556761794028894</v>
      </c>
      <c r="N291" s="304">
        <f t="shared" ca="1" si="133"/>
        <v>83.404101417514013</v>
      </c>
      <c r="P291" s="310">
        <f t="shared" ca="1" si="134"/>
        <v>7</v>
      </c>
      <c r="Q291" s="304">
        <f t="shared" ca="1" si="135"/>
        <v>438.44680851064186</v>
      </c>
      <c r="R291" s="306">
        <f t="shared" ca="1" si="136"/>
        <v>0.22003602520027643</v>
      </c>
      <c r="S291" s="307">
        <f t="shared" ca="1" si="137"/>
        <v>8.0592921674545401</v>
      </c>
      <c r="T291" s="304">
        <f t="shared" ca="1" si="117"/>
        <v>79.061656162729037</v>
      </c>
      <c r="U291" s="311">
        <f t="shared" ca="1" si="118"/>
        <v>0</v>
      </c>
      <c r="V291" s="306">
        <f t="shared" ca="1" si="119"/>
        <v>1.1899752340223559</v>
      </c>
      <c r="W291" s="304">
        <f t="shared" ca="1" si="120"/>
        <v>115.16554133589688</v>
      </c>
      <c r="Y291" s="314" t="str">
        <f t="shared" ca="1" si="138"/>
        <v/>
      </c>
      <c r="Z291" s="315" t="str">
        <f t="shared" ca="1" si="139"/>
        <v/>
      </c>
      <c r="AA291" s="316" t="str">
        <f t="shared" ca="1" si="140"/>
        <v/>
      </c>
      <c r="AC291" s="310" t="e">
        <f t="shared" ca="1" si="141"/>
        <v>#N/A</v>
      </c>
      <c r="AD291" s="323" t="e">
        <f t="shared" ca="1" si="142"/>
        <v>#N/A</v>
      </c>
      <c r="AE291" s="324">
        <f t="shared" ca="1" si="121"/>
        <v>290.06314834382448</v>
      </c>
      <c r="AG291" s="306">
        <f t="shared" ca="1" si="143"/>
        <v>30.414001015208488</v>
      </c>
      <c r="AH291" s="304">
        <f t="shared" ca="1" si="144"/>
        <v>40.159139815889986</v>
      </c>
    </row>
    <row r="292" spans="1:34" x14ac:dyDescent="0.2">
      <c r="A292" s="347">
        <f t="shared" ca="1" si="122"/>
        <v>0.01</v>
      </c>
      <c r="B292" s="304">
        <f t="shared" ca="1" si="123"/>
        <v>2.8799999999999826</v>
      </c>
      <c r="D292" s="306">
        <f t="shared" ca="1" si="124"/>
        <v>4.5797383651444985</v>
      </c>
      <c r="E292" s="307">
        <f t="shared" ca="1" si="125"/>
        <v>29.796353454974358</v>
      </c>
      <c r="F292" s="304">
        <f t="shared" ca="1" si="126"/>
        <v>30.146254870330722</v>
      </c>
      <c r="G292" s="306">
        <f t="shared" ca="1" si="127"/>
        <v>20.490123654753262</v>
      </c>
      <c r="H292" s="307">
        <f t="shared" ca="1" si="128"/>
        <v>177.10396158123683</v>
      </c>
      <c r="I292" s="304">
        <f t="shared" ca="1" si="129"/>
        <v>178.28532854712216</v>
      </c>
      <c r="J292" s="306">
        <f t="shared" ca="1" si="130"/>
        <v>31.436021170180272</v>
      </c>
      <c r="K292" s="307">
        <f t="shared" ca="1" si="131"/>
        <v>291.8326981419641</v>
      </c>
      <c r="L292" s="304">
        <f t="shared" ca="1" si="116"/>
        <v>293.52094836967046</v>
      </c>
      <c r="M292" s="306">
        <f t="shared" ca="1" si="132"/>
        <v>1.4556129753313232</v>
      </c>
      <c r="N292" s="304">
        <f t="shared" ca="1" si="133"/>
        <v>83.400480090965232</v>
      </c>
      <c r="P292" s="310">
        <f t="shared" ca="1" si="134"/>
        <v>7</v>
      </c>
      <c r="Q292" s="304">
        <f t="shared" ca="1" si="135"/>
        <v>436.40425531915253</v>
      </c>
      <c r="R292" s="306">
        <f t="shared" ca="1" si="136"/>
        <v>0.21901096291953562</v>
      </c>
      <c r="S292" s="307">
        <f t="shared" ca="1" si="137"/>
        <v>8.0571020578253449</v>
      </c>
      <c r="T292" s="304">
        <f t="shared" ca="1" si="117"/>
        <v>79.040171187266637</v>
      </c>
      <c r="U292" s="311">
        <f t="shared" ca="1" si="118"/>
        <v>0</v>
      </c>
      <c r="V292" s="306">
        <f t="shared" ca="1" si="119"/>
        <v>1.1897646360442704</v>
      </c>
      <c r="W292" s="304">
        <f t="shared" ca="1" si="120"/>
        <v>115.53527429649642</v>
      </c>
      <c r="Y292" s="314" t="str">
        <f t="shared" ca="1" si="138"/>
        <v/>
      </c>
      <c r="Z292" s="315" t="str">
        <f t="shared" ca="1" si="139"/>
        <v/>
      </c>
      <c r="AA292" s="316" t="str">
        <f t="shared" ca="1" si="140"/>
        <v/>
      </c>
      <c r="AC292" s="310" t="e">
        <f t="shared" ca="1" si="141"/>
        <v>#N/A</v>
      </c>
      <c r="AD292" s="323" t="e">
        <f t="shared" ca="1" si="142"/>
        <v>#N/A</v>
      </c>
      <c r="AE292" s="324">
        <f t="shared" ca="1" si="121"/>
        <v>291.8326981419641</v>
      </c>
      <c r="AG292" s="306">
        <f t="shared" ca="1" si="143"/>
        <v>30.125187528688805</v>
      </c>
      <c r="AH292" s="304">
        <f t="shared" ca="1" si="144"/>
        <v>39.870255046758054</v>
      </c>
    </row>
    <row r="293" spans="1:34" x14ac:dyDescent="0.2">
      <c r="A293" s="347">
        <f t="shared" ca="1" si="122"/>
        <v>0.01</v>
      </c>
      <c r="B293" s="304">
        <f t="shared" ca="1" si="123"/>
        <v>2.8899999999999824</v>
      </c>
      <c r="D293" s="306">
        <f t="shared" ca="1" si="124"/>
        <v>4.5490628482122348</v>
      </c>
      <c r="E293" s="307">
        <f t="shared" ca="1" si="125"/>
        <v>29.509286963576557</v>
      </c>
      <c r="F293" s="304">
        <f t="shared" ca="1" si="126"/>
        <v>29.857863116701672</v>
      </c>
      <c r="G293" s="306">
        <f t="shared" ca="1" si="127"/>
        <v>20.535614283235383</v>
      </c>
      <c r="H293" s="307">
        <f t="shared" ca="1" si="128"/>
        <v>177.3990544508726</v>
      </c>
      <c r="I293" s="304">
        <f t="shared" ca="1" si="129"/>
        <v>178.58369459178931</v>
      </c>
      <c r="J293" s="306">
        <f t="shared" ca="1" si="130"/>
        <v>31.641149859870215</v>
      </c>
      <c r="K293" s="307">
        <f t="shared" ca="1" si="131"/>
        <v>293.60521322212463</v>
      </c>
      <c r="L293" s="304">
        <f t="shared" ca="1" si="116"/>
        <v>295.30523800918945</v>
      </c>
      <c r="M293" s="306">
        <f t="shared" ca="1" si="132"/>
        <v>1.4555498423675473</v>
      </c>
      <c r="N293" s="304">
        <f t="shared" ca="1" si="133"/>
        <v>83.396862838592725</v>
      </c>
      <c r="P293" s="310">
        <f t="shared" ca="1" si="134"/>
        <v>7</v>
      </c>
      <c r="Q293" s="304">
        <f t="shared" ca="1" si="135"/>
        <v>434.36170212766319</v>
      </c>
      <c r="R293" s="306">
        <f t="shared" ca="1" si="136"/>
        <v>0.21798590063879481</v>
      </c>
      <c r="S293" s="307">
        <f t="shared" ca="1" si="137"/>
        <v>8.0549221988189572</v>
      </c>
      <c r="T293" s="304">
        <f t="shared" ca="1" si="117"/>
        <v>79.018786770413968</v>
      </c>
      <c r="U293" s="311">
        <f t="shared" ca="1" si="118"/>
        <v>0</v>
      </c>
      <c r="V293" s="306">
        <f t="shared" ca="1" si="119"/>
        <v>1.1895537219810739</v>
      </c>
      <c r="W293" s="304">
        <f t="shared" ca="1" si="120"/>
        <v>115.90175164619217</v>
      </c>
      <c r="Y293" s="314" t="str">
        <f t="shared" ca="1" si="138"/>
        <v/>
      </c>
      <c r="Z293" s="315" t="str">
        <f t="shared" ca="1" si="139"/>
        <v/>
      </c>
      <c r="AA293" s="316" t="str">
        <f t="shared" ca="1" si="140"/>
        <v/>
      </c>
      <c r="AC293" s="310" t="e">
        <f t="shared" ca="1" si="141"/>
        <v>#N/A</v>
      </c>
      <c r="AD293" s="323" t="e">
        <f t="shared" ca="1" si="142"/>
        <v>#N/A</v>
      </c>
      <c r="AE293" s="324">
        <f t="shared" ca="1" si="121"/>
        <v>293.60521322212463</v>
      </c>
      <c r="AG293" s="306">
        <f t="shared" ca="1" si="143"/>
        <v>29.836568877029642</v>
      </c>
      <c r="AH293" s="304">
        <f t="shared" ca="1" si="144"/>
        <v>39.581565155019661</v>
      </c>
    </row>
    <row r="294" spans="1:34" x14ac:dyDescent="0.2">
      <c r="A294" s="347">
        <f t="shared" ca="1" si="122"/>
        <v>0.01</v>
      </c>
      <c r="B294" s="304">
        <f t="shared" ca="1" si="123"/>
        <v>2.8999999999999821</v>
      </c>
      <c r="D294" s="306">
        <f t="shared" ca="1" si="124"/>
        <v>4.5183710518954916</v>
      </c>
      <c r="E294" s="307">
        <f t="shared" ca="1" si="125"/>
        <v>29.222421490250625</v>
      </c>
      <c r="F294" s="304">
        <f t="shared" ca="1" si="126"/>
        <v>29.56967356459095</v>
      </c>
      <c r="G294" s="306">
        <f t="shared" ca="1" si="127"/>
        <v>20.580797993754338</v>
      </c>
      <c r="H294" s="307">
        <f t="shared" ca="1" si="128"/>
        <v>177.69127866577512</v>
      </c>
      <c r="I294" s="304">
        <f t="shared" ca="1" si="129"/>
        <v>178.87917642905748</v>
      </c>
      <c r="J294" s="306">
        <f t="shared" ca="1" si="130"/>
        <v>31.846731921255163</v>
      </c>
      <c r="K294" s="307">
        <f t="shared" ca="1" si="131"/>
        <v>295.38066488770789</v>
      </c>
      <c r="L294" s="304">
        <f t="shared" ca="1" si="116"/>
        <v>297.09249657904303</v>
      </c>
      <c r="M294" s="306">
        <f t="shared" ca="1" si="132"/>
        <v>1.4554867792965442</v>
      </c>
      <c r="N294" s="304">
        <f t="shared" ca="1" si="133"/>
        <v>83.39324959078111</v>
      </c>
      <c r="P294" s="310">
        <f t="shared" ca="1" si="134"/>
        <v>7</v>
      </c>
      <c r="Q294" s="304">
        <f t="shared" ca="1" si="135"/>
        <v>432.31914893617386</v>
      </c>
      <c r="R294" s="306">
        <f t="shared" ca="1" si="136"/>
        <v>0.21696083835805396</v>
      </c>
      <c r="S294" s="307">
        <f t="shared" ca="1" si="137"/>
        <v>8.0527525904353769</v>
      </c>
      <c r="T294" s="304">
        <f t="shared" ca="1" si="117"/>
        <v>78.997502912171058</v>
      </c>
      <c r="U294" s="311">
        <f t="shared" ca="1" si="118"/>
        <v>0</v>
      </c>
      <c r="V294" s="306">
        <f t="shared" ca="1" si="119"/>
        <v>1.1893424954217835</v>
      </c>
      <c r="W294" s="304">
        <f t="shared" ca="1" si="120"/>
        <v>116.26495886831702</v>
      </c>
      <c r="Y294" s="314" t="str">
        <f t="shared" ca="1" si="138"/>
        <v/>
      </c>
      <c r="Z294" s="315" t="str">
        <f t="shared" ca="1" si="139"/>
        <v/>
      </c>
      <c r="AA294" s="316" t="str">
        <f t="shared" ca="1" si="140"/>
        <v/>
      </c>
      <c r="AC294" s="310" t="e">
        <f t="shared" ca="1" si="141"/>
        <v>#N/A</v>
      </c>
      <c r="AD294" s="323" t="e">
        <f t="shared" ca="1" si="142"/>
        <v>#N/A</v>
      </c>
      <c r="AE294" s="324">
        <f t="shared" ca="1" si="121"/>
        <v>295.38066488770789</v>
      </c>
      <c r="AG294" s="306">
        <f t="shared" ca="1" si="143"/>
        <v>29.548148157128523</v>
      </c>
      <c r="AH294" s="304">
        <f t="shared" ca="1" si="144"/>
        <v>39.293073236324823</v>
      </c>
    </row>
    <row r="295" spans="1:34" x14ac:dyDescent="0.2">
      <c r="A295" s="347">
        <f t="shared" ca="1" si="122"/>
        <v>0.01</v>
      </c>
      <c r="B295" s="304">
        <f t="shared" ca="1" si="123"/>
        <v>2.9099999999999819</v>
      </c>
      <c r="D295" s="306">
        <f t="shared" ca="1" si="124"/>
        <v>4.4876634747674586</v>
      </c>
      <c r="E295" s="307">
        <f t="shared" ca="1" si="125"/>
        <v>28.935760066986596</v>
      </c>
      <c r="F295" s="304">
        <f t="shared" ca="1" si="126"/>
        <v>29.281689399981314</v>
      </c>
      <c r="G295" s="306">
        <f t="shared" ca="1" si="127"/>
        <v>20.625674628502011</v>
      </c>
      <c r="H295" s="307">
        <f t="shared" ca="1" si="128"/>
        <v>177.98063626644498</v>
      </c>
      <c r="I295" s="304">
        <f t="shared" ca="1" si="129"/>
        <v>179.17177606891499</v>
      </c>
      <c r="J295" s="306">
        <f t="shared" ca="1" si="130"/>
        <v>32.052764284366447</v>
      </c>
      <c r="K295" s="307">
        <f t="shared" ca="1" si="131"/>
        <v>297.15902446236902</v>
      </c>
      <c r="L295" s="304">
        <f t="shared" ca="1" si="116"/>
        <v>298.88269524630562</v>
      </c>
      <c r="M295" s="306">
        <f t="shared" ca="1" si="132"/>
        <v>1.4554237849127283</v>
      </c>
      <c r="N295" s="304">
        <f t="shared" ca="1" si="133"/>
        <v>83.389640278455431</v>
      </c>
      <c r="P295" s="310">
        <f t="shared" ca="1" si="134"/>
        <v>7</v>
      </c>
      <c r="Q295" s="304">
        <f t="shared" ca="1" si="135"/>
        <v>430.27659574468453</v>
      </c>
      <c r="R295" s="306">
        <f t="shared" ca="1" si="136"/>
        <v>0.21593577607731315</v>
      </c>
      <c r="S295" s="307">
        <f t="shared" ca="1" si="137"/>
        <v>8.0505932326746041</v>
      </c>
      <c r="T295" s="304">
        <f t="shared" ca="1" si="117"/>
        <v>78.976319612537864</v>
      </c>
      <c r="U295" s="311">
        <f t="shared" ca="1" si="118"/>
        <v>0</v>
      </c>
      <c r="V295" s="306">
        <f t="shared" ca="1" si="119"/>
        <v>1.1891309599508306</v>
      </c>
      <c r="W295" s="304">
        <f t="shared" ca="1" si="120"/>
        <v>116.62488170512133</v>
      </c>
      <c r="Y295" s="314" t="str">
        <f t="shared" ca="1" si="138"/>
        <v/>
      </c>
      <c r="Z295" s="315" t="str">
        <f t="shared" ca="1" si="139"/>
        <v/>
      </c>
      <c r="AA295" s="316" t="str">
        <f t="shared" ca="1" si="140"/>
        <v/>
      </c>
      <c r="AC295" s="310" t="e">
        <f t="shared" ca="1" si="141"/>
        <v>#N/A</v>
      </c>
      <c r="AD295" s="323" t="e">
        <f t="shared" ca="1" si="142"/>
        <v>#N/A</v>
      </c>
      <c r="AE295" s="324">
        <f t="shared" ca="1" si="121"/>
        <v>297.15902446236902</v>
      </c>
      <c r="AG295" s="306">
        <f t="shared" ca="1" si="143"/>
        <v>29.259928435453389</v>
      </c>
      <c r="AH295" s="304">
        <f t="shared" ca="1" si="144"/>
        <v>39.004782355901632</v>
      </c>
    </row>
    <row r="296" spans="1:34" x14ac:dyDescent="0.2">
      <c r="A296" s="347">
        <f t="shared" ca="1" si="122"/>
        <v>0.01</v>
      </c>
      <c r="B296" s="304">
        <f t="shared" ca="1" si="123"/>
        <v>2.9199999999999817</v>
      </c>
      <c r="D296" s="306">
        <f t="shared" ca="1" si="124"/>
        <v>4.4569406108270915</v>
      </c>
      <c r="E296" s="307">
        <f t="shared" ca="1" si="125"/>
        <v>28.649305695659329</v>
      </c>
      <c r="F296" s="304">
        <f t="shared" ca="1" si="126"/>
        <v>28.993913782926544</v>
      </c>
      <c r="G296" s="306">
        <f t="shared" ca="1" si="127"/>
        <v>20.670244034610281</v>
      </c>
      <c r="H296" s="307">
        <f t="shared" ca="1" si="128"/>
        <v>178.26712932340158</v>
      </c>
      <c r="I296" s="304">
        <f t="shared" ca="1" si="129"/>
        <v>179.46149555171081</v>
      </c>
      <c r="J296" s="306">
        <f t="shared" ca="1" si="130"/>
        <v>32.25924387768201</v>
      </c>
      <c r="K296" s="307">
        <f t="shared" ca="1" si="131"/>
        <v>298.94026329031823</v>
      </c>
      <c r="L296" s="304">
        <f t="shared" ca="1" si="116"/>
        <v>300.6758051982975</v>
      </c>
      <c r="M296" s="306">
        <f t="shared" ca="1" si="132"/>
        <v>1.4553608580197799</v>
      </c>
      <c r="N296" s="304">
        <f t="shared" ca="1" si="133"/>
        <v>83.386034833071619</v>
      </c>
      <c r="P296" s="310">
        <f t="shared" ca="1" si="134"/>
        <v>7</v>
      </c>
      <c r="Q296" s="304">
        <f t="shared" ca="1" si="135"/>
        <v>428.23404255319525</v>
      </c>
      <c r="R296" s="306">
        <f t="shared" ca="1" si="136"/>
        <v>0.21491071379657237</v>
      </c>
      <c r="S296" s="307">
        <f t="shared" ca="1" si="137"/>
        <v>8.0484441255366388</v>
      </c>
      <c r="T296" s="304">
        <f t="shared" ca="1" si="117"/>
        <v>78.95523687151443</v>
      </c>
      <c r="U296" s="311">
        <f t="shared" ca="1" si="118"/>
        <v>0</v>
      </c>
      <c r="V296" s="306">
        <f t="shared" ca="1" si="119"/>
        <v>1.188919119148018</v>
      </c>
      <c r="W296" s="304">
        <f t="shared" ca="1" si="120"/>
        <v>116.98150615700978</v>
      </c>
      <c r="Y296" s="314" t="str">
        <f t="shared" ca="1" si="138"/>
        <v/>
      </c>
      <c r="Z296" s="315" t="str">
        <f t="shared" ca="1" si="139"/>
        <v/>
      </c>
      <c r="AA296" s="316" t="str">
        <f t="shared" ca="1" si="140"/>
        <v/>
      </c>
      <c r="AC296" s="310" t="e">
        <f t="shared" ca="1" si="141"/>
        <v>#N/A</v>
      </c>
      <c r="AD296" s="323" t="e">
        <f t="shared" ca="1" si="142"/>
        <v>#N/A</v>
      </c>
      <c r="AE296" s="324">
        <f t="shared" ca="1" si="121"/>
        <v>298.94026329031823</v>
      </c>
      <c r="AG296" s="306">
        <f t="shared" ca="1" si="143"/>
        <v>28.971912748055871</v>
      </c>
      <c r="AH296" s="304">
        <f t="shared" ca="1" si="144"/>
        <v>38.716695548569405</v>
      </c>
    </row>
    <row r="297" spans="1:34" x14ac:dyDescent="0.2">
      <c r="A297" s="347">
        <f t="shared" ca="1" si="122"/>
        <v>0.01</v>
      </c>
      <c r="B297" s="304">
        <f t="shared" ca="1" si="123"/>
        <v>2.9299999999999815</v>
      </c>
      <c r="D297" s="306">
        <f t="shared" ca="1" si="124"/>
        <v>4.4262029495115502</v>
      </c>
      <c r="E297" s="307">
        <f t="shared" ca="1" si="125"/>
        <v>28.363061348042955</v>
      </c>
      <c r="F297" s="304">
        <f t="shared" ca="1" si="126"/>
        <v>28.706349847779549</v>
      </c>
      <c r="G297" s="306">
        <f t="shared" ca="1" si="127"/>
        <v>20.714506064105397</v>
      </c>
      <c r="H297" s="307">
        <f t="shared" ca="1" si="128"/>
        <v>178.550759936882</v>
      </c>
      <c r="I297" s="304">
        <f t="shared" ca="1" si="129"/>
        <v>179.74833694785031</v>
      </c>
      <c r="J297" s="306">
        <f t="shared" ca="1" si="130"/>
        <v>32.46616762817559</v>
      </c>
      <c r="K297" s="307">
        <f t="shared" ca="1" si="131"/>
        <v>300.72435273661966</v>
      </c>
      <c r="L297" s="304">
        <f t="shared" ca="1" si="116"/>
        <v>302.47179764288711</v>
      </c>
      <c r="M297" s="306">
        <f t="shared" ca="1" si="132"/>
        <v>1.4552979974304834</v>
      </c>
      <c r="N297" s="304">
        <f t="shared" ca="1" si="133"/>
        <v>83.382433186607216</v>
      </c>
      <c r="P297" s="310">
        <f t="shared" ca="1" si="134"/>
        <v>7</v>
      </c>
      <c r="Q297" s="304">
        <f t="shared" ca="1" si="135"/>
        <v>426.19148936170592</v>
      </c>
      <c r="R297" s="306">
        <f t="shared" ca="1" si="136"/>
        <v>0.21388565151583155</v>
      </c>
      <c r="S297" s="307">
        <f t="shared" ca="1" si="137"/>
        <v>8.0463052690214809</v>
      </c>
      <c r="T297" s="304">
        <f t="shared" ca="1" si="117"/>
        <v>78.934254689100726</v>
      </c>
      <c r="U297" s="311">
        <f t="shared" ca="1" si="118"/>
        <v>0</v>
      </c>
      <c r="V297" s="306">
        <f t="shared" ca="1" si="119"/>
        <v>1.1887069765884786</v>
      </c>
      <c r="W297" s="304">
        <f t="shared" ca="1" si="120"/>
        <v>117.33481848176322</v>
      </c>
      <c r="Y297" s="314" t="str">
        <f t="shared" ca="1" si="138"/>
        <v/>
      </c>
      <c r="Z297" s="315" t="str">
        <f t="shared" ca="1" si="139"/>
        <v/>
      </c>
      <c r="AA297" s="316" t="str">
        <f t="shared" ca="1" si="140"/>
        <v/>
      </c>
      <c r="AC297" s="310" t="e">
        <f t="shared" ca="1" si="141"/>
        <v>#N/A</v>
      </c>
      <c r="AD297" s="323" t="e">
        <f t="shared" ca="1" si="142"/>
        <v>#N/A</v>
      </c>
      <c r="AE297" s="324">
        <f t="shared" ca="1" si="121"/>
        <v>300.72435273661966</v>
      </c>
      <c r="AG297" s="306">
        <f t="shared" ca="1" si="143"/>
        <v>28.684104100586762</v>
      </c>
      <c r="AH297" s="304">
        <f t="shared" ca="1" si="144"/>
        <v>38.428815818753975</v>
      </c>
    </row>
    <row r="298" spans="1:34" x14ac:dyDescent="0.2">
      <c r="A298" s="347">
        <f t="shared" ca="1" si="122"/>
        <v>0.01</v>
      </c>
      <c r="B298" s="304">
        <f t="shared" ca="1" si="123"/>
        <v>2.9399999999999813</v>
      </c>
      <c r="D298" s="306">
        <f t="shared" ca="1" si="124"/>
        <v>4.3954509757086422</v>
      </c>
      <c r="E298" s="307">
        <f t="shared" ca="1" si="125"/>
        <v>28.077029965828046</v>
      </c>
      <c r="F298" s="304">
        <f t="shared" ca="1" si="126"/>
        <v>28.419000703435444</v>
      </c>
      <c r="G298" s="306">
        <f t="shared" ca="1" si="127"/>
        <v>20.758460573862482</v>
      </c>
      <c r="H298" s="307">
        <f t="shared" ca="1" si="128"/>
        <v>178.83153023654029</v>
      </c>
      <c r="I298" s="304">
        <f t="shared" ca="1" si="129"/>
        <v>180.03230235749146</v>
      </c>
      <c r="J298" s="306">
        <f t="shared" ca="1" si="130"/>
        <v>32.673532461365433</v>
      </c>
      <c r="K298" s="307">
        <f t="shared" ca="1" si="131"/>
        <v>302.5112641874868</v>
      </c>
      <c r="L298" s="304">
        <f t="shared" ca="1" si="116"/>
        <v>304.27064380878966</v>
      </c>
      <c r="M298" s="306">
        <f t="shared" ca="1" si="132"/>
        <v>1.4552352019665669</v>
      </c>
      <c r="N298" s="304">
        <f t="shared" ca="1" si="133"/>
        <v>83.378835271552234</v>
      </c>
      <c r="P298" s="310">
        <f t="shared" ca="1" si="134"/>
        <v>7</v>
      </c>
      <c r="Q298" s="304">
        <f t="shared" ca="1" si="135"/>
        <v>424.14893617021659</v>
      </c>
      <c r="R298" s="306">
        <f t="shared" ca="1" si="136"/>
        <v>0.21286058923509071</v>
      </c>
      <c r="S298" s="307">
        <f t="shared" ca="1" si="137"/>
        <v>8.0441766631291305</v>
      </c>
      <c r="T298" s="304">
        <f t="shared" ca="1" si="117"/>
        <v>78.913373065296767</v>
      </c>
      <c r="U298" s="311">
        <f t="shared" ca="1" si="118"/>
        <v>0</v>
      </c>
      <c r="V298" s="306">
        <f t="shared" ca="1" si="119"/>
        <v>1.1884945358426326</v>
      </c>
      <c r="W298" s="304">
        <f t="shared" ca="1" si="120"/>
        <v>117.68480519374694</v>
      </c>
      <c r="Y298" s="314" t="str">
        <f t="shared" ca="1" si="138"/>
        <v/>
      </c>
      <c r="Z298" s="315" t="str">
        <f t="shared" ca="1" si="139"/>
        <v/>
      </c>
      <c r="AA298" s="316" t="str">
        <f t="shared" ca="1" si="140"/>
        <v/>
      </c>
      <c r="AC298" s="310" t="e">
        <f t="shared" ca="1" si="141"/>
        <v>#N/A</v>
      </c>
      <c r="AD298" s="323" t="e">
        <f t="shared" ca="1" si="142"/>
        <v>#N/A</v>
      </c>
      <c r="AE298" s="324">
        <f t="shared" ca="1" si="121"/>
        <v>302.5112641874868</v>
      </c>
      <c r="AG298" s="306">
        <f t="shared" ca="1" si="143"/>
        <v>28.396505468314125</v>
      </c>
      <c r="AH298" s="304">
        <f t="shared" ca="1" si="144"/>
        <v>38.141146140505668</v>
      </c>
    </row>
    <row r="299" spans="1:34" x14ac:dyDescent="0.2">
      <c r="A299" s="347">
        <f t="shared" ca="1" si="122"/>
        <v>0.01</v>
      </c>
      <c r="B299" s="304">
        <f t="shared" ca="1" si="123"/>
        <v>2.9499999999999811</v>
      </c>
      <c r="D299" s="306">
        <f t="shared" ca="1" si="124"/>
        <v>4.3646851697692099</v>
      </c>
      <c r="E299" s="307">
        <f t="shared" ca="1" si="125"/>
        <v>27.791214460640873</v>
      </c>
      <c r="F299" s="304">
        <f t="shared" ca="1" si="126"/>
        <v>28.131869433589685</v>
      </c>
      <c r="G299" s="306">
        <f t="shared" ca="1" si="127"/>
        <v>20.802107425560173</v>
      </c>
      <c r="H299" s="307">
        <f t="shared" ca="1" si="128"/>
        <v>179.10944238114669</v>
      </c>
      <c r="I299" s="304">
        <f t="shared" ca="1" si="129"/>
        <v>180.31339391024133</v>
      </c>
      <c r="J299" s="306">
        <f t="shared" ca="1" si="130"/>
        <v>32.881335301362547</v>
      </c>
      <c r="K299" s="307">
        <f t="shared" ca="1" si="131"/>
        <v>304.30096905057525</v>
      </c>
      <c r="L299" s="304">
        <f t="shared" ca="1" si="116"/>
        <v>306.07231494586341</v>
      </c>
      <c r="M299" s="306">
        <f t="shared" ca="1" si="132"/>
        <v>1.4551724704585451</v>
      </c>
      <c r="N299" s="304">
        <f t="shared" ca="1" si="133"/>
        <v>83.375241020900106</v>
      </c>
      <c r="P299" s="310">
        <f t="shared" ca="1" si="134"/>
        <v>7</v>
      </c>
      <c r="Q299" s="304">
        <f t="shared" ca="1" si="135"/>
        <v>422.10638297872731</v>
      </c>
      <c r="R299" s="306">
        <f t="shared" ca="1" si="136"/>
        <v>0.21183552695434993</v>
      </c>
      <c r="S299" s="307">
        <f t="shared" ca="1" si="137"/>
        <v>8.0420583078595875</v>
      </c>
      <c r="T299" s="304">
        <f t="shared" ca="1" si="117"/>
        <v>78.892592000102553</v>
      </c>
      <c r="U299" s="311">
        <f t="shared" ca="1" si="118"/>
        <v>0</v>
      </c>
      <c r="V299" s="306">
        <f t="shared" ca="1" si="119"/>
        <v>1.1882818004761497</v>
      </c>
      <c r="W299" s="304">
        <f t="shared" ca="1" si="120"/>
        <v>118.03145306310542</v>
      </c>
      <c r="Y299" s="314" t="str">
        <f t="shared" ca="1" si="138"/>
        <v/>
      </c>
      <c r="Z299" s="315" t="str">
        <f t="shared" ca="1" si="139"/>
        <v/>
      </c>
      <c r="AA299" s="316" t="str">
        <f t="shared" ca="1" si="140"/>
        <v/>
      </c>
      <c r="AC299" s="310" t="e">
        <f t="shared" ca="1" si="141"/>
        <v>#N/A</v>
      </c>
      <c r="AD299" s="323" t="e">
        <f t="shared" ca="1" si="142"/>
        <v>#N/A</v>
      </c>
      <c r="AE299" s="324">
        <f t="shared" ca="1" si="121"/>
        <v>304.30096905057525</v>
      </c>
      <c r="AG299" s="306">
        <f t="shared" ca="1" si="143"/>
        <v>28.109119796143474</v>
      </c>
      <c r="AH299" s="304">
        <f t="shared" ca="1" si="144"/>
        <v>37.853689457519351</v>
      </c>
    </row>
    <row r="300" spans="1:34" x14ac:dyDescent="0.2">
      <c r="A300" s="347">
        <f t="shared" ca="1" si="122"/>
        <v>0.01</v>
      </c>
      <c r="B300" s="304">
        <f t="shared" ca="1" si="123"/>
        <v>2.9599999999999809</v>
      </c>
      <c r="D300" s="306">
        <f t="shared" ca="1" si="124"/>
        <v>4.3339060075194924</v>
      </c>
      <c r="E300" s="307">
        <f t="shared" ca="1" si="125"/>
        <v>27.505617714065082</v>
      </c>
      <c r="F300" s="304">
        <f t="shared" ca="1" si="126"/>
        <v>27.844959097012591</v>
      </c>
      <c r="G300" s="306">
        <f t="shared" ca="1" si="127"/>
        <v>20.845446485635367</v>
      </c>
      <c r="H300" s="307">
        <f t="shared" ca="1" si="128"/>
        <v>179.38449855828733</v>
      </c>
      <c r="I300" s="304">
        <f t="shared" ca="1" si="129"/>
        <v>180.59161376485255</v>
      </c>
      <c r="J300" s="306">
        <f t="shared" ca="1" si="130"/>
        <v>33.089573070918526</v>
      </c>
      <c r="K300" s="307">
        <f t="shared" ca="1" si="131"/>
        <v>306.09343875527242</v>
      </c>
      <c r="L300" s="304">
        <f t="shared" ca="1" si="116"/>
        <v>307.87678232540264</v>
      </c>
      <c r="M300" s="306">
        <f t="shared" ca="1" si="132"/>
        <v>1.4551098017455646</v>
      </c>
      <c r="N300" s="304">
        <f t="shared" ca="1" si="133"/>
        <v>83.371650368138802</v>
      </c>
      <c r="P300" s="310">
        <f t="shared" ca="1" si="134"/>
        <v>7</v>
      </c>
      <c r="Q300" s="304">
        <f t="shared" ca="1" si="135"/>
        <v>420.06382978723798</v>
      </c>
      <c r="R300" s="306">
        <f t="shared" ca="1" si="136"/>
        <v>0.21081046467360912</v>
      </c>
      <c r="S300" s="307">
        <f t="shared" ca="1" si="137"/>
        <v>8.039950203212852</v>
      </c>
      <c r="T300" s="304">
        <f t="shared" ca="1" si="117"/>
        <v>78.871911493518084</v>
      </c>
      <c r="U300" s="311">
        <f t="shared" ca="1" si="118"/>
        <v>0</v>
      </c>
      <c r="V300" s="306">
        <f t="shared" ca="1" si="119"/>
        <v>1.1880687740499047</v>
      </c>
      <c r="W300" s="304">
        <f t="shared" ca="1" si="120"/>
        <v>118.3747491149433</v>
      </c>
      <c r="Y300" s="314" t="str">
        <f t="shared" ca="1" si="138"/>
        <v/>
      </c>
      <c r="Z300" s="315" t="str">
        <f t="shared" ca="1" si="139"/>
        <v/>
      </c>
      <c r="AA300" s="316" t="str">
        <f t="shared" ca="1" si="140"/>
        <v/>
      </c>
      <c r="AC300" s="310" t="e">
        <f t="shared" ca="1" si="141"/>
        <v>#N/A</v>
      </c>
      <c r="AD300" s="323" t="e">
        <f t="shared" ca="1" si="142"/>
        <v>#N/A</v>
      </c>
      <c r="AE300" s="324">
        <f t="shared" ca="1" si="121"/>
        <v>306.09343875527242</v>
      </c>
      <c r="AG300" s="306">
        <f t="shared" ca="1" si="143"/>
        <v>27.82194999864042</v>
      </c>
      <c r="AH300" s="304">
        <f t="shared" ca="1" si="144"/>
        <v>37.566448683156906</v>
      </c>
    </row>
    <row r="301" spans="1:34" x14ac:dyDescent="0.2">
      <c r="A301" s="347">
        <f t="shared" ca="1" si="122"/>
        <v>0.01</v>
      </c>
      <c r="B301" s="304">
        <f t="shared" ca="1" si="123"/>
        <v>2.9699999999999807</v>
      </c>
      <c r="D301" s="306">
        <f t="shared" ca="1" si="124"/>
        <v>4.3031139602734934</v>
      </c>
      <c r="E301" s="307">
        <f t="shared" ca="1" si="125"/>
        <v>27.220242577665701</v>
      </c>
      <c r="F301" s="304">
        <f t="shared" ca="1" si="126"/>
        <v>27.558272727841004</v>
      </c>
      <c r="G301" s="306">
        <f t="shared" ca="1" si="127"/>
        <v>20.888477625238103</v>
      </c>
      <c r="H301" s="307">
        <f t="shared" ca="1" si="128"/>
        <v>179.656700984064</v>
      </c>
      <c r="I301" s="304">
        <f t="shared" ca="1" si="129"/>
        <v>180.86696410892029</v>
      </c>
      <c r="J301" s="306">
        <f t="shared" ca="1" si="130"/>
        <v>33.298242691472893</v>
      </c>
      <c r="K301" s="307">
        <f t="shared" ca="1" si="131"/>
        <v>307.88864475298419</v>
      </c>
      <c r="L301" s="304">
        <f t="shared" ca="1" si="116"/>
        <v>309.68401724042769</v>
      </c>
      <c r="M301" s="306">
        <f t="shared" ca="1" si="132"/>
        <v>1.4550471946752508</v>
      </c>
      <c r="N301" s="304">
        <f t="shared" ca="1" si="133"/>
        <v>83.368063247242134</v>
      </c>
      <c r="P301" s="310">
        <f t="shared" ca="1" si="134"/>
        <v>7</v>
      </c>
      <c r="Q301" s="304">
        <f t="shared" ca="1" si="135"/>
        <v>418.02127659574865</v>
      </c>
      <c r="R301" s="306">
        <f t="shared" ca="1" si="136"/>
        <v>0.2097854023928683</v>
      </c>
      <c r="S301" s="307">
        <f t="shared" ca="1" si="137"/>
        <v>8.037852349188924</v>
      </c>
      <c r="T301" s="304">
        <f t="shared" ca="1" si="117"/>
        <v>78.851331545543346</v>
      </c>
      <c r="U301" s="311">
        <f t="shared" ca="1" si="118"/>
        <v>0</v>
      </c>
      <c r="V301" s="306">
        <f t="shared" ca="1" si="119"/>
        <v>1.1878554601199418</v>
      </c>
      <c r="W301" s="304">
        <f t="shared" ca="1" si="120"/>
        <v>118.71468062849361</v>
      </c>
      <c r="Y301" s="314" t="str">
        <f t="shared" ca="1" si="138"/>
        <v/>
      </c>
      <c r="Z301" s="315" t="str">
        <f t="shared" ca="1" si="139"/>
        <v/>
      </c>
      <c r="AA301" s="316" t="str">
        <f t="shared" ca="1" si="140"/>
        <v/>
      </c>
      <c r="AC301" s="310" t="e">
        <f t="shared" ca="1" si="141"/>
        <v>#N/A</v>
      </c>
      <c r="AD301" s="323" t="e">
        <f t="shared" ca="1" si="142"/>
        <v>#N/A</v>
      </c>
      <c r="AE301" s="324">
        <f t="shared" ca="1" si="121"/>
        <v>307.88864475298419</v>
      </c>
      <c r="AG301" s="306">
        <f t="shared" ca="1" si="143"/>
        <v>27.534998960055592</v>
      </c>
      <c r="AH301" s="304">
        <f t="shared" ca="1" si="144"/>
        <v>37.279426700472023</v>
      </c>
    </row>
    <row r="302" spans="1:34" x14ac:dyDescent="0.2">
      <c r="A302" s="347">
        <f t="shared" ca="1" si="122"/>
        <v>0.01</v>
      </c>
      <c r="B302" s="304">
        <f t="shared" ca="1" si="123"/>
        <v>2.9799999999999804</v>
      </c>
      <c r="D302" s="306">
        <f t="shared" ca="1" si="124"/>
        <v>4.226991156004801</v>
      </c>
      <c r="E302" s="307">
        <f t="shared" ca="1" si="125"/>
        <v>26.545319894595757</v>
      </c>
      <c r="F302" s="304">
        <f t="shared" ca="1" si="126"/>
        <v>26.879759346753165</v>
      </c>
      <c r="G302" s="306">
        <f t="shared" ca="1" si="127"/>
        <v>20.930747536798151</v>
      </c>
      <c r="H302" s="307">
        <f t="shared" ca="1" si="128"/>
        <v>179.92215418300995</v>
      </c>
      <c r="I302" s="304">
        <f t="shared" ca="1" si="129"/>
        <v>181.13552318168843</v>
      </c>
      <c r="J302" s="306">
        <f t="shared" ca="1" si="130"/>
        <v>33.507338817283078</v>
      </c>
      <c r="K302" s="307">
        <f t="shared" ca="1" si="131"/>
        <v>309.68653902881954</v>
      </c>
      <c r="L302" s="304">
        <f t="shared" ca="1" si="116"/>
        <v>311.49397138671043</v>
      </c>
      <c r="M302" s="306">
        <f t="shared" ca="1" si="132"/>
        <v>1.4549846467485994</v>
      </c>
      <c r="N302" s="304">
        <f t="shared" ca="1" si="133"/>
        <v>83.364479515027725</v>
      </c>
      <c r="P302" s="310">
        <f t="shared" ca="1" si="134"/>
        <v>8</v>
      </c>
      <c r="Q302" s="304">
        <f t="shared" ca="1" si="135"/>
        <v>412.82608695653812</v>
      </c>
      <c r="R302" s="306">
        <f t="shared" ca="1" si="136"/>
        <v>0.20717817876577282</v>
      </c>
      <c r="S302" s="307">
        <f t="shared" ca="1" si="137"/>
        <v>8.0357805674012663</v>
      </c>
      <c r="T302" s="304">
        <f t="shared" ca="1" si="117"/>
        <v>78.831007366206421</v>
      </c>
      <c r="U302" s="311">
        <f t="shared" ca="1" si="118"/>
        <v>0</v>
      </c>
      <c r="V302" s="306">
        <f t="shared" ca="1" si="119"/>
        <v>1.1876418645525346</v>
      </c>
      <c r="W302" s="304">
        <f t="shared" ca="1" si="120"/>
        <v>119.04607747210457</v>
      </c>
      <c r="Y302" s="314" t="str">
        <f t="shared" ca="1" si="138"/>
        <v/>
      </c>
      <c r="Z302" s="315" t="str">
        <f t="shared" ca="1" si="139"/>
        <v/>
      </c>
      <c r="AA302" s="316" t="str">
        <f t="shared" ca="1" si="140"/>
        <v/>
      </c>
      <c r="AC302" s="310" t="e">
        <f t="shared" ca="1" si="141"/>
        <v>#N/A</v>
      </c>
      <c r="AD302" s="323" t="e">
        <f t="shared" ca="1" si="142"/>
        <v>#N/A</v>
      </c>
      <c r="AE302" s="324">
        <f t="shared" ca="1" si="121"/>
        <v>309.68653902881954</v>
      </c>
      <c r="AG302" s="306">
        <f t="shared" ca="1" si="143"/>
        <v>26.855871844505842</v>
      </c>
      <c r="AH302" s="304">
        <f t="shared" ca="1" si="144"/>
        <v>36.600228672391282</v>
      </c>
    </row>
    <row r="303" spans="1:34" x14ac:dyDescent="0.2">
      <c r="A303" s="347">
        <f t="shared" ca="1" si="122"/>
        <v>0.01</v>
      </c>
      <c r="B303" s="304">
        <f t="shared" ca="1" si="123"/>
        <v>2.9899999999999802</v>
      </c>
      <c r="D303" s="306">
        <f t="shared" ca="1" si="124"/>
        <v>4.1054966256159622</v>
      </c>
      <c r="E303" s="307">
        <f t="shared" ca="1" si="125"/>
        <v>25.481133084150635</v>
      </c>
      <c r="F303" s="304">
        <f t="shared" ca="1" si="126"/>
        <v>25.809750982819267</v>
      </c>
      <c r="G303" s="306">
        <f t="shared" ca="1" si="127"/>
        <v>20.97180250305431</v>
      </c>
      <c r="H303" s="307">
        <f t="shared" ca="1" si="128"/>
        <v>180.17696551385146</v>
      </c>
      <c r="I303" s="304">
        <f t="shared" ca="1" si="129"/>
        <v>181.39337199028725</v>
      </c>
      <c r="J303" s="306">
        <f t="shared" ca="1" si="130"/>
        <v>33.716851567482337</v>
      </c>
      <c r="K303" s="307">
        <f t="shared" ca="1" si="131"/>
        <v>311.48703462730384</v>
      </c>
      <c r="L303" s="304">
        <f t="shared" ca="1" si="116"/>
        <v>313.30655725748034</v>
      </c>
      <c r="M303" s="306">
        <f t="shared" ca="1" si="132"/>
        <v>1.4549221541328852</v>
      </c>
      <c r="N303" s="304">
        <f t="shared" ca="1" si="133"/>
        <v>83.360898951896559</v>
      </c>
      <c r="P303" s="310">
        <f t="shared" ca="1" si="134"/>
        <v>8</v>
      </c>
      <c r="Q303" s="304">
        <f t="shared" ca="1" si="135"/>
        <v>404.47826086958179</v>
      </c>
      <c r="R303" s="306">
        <f t="shared" ca="1" si="136"/>
        <v>0.20298879379231038</v>
      </c>
      <c r="S303" s="307">
        <f t="shared" ca="1" si="137"/>
        <v>8.0337506794633438</v>
      </c>
      <c r="T303" s="304">
        <f t="shared" ca="1" si="117"/>
        <v>78.811094165535408</v>
      </c>
      <c r="U303" s="311">
        <f t="shared" ca="1" si="118"/>
        <v>0</v>
      </c>
      <c r="V303" s="306">
        <f t="shared" ca="1" si="119"/>
        <v>1.1874279978351225</v>
      </c>
      <c r="W303" s="304">
        <f t="shared" ca="1" si="120"/>
        <v>119.36374752157259</v>
      </c>
      <c r="Y303" s="314" t="str">
        <f t="shared" ca="1" si="138"/>
        <v/>
      </c>
      <c r="Z303" s="315" t="str">
        <f t="shared" ca="1" si="139"/>
        <v/>
      </c>
      <c r="AA303" s="316" t="str">
        <f t="shared" ca="1" si="140"/>
        <v/>
      </c>
      <c r="AC303" s="310" t="e">
        <f t="shared" ca="1" si="141"/>
        <v>#N/A</v>
      </c>
      <c r="AD303" s="323" t="e">
        <f t="shared" ca="1" si="142"/>
        <v>#N/A</v>
      </c>
      <c r="AE303" s="324">
        <f t="shared" ca="1" si="121"/>
        <v>311.48703462730384</v>
      </c>
      <c r="AG303" s="306">
        <f t="shared" ca="1" si="143"/>
        <v>25.784845439861524</v>
      </c>
      <c r="AH303" s="304">
        <f t="shared" ca="1" si="144"/>
        <v>35.529131384065323</v>
      </c>
    </row>
    <row r="304" spans="1:34" x14ac:dyDescent="0.2">
      <c r="A304" s="347">
        <f t="shared" ca="1" si="122"/>
        <v>0.01</v>
      </c>
      <c r="B304" s="304">
        <f t="shared" ca="1" si="123"/>
        <v>2.99999999999998</v>
      </c>
      <c r="D304" s="306">
        <f t="shared" ca="1" si="124"/>
        <v>3.9839813130503861</v>
      </c>
      <c r="E304" s="307">
        <f t="shared" ca="1" si="125"/>
        <v>24.417943141499883</v>
      </c>
      <c r="F304" s="304">
        <f t="shared" ca="1" si="126"/>
        <v>24.740817576714313</v>
      </c>
      <c r="G304" s="306">
        <f t="shared" ca="1" si="127"/>
        <v>21.011642316184812</v>
      </c>
      <c r="H304" s="307">
        <f t="shared" ca="1" si="128"/>
        <v>180.42114494526646</v>
      </c>
      <c r="I304" s="304">
        <f t="shared" ca="1" si="129"/>
        <v>181.64052041376709</v>
      </c>
      <c r="J304" s="306">
        <f t="shared" ca="1" si="130"/>
        <v>33.926768791578532</v>
      </c>
      <c r="K304" s="307">
        <f t="shared" ca="1" si="131"/>
        <v>313.29002517959941</v>
      </c>
      <c r="L304" s="304">
        <f t="shared" ca="1" si="116"/>
        <v>315.12166780098011</v>
      </c>
      <c r="M304" s="306">
        <f t="shared" ca="1" si="132"/>
        <v>1.4548597130228285</v>
      </c>
      <c r="N304" s="304">
        <f t="shared" ca="1" si="133"/>
        <v>83.357321339822207</v>
      </c>
      <c r="P304" s="310">
        <f t="shared" ca="1" si="134"/>
        <v>8</v>
      </c>
      <c r="Q304" s="304">
        <f t="shared" ca="1" si="135"/>
        <v>396.13043478262546</v>
      </c>
      <c r="R304" s="306">
        <f t="shared" ca="1" si="136"/>
        <v>0.19879940881884794</v>
      </c>
      <c r="S304" s="307">
        <f t="shared" ca="1" si="137"/>
        <v>8.0317626853751545</v>
      </c>
      <c r="T304" s="304">
        <f t="shared" ca="1" si="117"/>
        <v>78.791591943530264</v>
      </c>
      <c r="U304" s="311">
        <f t="shared" ca="1" si="118"/>
        <v>0</v>
      </c>
      <c r="V304" s="306">
        <f t="shared" ca="1" si="119"/>
        <v>1.1872138727533268</v>
      </c>
      <c r="W304" s="304">
        <f t="shared" ca="1" si="120"/>
        <v>119.6676520848892</v>
      </c>
      <c r="Y304" s="314" t="str">
        <f t="shared" ca="1" si="138"/>
        <v/>
      </c>
      <c r="Z304" s="315" t="str">
        <f t="shared" ca="1" si="139"/>
        <v/>
      </c>
      <c r="AA304" s="316" t="str">
        <f t="shared" ca="1" si="140"/>
        <v/>
      </c>
      <c r="AC304" s="310">
        <f t="shared" ca="1" si="141"/>
        <v>2.99999999999998</v>
      </c>
      <c r="AD304" s="323">
        <f t="shared" ca="1" si="142"/>
        <v>33.926768791578532</v>
      </c>
      <c r="AE304" s="324">
        <f t="shared" ca="1" si="121"/>
        <v>313.29002517959941</v>
      </c>
      <c r="AG304" s="306">
        <f t="shared" ca="1" si="143"/>
        <v>24.714806938141109</v>
      </c>
      <c r="AH304" s="304">
        <f t="shared" ca="1" si="144"/>
        <v>34.459022023274017</v>
      </c>
    </row>
    <row r="305" spans="1:34" x14ac:dyDescent="0.2">
      <c r="A305" s="347">
        <f t="shared" ca="1" si="122"/>
        <v>0.01</v>
      </c>
      <c r="B305" s="304">
        <f t="shared" ca="1" si="123"/>
        <v>3.0099999999999798</v>
      </c>
      <c r="D305" s="306">
        <f t="shared" ca="1" si="124"/>
        <v>3.8624482861175462</v>
      </c>
      <c r="E305" s="307">
        <f t="shared" ca="1" si="125"/>
        <v>23.355772174620945</v>
      </c>
      <c r="F305" s="304">
        <f t="shared" ca="1" si="126"/>
        <v>23.67299306458164</v>
      </c>
      <c r="G305" s="306">
        <f t="shared" ca="1" si="127"/>
        <v>21.050266799045986</v>
      </c>
      <c r="H305" s="307">
        <f t="shared" ca="1" si="128"/>
        <v>180.65470266701269</v>
      </c>
      <c r="I305" s="304">
        <f t="shared" ca="1" si="129"/>
        <v>181.87697855423534</v>
      </c>
      <c r="J305" s="306">
        <f t="shared" ca="1" si="130"/>
        <v>34.137078337154684</v>
      </c>
      <c r="K305" s="307">
        <f t="shared" ca="1" si="131"/>
        <v>315.0954044176608</v>
      </c>
      <c r="L305" s="304">
        <f t="shared" ca="1" si="116"/>
        <v>316.93919606531193</v>
      </c>
      <c r="M305" s="306">
        <f t="shared" ca="1" si="132"/>
        <v>1.4547973196391792</v>
      </c>
      <c r="N305" s="304">
        <f t="shared" ca="1" si="133"/>
        <v>83.353746462269555</v>
      </c>
      <c r="P305" s="310">
        <f t="shared" ca="1" si="134"/>
        <v>8</v>
      </c>
      <c r="Q305" s="304">
        <f t="shared" ca="1" si="135"/>
        <v>387.78260869566913</v>
      </c>
      <c r="R305" s="306">
        <f t="shared" ca="1" si="136"/>
        <v>0.1946100238453855</v>
      </c>
      <c r="S305" s="307">
        <f t="shared" ca="1" si="137"/>
        <v>8.0298165851367003</v>
      </c>
      <c r="T305" s="304">
        <f t="shared" ca="1" si="117"/>
        <v>78.772500700191031</v>
      </c>
      <c r="U305" s="311">
        <f t="shared" ca="1" si="118"/>
        <v>0</v>
      </c>
      <c r="V305" s="306">
        <f t="shared" ca="1" si="119"/>
        <v>1.1869995020719717</v>
      </c>
      <c r="W305" s="304">
        <f t="shared" ca="1" si="120"/>
        <v>119.95775539186776</v>
      </c>
      <c r="Y305" s="314" t="str">
        <f t="shared" ca="1" si="138"/>
        <v/>
      </c>
      <c r="Z305" s="315" t="str">
        <f t="shared" ca="1" si="139"/>
        <v/>
      </c>
      <c r="AA305" s="316" t="str">
        <f t="shared" ca="1" si="140"/>
        <v/>
      </c>
      <c r="AC305" s="310" t="e">
        <f t="shared" ca="1" si="141"/>
        <v>#N/A</v>
      </c>
      <c r="AD305" s="323" t="e">
        <f t="shared" ca="1" si="142"/>
        <v>#N/A</v>
      </c>
      <c r="AE305" s="324">
        <f t="shared" ca="1" si="121"/>
        <v>315.0954044176608</v>
      </c>
      <c r="AG305" s="306">
        <f t="shared" ca="1" si="143"/>
        <v>23.645778645066223</v>
      </c>
      <c r="AH305" s="304">
        <f t="shared" ca="1" si="144"/>
        <v>33.389922891522126</v>
      </c>
    </row>
    <row r="306" spans="1:34" x14ac:dyDescent="0.2">
      <c r="A306" s="347">
        <f t="shared" ca="1" si="122"/>
        <v>0.01</v>
      </c>
      <c r="B306" s="304">
        <f t="shared" ca="1" si="123"/>
        <v>3.0199999999999796</v>
      </c>
      <c r="D306" s="306">
        <f t="shared" ca="1" si="124"/>
        <v>3.740900557579395</v>
      </c>
      <c r="E306" s="307">
        <f t="shared" ca="1" si="125"/>
        <v>22.294641921545406</v>
      </c>
      <c r="F306" s="304">
        <f t="shared" ca="1" si="126"/>
        <v>22.606313175562875</v>
      </c>
      <c r="G306" s="306">
        <f t="shared" ca="1" si="127"/>
        <v>21.087675804621778</v>
      </c>
      <c r="H306" s="307">
        <f t="shared" ca="1" si="128"/>
        <v>180.87764908622813</v>
      </c>
      <c r="I306" s="304">
        <f t="shared" ca="1" si="129"/>
        <v>182.10275673311898</v>
      </c>
      <c r="J306" s="306">
        <f t="shared" ca="1" si="130"/>
        <v>34.347768050173023</v>
      </c>
      <c r="K306" s="307">
        <f t="shared" ca="1" si="131"/>
        <v>316.90306617642699</v>
      </c>
      <c r="L306" s="304">
        <f t="shared" ca="1" si="116"/>
        <v>318.7590352006502</v>
      </c>
      <c r="M306" s="306">
        <f t="shared" ca="1" si="132"/>
        <v>1.4547349702273265</v>
      </c>
      <c r="N306" s="304">
        <f t="shared" ca="1" si="133"/>
        <v>83.350174104115268</v>
      </c>
      <c r="P306" s="310">
        <f t="shared" ca="1" si="134"/>
        <v>8</v>
      </c>
      <c r="Q306" s="304">
        <f t="shared" ca="1" si="135"/>
        <v>379.43478260871274</v>
      </c>
      <c r="R306" s="306">
        <f t="shared" ca="1" si="136"/>
        <v>0.19042063887192304</v>
      </c>
      <c r="S306" s="307">
        <f t="shared" ca="1" si="137"/>
        <v>8.0279123787479811</v>
      </c>
      <c r="T306" s="304">
        <f t="shared" ca="1" si="117"/>
        <v>78.753820435517696</v>
      </c>
      <c r="U306" s="311">
        <f t="shared" ca="1" si="118"/>
        <v>0</v>
      </c>
      <c r="V306" s="306">
        <f t="shared" ca="1" si="119"/>
        <v>1.1867848985348157</v>
      </c>
      <c r="W306" s="304">
        <f t="shared" ca="1" si="120"/>
        <v>120.23402457936672</v>
      </c>
      <c r="Y306" s="314" t="str">
        <f t="shared" ca="1" si="138"/>
        <v/>
      </c>
      <c r="Z306" s="315" t="str">
        <f t="shared" ca="1" si="139"/>
        <v/>
      </c>
      <c r="AA306" s="316" t="str">
        <f t="shared" ca="1" si="140"/>
        <v/>
      </c>
      <c r="AC306" s="310" t="e">
        <f t="shared" ca="1" si="141"/>
        <v>#N/A</v>
      </c>
      <c r="AD306" s="323" t="e">
        <f t="shared" ca="1" si="142"/>
        <v>#N/A</v>
      </c>
      <c r="AE306" s="324">
        <f t="shared" ca="1" si="121"/>
        <v>316.90306617642699</v>
      </c>
      <c r="AG306" s="306">
        <f t="shared" ca="1" si="143"/>
        <v>22.577782492606858</v>
      </c>
      <c r="AH306" s="304">
        <f t="shared" ca="1" si="144"/>
        <v>32.321855916582955</v>
      </c>
    </row>
    <row r="307" spans="1:34" x14ac:dyDescent="0.2">
      <c r="A307" s="347">
        <f t="shared" ca="1" si="122"/>
        <v>0.01</v>
      </c>
      <c r="B307" s="304">
        <f t="shared" ca="1" si="123"/>
        <v>3.0299999999999794</v>
      </c>
      <c r="D307" s="306">
        <f t="shared" ca="1" si="124"/>
        <v>3.6193410852720742</v>
      </c>
      <c r="E307" s="307">
        <f t="shared" ca="1" si="125"/>
        <v>21.234573750594585</v>
      </c>
      <c r="F307" s="304">
        <f t="shared" ca="1" si="126"/>
        <v>21.540815960891059</v>
      </c>
      <c r="G307" s="306">
        <f t="shared" ca="1" si="127"/>
        <v>21.1238692154745</v>
      </c>
      <c r="H307" s="307">
        <f t="shared" ca="1" si="128"/>
        <v>181.08999482373409</v>
      </c>
      <c r="I307" s="304">
        <f t="shared" ca="1" si="129"/>
        <v>182.31786548742971</v>
      </c>
      <c r="J307" s="306">
        <f t="shared" ca="1" si="130"/>
        <v>34.558825775273505</v>
      </c>
      <c r="K307" s="307">
        <f t="shared" ca="1" si="131"/>
        <v>318.71290439597681</v>
      </c>
      <c r="L307" s="304">
        <f t="shared" ca="1" si="116"/>
        <v>320.58107846141627</v>
      </c>
      <c r="M307" s="306">
        <f t="shared" ca="1" si="132"/>
        <v>1.4546726610559291</v>
      </c>
      <c r="N307" s="304">
        <f t="shared" ca="1" si="133"/>
        <v>83.346604051569244</v>
      </c>
      <c r="P307" s="310">
        <f t="shared" ca="1" si="134"/>
        <v>8</v>
      </c>
      <c r="Q307" s="304">
        <f t="shared" ca="1" si="135"/>
        <v>371.08695652175641</v>
      </c>
      <c r="R307" s="306">
        <f t="shared" ca="1" si="136"/>
        <v>0.1862312538984606</v>
      </c>
      <c r="S307" s="307">
        <f t="shared" ca="1" si="137"/>
        <v>8.0260500662089971</v>
      </c>
      <c r="T307" s="304">
        <f t="shared" ca="1" si="117"/>
        <v>78.735551149510272</v>
      </c>
      <c r="U307" s="311">
        <f t="shared" ca="1" si="118"/>
        <v>0</v>
      </c>
      <c r="V307" s="306">
        <f t="shared" ca="1" si="119"/>
        <v>1.1865700748642793</v>
      </c>
      <c r="W307" s="304">
        <f t="shared" ca="1" si="120"/>
        <v>120.49642967622506</v>
      </c>
      <c r="Y307" s="314" t="str">
        <f t="shared" ca="1" si="138"/>
        <v/>
      </c>
      <c r="Z307" s="315" t="str">
        <f t="shared" ca="1" si="139"/>
        <v/>
      </c>
      <c r="AA307" s="316" t="str">
        <f t="shared" ca="1" si="140"/>
        <v/>
      </c>
      <c r="AC307" s="310" t="e">
        <f t="shared" ca="1" si="141"/>
        <v>#N/A</v>
      </c>
      <c r="AD307" s="323" t="e">
        <f t="shared" ca="1" si="142"/>
        <v>#N/A</v>
      </c>
      <c r="AE307" s="324">
        <f t="shared" ca="1" si="121"/>
        <v>318.71290439597681</v>
      </c>
      <c r="AG307" s="306">
        <f t="shared" ca="1" si="143"/>
        <v>21.510840039226196</v>
      </c>
      <c r="AH307" s="304">
        <f t="shared" ca="1" si="144"/>
        <v>31.254842652741747</v>
      </c>
    </row>
    <row r="308" spans="1:34" x14ac:dyDescent="0.2">
      <c r="A308" s="347">
        <f t="shared" ca="1" si="122"/>
        <v>0.01</v>
      </c>
      <c r="B308" s="304">
        <f t="shared" ca="1" si="123"/>
        <v>3.0399999999999792</v>
      </c>
      <c r="D308" s="306">
        <f t="shared" ca="1" si="124"/>
        <v>3.4977727722273011</v>
      </c>
      <c r="E308" s="307">
        <f t="shared" ca="1" si="125"/>
        <v>20.175588660680965</v>
      </c>
      <c r="F308" s="304">
        <f t="shared" ca="1" si="126"/>
        <v>20.476542485759968</v>
      </c>
      <c r="G308" s="306">
        <f t="shared" ca="1" si="127"/>
        <v>21.158846943196771</v>
      </c>
      <c r="H308" s="307">
        <f t="shared" ca="1" si="128"/>
        <v>181.29175071034089</v>
      </c>
      <c r="I308" s="304">
        <f t="shared" ca="1" si="129"/>
        <v>182.52231556603158</v>
      </c>
      <c r="J308" s="306">
        <f t="shared" ca="1" si="130"/>
        <v>34.77023935606686</v>
      </c>
      <c r="K308" s="307">
        <f t="shared" ca="1" si="131"/>
        <v>320.52481312364716</v>
      </c>
      <c r="L308" s="304">
        <f t="shared" ca="1" si="116"/>
        <v>322.40521920841655</v>
      </c>
      <c r="M308" s="306">
        <f t="shared" ca="1" si="132"/>
        <v>1.4546103884155703</v>
      </c>
      <c r="N308" s="304">
        <f t="shared" ca="1" si="133"/>
        <v>83.343036092097549</v>
      </c>
      <c r="P308" s="310">
        <f t="shared" ca="1" si="134"/>
        <v>8</v>
      </c>
      <c r="Q308" s="304">
        <f t="shared" ca="1" si="135"/>
        <v>362.73913043480007</v>
      </c>
      <c r="R308" s="306">
        <f t="shared" ca="1" si="136"/>
        <v>0.18204186892499816</v>
      </c>
      <c r="S308" s="307">
        <f t="shared" ca="1" si="137"/>
        <v>8.0242296475197463</v>
      </c>
      <c r="T308" s="304">
        <f t="shared" ca="1" si="117"/>
        <v>78.717692842168717</v>
      </c>
      <c r="U308" s="311">
        <f t="shared" ca="1" si="118"/>
        <v>0</v>
      </c>
      <c r="V308" s="306">
        <f t="shared" ca="1" si="119"/>
        <v>1.1863550437611841</v>
      </c>
      <c r="W308" s="304">
        <f t="shared" ca="1" si="120"/>
        <v>120.74494358792157</v>
      </c>
      <c r="Y308" s="314" t="str">
        <f t="shared" ca="1" si="138"/>
        <v/>
      </c>
      <c r="Z308" s="315" t="str">
        <f t="shared" ca="1" si="139"/>
        <v/>
      </c>
      <c r="AA308" s="316" t="str">
        <f t="shared" ca="1" si="140"/>
        <v/>
      </c>
      <c r="AC308" s="310" t="e">
        <f t="shared" ca="1" si="141"/>
        <v>#N/A</v>
      </c>
      <c r="AD308" s="323" t="e">
        <f t="shared" ca="1" si="142"/>
        <v>#N/A</v>
      </c>
      <c r="AE308" s="324">
        <f t="shared" ca="1" si="121"/>
        <v>320.52481312364716</v>
      </c>
      <c r="AG308" s="306">
        <f t="shared" ca="1" si="143"/>
        <v>20.444972470190969</v>
      </c>
      <c r="AH308" s="304">
        <f t="shared" ca="1" si="144"/>
        <v>30.188904281104563</v>
      </c>
    </row>
    <row r="309" spans="1:34" x14ac:dyDescent="0.2">
      <c r="A309" s="347">
        <f t="shared" ca="1" si="122"/>
        <v>0.01</v>
      </c>
      <c r="B309" s="304">
        <f t="shared" ca="1" si="123"/>
        <v>3.049999999999979</v>
      </c>
      <c r="D309" s="306">
        <f t="shared" ca="1" si="124"/>
        <v>3.376198466793388</v>
      </c>
      <c r="E309" s="307">
        <f t="shared" ca="1" si="125"/>
        <v>19.117707281674157</v>
      </c>
      <c r="F309" s="304">
        <f t="shared" ca="1" si="126"/>
        <v>19.413537745474294</v>
      </c>
      <c r="G309" s="306">
        <f t="shared" ca="1" si="127"/>
        <v>21.192608927864704</v>
      </c>
      <c r="H309" s="307">
        <f t="shared" ca="1" si="128"/>
        <v>181.48292778315763</v>
      </c>
      <c r="I309" s="304">
        <f t="shared" ca="1" si="129"/>
        <v>182.71611792591321</v>
      </c>
      <c r="J309" s="306">
        <f t="shared" ca="1" si="130"/>
        <v>34.981996635422171</v>
      </c>
      <c r="K309" s="307">
        <f t="shared" ca="1" si="131"/>
        <v>322.33868651611465</v>
      </c>
      <c r="L309" s="304">
        <f t="shared" ca="1" si="116"/>
        <v>324.23135091094247</v>
      </c>
      <c r="M309" s="306">
        <f t="shared" ca="1" si="132"/>
        <v>1.4545481486174323</v>
      </c>
      <c r="N309" s="304">
        <f t="shared" ca="1" si="133"/>
        <v>83.339470014346503</v>
      </c>
      <c r="P309" s="310">
        <f t="shared" ca="1" si="134"/>
        <v>8</v>
      </c>
      <c r="Q309" s="304">
        <f t="shared" ca="1" si="135"/>
        <v>354.39130434784374</v>
      </c>
      <c r="R309" s="306">
        <f t="shared" ca="1" si="136"/>
        <v>0.17785248395153572</v>
      </c>
      <c r="S309" s="307">
        <f t="shared" ca="1" si="137"/>
        <v>8.0224511226802306</v>
      </c>
      <c r="T309" s="304">
        <f t="shared" ca="1" si="117"/>
        <v>78.700245513493073</v>
      </c>
      <c r="U309" s="311">
        <f t="shared" ca="1" si="118"/>
        <v>0</v>
      </c>
      <c r="V309" s="306">
        <f t="shared" ca="1" si="119"/>
        <v>1.186139817904498</v>
      </c>
      <c r="W309" s="304">
        <f t="shared" ca="1" si="120"/>
        <v>120.97954208096644</v>
      </c>
      <c r="Y309" s="314" t="str">
        <f t="shared" ca="1" si="138"/>
        <v/>
      </c>
      <c r="Z309" s="315" t="str">
        <f t="shared" ca="1" si="139"/>
        <v/>
      </c>
      <c r="AA309" s="316" t="str">
        <f t="shared" ca="1" si="140"/>
        <v/>
      </c>
      <c r="AC309" s="310" t="e">
        <f t="shared" ca="1" si="141"/>
        <v>#N/A</v>
      </c>
      <c r="AD309" s="323" t="e">
        <f t="shared" ca="1" si="142"/>
        <v>#N/A</v>
      </c>
      <c r="AE309" s="324">
        <f t="shared" ca="1" si="121"/>
        <v>322.33868651611465</v>
      </c>
      <c r="AG309" s="306">
        <f t="shared" ca="1" si="143"/>
        <v>19.380200597945905</v>
      </c>
      <c r="AH309" s="304">
        <f t="shared" ca="1" si="144"/>
        <v>29.124061609971264</v>
      </c>
    </row>
    <row r="310" spans="1:34" x14ac:dyDescent="0.2">
      <c r="A310" s="347">
        <f t="shared" ca="1" si="122"/>
        <v>0.01</v>
      </c>
      <c r="B310" s="304">
        <f t="shared" ca="1" si="123"/>
        <v>3.0599999999999787</v>
      </c>
      <c r="D310" s="306">
        <f t="shared" ca="1" si="124"/>
        <v>3.254620962756011</v>
      </c>
      <c r="E310" s="307">
        <f t="shared" ca="1" si="125"/>
        <v>18.060949874830385</v>
      </c>
      <c r="F310" s="304">
        <f t="shared" ca="1" si="126"/>
        <v>18.351851895444952</v>
      </c>
      <c r="G310" s="306">
        <f t="shared" ca="1" si="127"/>
        <v>21.225155137492266</v>
      </c>
      <c r="H310" s="307">
        <f t="shared" ca="1" si="128"/>
        <v>181.66353728190595</v>
      </c>
      <c r="I310" s="304">
        <f t="shared" ca="1" si="129"/>
        <v>182.89928372846364</v>
      </c>
      <c r="J310" s="306">
        <f t="shared" ca="1" si="130"/>
        <v>35.194085455748954</v>
      </c>
      <c r="K310" s="307">
        <f t="shared" ca="1" si="131"/>
        <v>324.15441884143996</v>
      </c>
      <c r="L310" s="304">
        <f t="shared" ca="1" si="116"/>
        <v>326.05936714883416</v>
      </c>
      <c r="M310" s="306">
        <f t="shared" ca="1" si="132"/>
        <v>1.4544859379919903</v>
      </c>
      <c r="N310" s="304">
        <f t="shared" ca="1" si="133"/>
        <v>83.335905608067804</v>
      </c>
      <c r="P310" s="310">
        <f t="shared" ca="1" si="134"/>
        <v>8</v>
      </c>
      <c r="Q310" s="304">
        <f t="shared" ca="1" si="135"/>
        <v>346.04347826088735</v>
      </c>
      <c r="R310" s="306">
        <f t="shared" ca="1" si="136"/>
        <v>0.17366309897807322</v>
      </c>
      <c r="S310" s="307">
        <f t="shared" ca="1" si="137"/>
        <v>8.02071449169045</v>
      </c>
      <c r="T310" s="304">
        <f t="shared" ca="1" si="117"/>
        <v>78.683209163483312</v>
      </c>
      <c r="U310" s="311">
        <f t="shared" ca="1" si="118"/>
        <v>0</v>
      </c>
      <c r="V310" s="306">
        <f t="shared" ca="1" si="119"/>
        <v>1.1859244099510833</v>
      </c>
      <c r="W310" s="304">
        <f t="shared" ca="1" si="120"/>
        <v>121.20020376703341</v>
      </c>
      <c r="Y310" s="314" t="str">
        <f t="shared" ca="1" si="138"/>
        <v/>
      </c>
      <c r="Z310" s="315" t="str">
        <f t="shared" ca="1" si="139"/>
        <v/>
      </c>
      <c r="AA310" s="316" t="str">
        <f t="shared" ca="1" si="140"/>
        <v/>
      </c>
      <c r="AC310" s="310" t="e">
        <f t="shared" ca="1" si="141"/>
        <v>#N/A</v>
      </c>
      <c r="AD310" s="323" t="e">
        <f t="shared" ca="1" si="142"/>
        <v>#N/A</v>
      </c>
      <c r="AE310" s="324">
        <f t="shared" ca="1" si="121"/>
        <v>324.15441884143996</v>
      </c>
      <c r="AG310" s="306">
        <f t="shared" ca="1" si="143"/>
        <v>18.31654486255124</v>
      </c>
      <c r="AH310" s="304">
        <f t="shared" ca="1" si="144"/>
        <v>28.06033507527162</v>
      </c>
    </row>
    <row r="311" spans="1:34" x14ac:dyDescent="0.2">
      <c r="A311" s="347">
        <f t="shared" ca="1" si="122"/>
        <v>0.01</v>
      </c>
      <c r="B311" s="304">
        <f t="shared" ca="1" si="123"/>
        <v>3.0699999999999785</v>
      </c>
      <c r="D311" s="306">
        <f t="shared" ca="1" si="124"/>
        <v>3.1330429994587816</v>
      </c>
      <c r="E311" s="307">
        <f t="shared" ca="1" si="125"/>
        <v>17.00533633328444</v>
      </c>
      <c r="F311" s="304">
        <f t="shared" ca="1" si="126"/>
        <v>17.291541927907456</v>
      </c>
      <c r="G311" s="306">
        <f t="shared" ca="1" si="127"/>
        <v>21.256485567486852</v>
      </c>
      <c r="H311" s="307">
        <f t="shared" ca="1" si="128"/>
        <v>181.83359064523879</v>
      </c>
      <c r="I311" s="304">
        <f t="shared" ca="1" si="129"/>
        <v>183.07182433575366</v>
      </c>
      <c r="J311" s="306">
        <f t="shared" ca="1" si="130"/>
        <v>35.406493659273849</v>
      </c>
      <c r="K311" s="307">
        <f t="shared" ca="1" si="131"/>
        <v>325.97190448107568</v>
      </c>
      <c r="L311" s="304">
        <f t="shared" ca="1" si="116"/>
        <v>327.88916161450618</v>
      </c>
      <c r="M311" s="306">
        <f t="shared" ca="1" si="132"/>
        <v>1.4544237528877244</v>
      </c>
      <c r="N311" s="304">
        <f t="shared" ca="1" si="133"/>
        <v>83.332342664044788</v>
      </c>
      <c r="P311" s="310">
        <f t="shared" ca="1" si="134"/>
        <v>8</v>
      </c>
      <c r="Q311" s="304">
        <f t="shared" ca="1" si="135"/>
        <v>337.69565217393102</v>
      </c>
      <c r="R311" s="306">
        <f t="shared" ca="1" si="136"/>
        <v>0.16947371400461078</v>
      </c>
      <c r="S311" s="307">
        <f t="shared" ca="1" si="137"/>
        <v>8.0190197545504045</v>
      </c>
      <c r="T311" s="304">
        <f t="shared" ca="1" si="117"/>
        <v>78.666583792139477</v>
      </c>
      <c r="U311" s="311">
        <f t="shared" ca="1" si="118"/>
        <v>0</v>
      </c>
      <c r="V311" s="306">
        <f t="shared" ca="1" si="119"/>
        <v>1.1857088325354532</v>
      </c>
      <c r="W311" s="304">
        <f t="shared" ca="1" si="120"/>
        <v>121.40691008684247</v>
      </c>
      <c r="Y311" s="314" t="str">
        <f t="shared" ca="1" si="138"/>
        <v/>
      </c>
      <c r="Z311" s="315" t="str">
        <f t="shared" ca="1" si="139"/>
        <v/>
      </c>
      <c r="AA311" s="316" t="str">
        <f t="shared" ca="1" si="140"/>
        <v/>
      </c>
      <c r="AC311" s="310" t="e">
        <f t="shared" ca="1" si="141"/>
        <v>#N/A</v>
      </c>
      <c r="AD311" s="323" t="e">
        <f t="shared" ca="1" si="142"/>
        <v>#N/A</v>
      </c>
      <c r="AE311" s="324">
        <f t="shared" ca="1" si="121"/>
        <v>325.97190448107568</v>
      </c>
      <c r="AG311" s="306">
        <f t="shared" ca="1" si="143"/>
        <v>17.254025332182326</v>
      </c>
      <c r="AH311" s="304">
        <f t="shared" ca="1" si="144"/>
        <v>26.99774474106351</v>
      </c>
    </row>
    <row r="312" spans="1:34" x14ac:dyDescent="0.2">
      <c r="A312" s="347">
        <f t="shared" ca="1" si="122"/>
        <v>0.01</v>
      </c>
      <c r="B312" s="304">
        <f t="shared" ca="1" si="123"/>
        <v>3.0799999999999783</v>
      </c>
      <c r="D312" s="306">
        <f t="shared" ca="1" si="124"/>
        <v>3.0114672619236891</v>
      </c>
      <c r="E312" s="307">
        <f t="shared" ca="1" si="125"/>
        <v>15.950886182602924</v>
      </c>
      <c r="F312" s="304">
        <f t="shared" ca="1" si="126"/>
        <v>16.232673996602994</v>
      </c>
      <c r="G312" s="306">
        <f t="shared" ca="1" si="127"/>
        <v>21.28660024010609</v>
      </c>
      <c r="H312" s="307">
        <f t="shared" ca="1" si="128"/>
        <v>181.99309950706481</v>
      </c>
      <c r="I312" s="304">
        <f t="shared" ca="1" si="129"/>
        <v>183.23375130682251</v>
      </c>
      <c r="J312" s="306">
        <f t="shared" ca="1" si="130"/>
        <v>35.619209088311813</v>
      </c>
      <c r="K312" s="307">
        <f t="shared" ca="1" si="131"/>
        <v>327.7910379318372</v>
      </c>
      <c r="L312" s="304">
        <f t="shared" ca="1" si="116"/>
        <v>329.72062811493612</v>
      </c>
      <c r="M312" s="306">
        <f t="shared" ca="1" si="132"/>
        <v>1.4543615896698494</v>
      </c>
      <c r="N312" s="304">
        <f t="shared" ca="1" si="133"/>
        <v>83.328780974019594</v>
      </c>
      <c r="P312" s="310">
        <f t="shared" ca="1" si="134"/>
        <v>8</v>
      </c>
      <c r="Q312" s="304">
        <f t="shared" ca="1" si="135"/>
        <v>329.34782608697469</v>
      </c>
      <c r="R312" s="306">
        <f t="shared" ca="1" si="136"/>
        <v>0.16528432903114834</v>
      </c>
      <c r="S312" s="307">
        <f t="shared" ca="1" si="137"/>
        <v>8.0173669112600923</v>
      </c>
      <c r="T312" s="304">
        <f t="shared" ca="1" si="117"/>
        <v>78.650369399461511</v>
      </c>
      <c r="U312" s="311">
        <f t="shared" ca="1" si="118"/>
        <v>0</v>
      </c>
      <c r="V312" s="306">
        <f t="shared" ca="1" si="119"/>
        <v>1.1854930982695349</v>
      </c>
      <c r="W312" s="304">
        <f t="shared" ca="1" si="120"/>
        <v>121.59964529380183</v>
      </c>
      <c r="Y312" s="314" t="str">
        <f t="shared" ca="1" si="138"/>
        <v/>
      </c>
      <c r="Z312" s="315" t="str">
        <f t="shared" ca="1" si="139"/>
        <v/>
      </c>
      <c r="AA312" s="316" t="str">
        <f t="shared" ca="1" si="140"/>
        <v/>
      </c>
      <c r="AC312" s="310" t="e">
        <f t="shared" ca="1" si="141"/>
        <v>#N/A</v>
      </c>
      <c r="AD312" s="323" t="e">
        <f t="shared" ca="1" si="142"/>
        <v>#N/A</v>
      </c>
      <c r="AE312" s="324">
        <f t="shared" ca="1" si="121"/>
        <v>327.7910379318372</v>
      </c>
      <c r="AG312" s="306">
        <f t="shared" ca="1" si="143"/>
        <v>16.192661703690188</v>
      </c>
      <c r="AH312" s="304">
        <f t="shared" ca="1" si="144"/>
        <v>25.936310300092039</v>
      </c>
    </row>
    <row r="313" spans="1:34" x14ac:dyDescent="0.2">
      <c r="A313" s="347">
        <f t="shared" ca="1" si="122"/>
        <v>0.01</v>
      </c>
      <c r="B313" s="304">
        <f t="shared" ca="1" si="123"/>
        <v>3.0899999999999781</v>
      </c>
      <c r="D313" s="306">
        <f t="shared" ca="1" si="124"/>
        <v>2.8898963809713734</v>
      </c>
      <c r="E313" s="307">
        <f t="shared" ca="1" si="125"/>
        <v>14.897618581397682</v>
      </c>
      <c r="F313" s="304">
        <f t="shared" ca="1" si="126"/>
        <v>15.175326701246235</v>
      </c>
      <c r="G313" s="306">
        <f t="shared" ca="1" si="127"/>
        <v>21.315499203915802</v>
      </c>
      <c r="H313" s="307">
        <f t="shared" ca="1" si="128"/>
        <v>182.14207569287879</v>
      </c>
      <c r="I313" s="304">
        <f t="shared" ca="1" si="129"/>
        <v>183.38507639397082</v>
      </c>
      <c r="J313" s="306">
        <f t="shared" ca="1" si="130"/>
        <v>35.832219585531924</v>
      </c>
      <c r="K313" s="307">
        <f t="shared" ca="1" si="131"/>
        <v>329.61171380783691</v>
      </c>
      <c r="L313" s="304">
        <f t="shared" ca="1" si="116"/>
        <v>331.55366057361692</v>
      </c>
      <c r="M313" s="306">
        <f t="shared" ca="1" si="132"/>
        <v>1.45429944471906</v>
      </c>
      <c r="N313" s="304">
        <f t="shared" ca="1" si="133"/>
        <v>83.32522033062132</v>
      </c>
      <c r="P313" s="310">
        <f t="shared" ca="1" si="134"/>
        <v>8</v>
      </c>
      <c r="Q313" s="304">
        <f t="shared" ca="1" si="135"/>
        <v>321.00000000001836</v>
      </c>
      <c r="R313" s="306">
        <f t="shared" ca="1" si="136"/>
        <v>0.1610949440576859</v>
      </c>
      <c r="S313" s="307">
        <f t="shared" ca="1" si="137"/>
        <v>8.0157559618195151</v>
      </c>
      <c r="T313" s="304">
        <f t="shared" ca="1" si="117"/>
        <v>78.634565985449441</v>
      </c>
      <c r="U313" s="311">
        <f t="shared" ca="1" si="118"/>
        <v>0</v>
      </c>
      <c r="V313" s="306">
        <f t="shared" ca="1" si="119"/>
        <v>1.1852772197424355</v>
      </c>
      <c r="W313" s="304">
        <f t="shared" ca="1" si="120"/>
        <v>121.77839643741733</v>
      </c>
      <c r="Y313" s="314" t="str">
        <f t="shared" ca="1" si="138"/>
        <v/>
      </c>
      <c r="Z313" s="315" t="str">
        <f t="shared" ca="1" si="139"/>
        <v/>
      </c>
      <c r="AA313" s="316" t="str">
        <f t="shared" ca="1" si="140"/>
        <v/>
      </c>
      <c r="AC313" s="310" t="e">
        <f t="shared" ca="1" si="141"/>
        <v>#N/A</v>
      </c>
      <c r="AD313" s="323" t="e">
        <f t="shared" ca="1" si="142"/>
        <v>#N/A</v>
      </c>
      <c r="AE313" s="324">
        <f t="shared" ca="1" si="121"/>
        <v>329.61171380783691</v>
      </c>
      <c r="AG313" s="306">
        <f t="shared" ca="1" si="143"/>
        <v>15.132473303221792</v>
      </c>
      <c r="AH313" s="304">
        <f t="shared" ca="1" si="144"/>
        <v>24.876051074408483</v>
      </c>
    </row>
    <row r="314" spans="1:34" x14ac:dyDescent="0.2">
      <c r="A314" s="347">
        <f t="shared" ca="1" si="122"/>
        <v>0.01</v>
      </c>
      <c r="B314" s="304">
        <f t="shared" ca="1" si="123"/>
        <v>3.0999999999999779</v>
      </c>
      <c r="D314" s="306">
        <f t="shared" ca="1" si="124"/>
        <v>2.7683329333413482</v>
      </c>
      <c r="E314" s="307">
        <f t="shared" ca="1" si="125"/>
        <v>13.845552321998573</v>
      </c>
      <c r="F314" s="304">
        <f t="shared" ca="1" si="126"/>
        <v>14.119595827466961</v>
      </c>
      <c r="G314" s="306">
        <f t="shared" ca="1" si="127"/>
        <v>21.343182533249216</v>
      </c>
      <c r="H314" s="307">
        <f t="shared" ca="1" si="128"/>
        <v>182.28053121609878</v>
      </c>
      <c r="I314" s="304">
        <f t="shared" ca="1" si="129"/>
        <v>183.52581153906053</v>
      </c>
      <c r="J314" s="306">
        <f t="shared" ca="1" si="130"/>
        <v>36.045512994217752</v>
      </c>
      <c r="K314" s="307">
        <f t="shared" ca="1" si="131"/>
        <v>331.43382684238179</v>
      </c>
      <c r="L314" s="304">
        <f t="shared" ca="1" si="116"/>
        <v>333.38815303247088</v>
      </c>
      <c r="M314" s="306">
        <f t="shared" ca="1" si="132"/>
        <v>1.4542373144302903</v>
      </c>
      <c r="N314" s="304">
        <f t="shared" ca="1" si="133"/>
        <v>83.321660527294881</v>
      </c>
      <c r="P314" s="310">
        <f t="shared" ca="1" si="134"/>
        <v>8</v>
      </c>
      <c r="Q314" s="304">
        <f t="shared" ca="1" si="135"/>
        <v>312.65217391306203</v>
      </c>
      <c r="R314" s="306">
        <f t="shared" ca="1" si="136"/>
        <v>0.15690555908422346</v>
      </c>
      <c r="S314" s="307">
        <f t="shared" ca="1" si="137"/>
        <v>8.014186906228673</v>
      </c>
      <c r="T314" s="304">
        <f t="shared" ca="1" si="117"/>
        <v>78.619173550103284</v>
      </c>
      <c r="U314" s="311">
        <f t="shared" ca="1" si="118"/>
        <v>0</v>
      </c>
      <c r="V314" s="306">
        <f t="shared" ca="1" si="119"/>
        <v>1.1850612095202169</v>
      </c>
      <c r="W314" s="304">
        <f t="shared" ca="1" si="120"/>
        <v>121.94315334647926</v>
      </c>
      <c r="Y314" s="314" t="str">
        <f t="shared" ca="1" si="138"/>
        <v/>
      </c>
      <c r="Z314" s="315" t="str">
        <f t="shared" ca="1" si="139"/>
        <v/>
      </c>
      <c r="AA314" s="316" t="str">
        <f t="shared" ca="1" si="140"/>
        <v/>
      </c>
      <c r="AC314" s="310" t="e">
        <f t="shared" ca="1" si="141"/>
        <v>#N/A</v>
      </c>
      <c r="AD314" s="323" t="e">
        <f t="shared" ca="1" si="142"/>
        <v>#N/A</v>
      </c>
      <c r="AE314" s="324">
        <f t="shared" ca="1" si="121"/>
        <v>331.43382684238179</v>
      </c>
      <c r="AG314" s="306">
        <f t="shared" ca="1" si="143"/>
        <v>14.073479086899354</v>
      </c>
      <c r="AH314" s="304">
        <f t="shared" ca="1" si="144"/>
        <v>23.816986016048176</v>
      </c>
    </row>
    <row r="315" spans="1:34" x14ac:dyDescent="0.2">
      <c r="A315" s="347">
        <f t="shared" ca="1" si="122"/>
        <v>0.01</v>
      </c>
      <c r="B315" s="304">
        <f t="shared" ca="1" si="123"/>
        <v>3.1099999999999777</v>
      </c>
      <c r="D315" s="306">
        <f t="shared" ca="1" si="124"/>
        <v>2.6467794418121371</v>
      </c>
      <c r="E315" s="307">
        <f t="shared" ca="1" si="125"/>
        <v>12.794705831184123</v>
      </c>
      <c r="F315" s="304">
        <f t="shared" ca="1" si="126"/>
        <v>13.065601353176836</v>
      </c>
      <c r="G315" s="306">
        <f t="shared" ca="1" si="127"/>
        <v>21.369650327667337</v>
      </c>
      <c r="H315" s="307">
        <f t="shared" ca="1" si="128"/>
        <v>182.40847827441061</v>
      </c>
      <c r="I315" s="304">
        <f t="shared" ca="1" si="129"/>
        <v>183.65596886982166</v>
      </c>
      <c r="J315" s="306">
        <f t="shared" ca="1" si="130"/>
        <v>36.259077158522338</v>
      </c>
      <c r="K315" s="307">
        <f t="shared" ca="1" si="131"/>
        <v>333.25727188983433</v>
      </c>
      <c r="L315" s="304">
        <f t="shared" ca="1" si="116"/>
        <v>335.22399965372801</v>
      </c>
      <c r="M315" s="306">
        <f t="shared" ca="1" si="132"/>
        <v>1.4541751952114879</v>
      </c>
      <c r="N315" s="304">
        <f t="shared" ca="1" si="133"/>
        <v>83.318101358230848</v>
      </c>
      <c r="P315" s="310">
        <f t="shared" ca="1" si="134"/>
        <v>8</v>
      </c>
      <c r="Q315" s="304">
        <f t="shared" ca="1" si="135"/>
        <v>304.30434782610564</v>
      </c>
      <c r="R315" s="306">
        <f t="shared" ca="1" si="136"/>
        <v>0.15271617411076099</v>
      </c>
      <c r="S315" s="307">
        <f t="shared" ca="1" si="137"/>
        <v>8.012659744487566</v>
      </c>
      <c r="T315" s="304">
        <f t="shared" ca="1" si="117"/>
        <v>78.604192093423023</v>
      </c>
      <c r="U315" s="311">
        <f t="shared" ca="1" si="118"/>
        <v>0</v>
      </c>
      <c r="V315" s="306">
        <f t="shared" ca="1" si="119"/>
        <v>1.1848450801456758</v>
      </c>
      <c r="W315" s="304">
        <f t="shared" ca="1" si="120"/>
        <v>122.09390861203437</v>
      </c>
      <c r="Y315" s="314" t="str">
        <f t="shared" ca="1" si="138"/>
        <v/>
      </c>
      <c r="Z315" s="315" t="str">
        <f t="shared" ca="1" si="139"/>
        <v/>
      </c>
      <c r="AA315" s="316" t="str">
        <f t="shared" ca="1" si="140"/>
        <v/>
      </c>
      <c r="AC315" s="310" t="e">
        <f t="shared" ca="1" si="141"/>
        <v>#N/A</v>
      </c>
      <c r="AD315" s="323" t="e">
        <f t="shared" ca="1" si="142"/>
        <v>#N/A</v>
      </c>
      <c r="AE315" s="324">
        <f t="shared" ca="1" si="121"/>
        <v>333.25727188983433</v>
      </c>
      <c r="AG315" s="306">
        <f t="shared" ca="1" si="143"/>
        <v>13.01569764155712</v>
      </c>
      <c r="AH315" s="304">
        <f t="shared" ca="1" si="144"/>
        <v>22.759133707765962</v>
      </c>
    </row>
    <row r="316" spans="1:34" x14ac:dyDescent="0.2">
      <c r="A316" s="347">
        <f t="shared" ca="1" si="122"/>
        <v>0.01</v>
      </c>
      <c r="B316" s="304">
        <f t="shared" ca="1" si="123"/>
        <v>3.1199999999999775</v>
      </c>
      <c r="D316" s="306">
        <f t="shared" ca="1" si="124"/>
        <v>2.5252383753213059</v>
      </c>
      <c r="E316" s="307">
        <f t="shared" ca="1" si="125"/>
        <v>11.745097170969258</v>
      </c>
      <c r="F316" s="304">
        <f t="shared" ca="1" si="126"/>
        <v>12.013498092050686</v>
      </c>
      <c r="G316" s="306">
        <f t="shared" ca="1" si="127"/>
        <v>21.394902711420549</v>
      </c>
      <c r="H316" s="307">
        <f t="shared" ca="1" si="128"/>
        <v>182.52592924612031</v>
      </c>
      <c r="I316" s="304">
        <f t="shared" ca="1" si="129"/>
        <v>183.77556069616784</v>
      </c>
      <c r="J316" s="306">
        <f t="shared" ca="1" si="130"/>
        <v>36.472899923717776</v>
      </c>
      <c r="K316" s="307">
        <f t="shared" ca="1" si="131"/>
        <v>335.08194392743701</v>
      </c>
      <c r="L316" s="304">
        <f t="shared" ca="1" si="116"/>
        <v>337.06109472176638</v>
      </c>
      <c r="M316" s="306">
        <f t="shared" ca="1" si="132"/>
        <v>1.4541130834823999</v>
      </c>
      <c r="N316" s="304">
        <f t="shared" ca="1" si="133"/>
        <v>83.314542618295846</v>
      </c>
      <c r="P316" s="310">
        <f t="shared" ca="1" si="134"/>
        <v>8</v>
      </c>
      <c r="Q316" s="304">
        <f t="shared" ca="1" si="135"/>
        <v>295.95652173914931</v>
      </c>
      <c r="R316" s="306">
        <f t="shared" ca="1" si="136"/>
        <v>0.14852678913729855</v>
      </c>
      <c r="S316" s="307">
        <f t="shared" ca="1" si="137"/>
        <v>8.0111744765961923</v>
      </c>
      <c r="T316" s="304">
        <f t="shared" ca="1" si="117"/>
        <v>78.589621615408646</v>
      </c>
      <c r="U316" s="311">
        <f t="shared" ca="1" si="118"/>
        <v>0</v>
      </c>
      <c r="V316" s="306">
        <f t="shared" ca="1" si="119"/>
        <v>1.1846288441381285</v>
      </c>
      <c r="W316" s="304">
        <f t="shared" ca="1" si="120"/>
        <v>122.23065757015249</v>
      </c>
      <c r="Y316" s="314" t="str">
        <f t="shared" ca="1" si="138"/>
        <v/>
      </c>
      <c r="Z316" s="315" t="str">
        <f t="shared" ca="1" si="139"/>
        <v/>
      </c>
      <c r="AA316" s="316" t="str">
        <f t="shared" ca="1" si="140"/>
        <v/>
      </c>
      <c r="AC316" s="310" t="e">
        <f t="shared" ca="1" si="141"/>
        <v>#N/A</v>
      </c>
      <c r="AD316" s="323" t="e">
        <f t="shared" ca="1" si="142"/>
        <v>#N/A</v>
      </c>
      <c r="AE316" s="324">
        <f t="shared" ca="1" si="121"/>
        <v>335.08194392743701</v>
      </c>
      <c r="AG316" s="306">
        <f t="shared" ca="1" si="143"/>
        <v>11.959147185534887</v>
      </c>
      <c r="AH316" s="304">
        <f t="shared" ca="1" si="144"/>
        <v>21.702512363828347</v>
      </c>
    </row>
    <row r="317" spans="1:34" x14ac:dyDescent="0.2">
      <c r="A317" s="347">
        <f t="shared" ca="1" si="122"/>
        <v>0.01</v>
      </c>
      <c r="B317" s="304">
        <f t="shared" ca="1" si="123"/>
        <v>3.1299999999999772</v>
      </c>
      <c r="D317" s="306">
        <f t="shared" ca="1" si="124"/>
        <v>2.4037121490854414</v>
      </c>
      <c r="E317" s="307">
        <f t="shared" ca="1" si="125"/>
        <v>10.696744039448747</v>
      </c>
      <c r="F317" s="304">
        <f t="shared" ca="1" si="126"/>
        <v>10.96349237885188</v>
      </c>
      <c r="G317" s="306">
        <f t="shared" ca="1" si="127"/>
        <v>21.418939832911402</v>
      </c>
      <c r="H317" s="307">
        <f t="shared" ca="1" si="128"/>
        <v>182.63289668651481</v>
      </c>
      <c r="I317" s="304">
        <f t="shared" ca="1" si="129"/>
        <v>183.88459950651949</v>
      </c>
      <c r="J317" s="306">
        <f t="shared" ca="1" si="130"/>
        <v>36.686969136439437</v>
      </c>
      <c r="K317" s="307">
        <f t="shared" ca="1" si="131"/>
        <v>336.90773805710018</v>
      </c>
      <c r="L317" s="304">
        <f t="shared" ca="1" si="116"/>
        <v>338.8993326449164</v>
      </c>
      <c r="M317" s="306">
        <f t="shared" ca="1" si="132"/>
        <v>1.4540509756733708</v>
      </c>
      <c r="N317" s="304">
        <f t="shared" ca="1" si="133"/>
        <v>83.310984102963687</v>
      </c>
      <c r="P317" s="310">
        <f t="shared" ca="1" si="134"/>
        <v>8</v>
      </c>
      <c r="Q317" s="304">
        <f t="shared" ca="1" si="135"/>
        <v>287.60869565219298</v>
      </c>
      <c r="R317" s="306">
        <f t="shared" ca="1" si="136"/>
        <v>0.14433740416383611</v>
      </c>
      <c r="S317" s="307">
        <f t="shared" ca="1" si="137"/>
        <v>8.0097311025545537</v>
      </c>
      <c r="T317" s="304">
        <f t="shared" ca="1" si="117"/>
        <v>78.57546211606018</v>
      </c>
      <c r="U317" s="311">
        <f t="shared" ca="1" si="118"/>
        <v>0</v>
      </c>
      <c r="V317" s="306">
        <f t="shared" ca="1" si="119"/>
        <v>1.1844125139932042</v>
      </c>
      <c r="W317" s="304">
        <f t="shared" ca="1" si="120"/>
        <v>122.35339828449628</v>
      </c>
      <c r="Y317" s="314" t="str">
        <f t="shared" ca="1" si="138"/>
        <v/>
      </c>
      <c r="Z317" s="315" t="str">
        <f t="shared" ca="1" si="139"/>
        <v/>
      </c>
      <c r="AA317" s="316" t="str">
        <f t="shared" ca="1" si="140"/>
        <v/>
      </c>
      <c r="AC317" s="310" t="e">
        <f t="shared" ca="1" si="141"/>
        <v>#N/A</v>
      </c>
      <c r="AD317" s="323" t="e">
        <f t="shared" ca="1" si="142"/>
        <v>#N/A</v>
      </c>
      <c r="AE317" s="324">
        <f t="shared" ca="1" si="121"/>
        <v>336.90773805710018</v>
      </c>
      <c r="AG317" s="306">
        <f t="shared" ca="1" si="143"/>
        <v>10.903845569526856</v>
      </c>
      <c r="AH317" s="304">
        <f t="shared" ca="1" si="144"/>
        <v>20.647139830861022</v>
      </c>
    </row>
    <row r="318" spans="1:34" x14ac:dyDescent="0.2">
      <c r="A318" s="347">
        <f t="shared" ca="1" si="122"/>
        <v>0.01</v>
      </c>
      <c r="B318" s="304">
        <f t="shared" ca="1" si="123"/>
        <v>3.139999999999977</v>
      </c>
      <c r="D318" s="306">
        <f t="shared" ca="1" si="124"/>
        <v>2.2822031247200196</v>
      </c>
      <c r="E318" s="307">
        <f t="shared" ca="1" si="125"/>
        <v>9.6496637716955345</v>
      </c>
      <c r="F318" s="304">
        <f t="shared" ca="1" si="126"/>
        <v>9.9158692008948517</v>
      </c>
      <c r="G318" s="306">
        <f t="shared" ca="1" si="127"/>
        <v>21.441761864158604</v>
      </c>
      <c r="H318" s="307">
        <f t="shared" ca="1" si="128"/>
        <v>182.72939332423178</v>
      </c>
      <c r="I318" s="304">
        <f t="shared" ca="1" si="129"/>
        <v>183.98309796413662</v>
      </c>
      <c r="J318" s="306">
        <f t="shared" ca="1" si="130"/>
        <v>36.901272644924788</v>
      </c>
      <c r="K318" s="307">
        <f t="shared" ca="1" si="131"/>
        <v>338.73454950715393</v>
      </c>
      <c r="L318" s="304">
        <f t="shared" ca="1" si="116"/>
        <v>340.73860795722811</v>
      </c>
      <c r="M318" s="306">
        <f t="shared" ca="1" si="132"/>
        <v>1.4539888682241513</v>
      </c>
      <c r="N318" s="304">
        <f t="shared" ca="1" si="133"/>
        <v>83.307425608247087</v>
      </c>
      <c r="P318" s="310">
        <f t="shared" ca="1" si="134"/>
        <v>8</v>
      </c>
      <c r="Q318" s="304">
        <f t="shared" ca="1" si="135"/>
        <v>279.26086956523659</v>
      </c>
      <c r="R318" s="306">
        <f t="shared" ca="1" si="136"/>
        <v>0.14014801919037362</v>
      </c>
      <c r="S318" s="307">
        <f t="shared" ca="1" si="137"/>
        <v>8.0083296223626501</v>
      </c>
      <c r="T318" s="304">
        <f t="shared" ca="1" si="117"/>
        <v>78.561713595377597</v>
      </c>
      <c r="U318" s="311">
        <f t="shared" ca="1" si="118"/>
        <v>0</v>
      </c>
      <c r="V318" s="306">
        <f t="shared" ca="1" si="119"/>
        <v>1.1841961021826388</v>
      </c>
      <c r="W318" s="304">
        <f t="shared" ca="1" si="120"/>
        <v>122.462131528702</v>
      </c>
      <c r="Y318" s="314" t="str">
        <f t="shared" ca="1" si="138"/>
        <v/>
      </c>
      <c r="Z318" s="315" t="str">
        <f t="shared" ca="1" si="139"/>
        <v/>
      </c>
      <c r="AA318" s="316" t="str">
        <f t="shared" ca="1" si="140"/>
        <v/>
      </c>
      <c r="AC318" s="310" t="e">
        <f t="shared" ca="1" si="141"/>
        <v>#N/A</v>
      </c>
      <c r="AD318" s="323" t="e">
        <f t="shared" ca="1" si="142"/>
        <v>#N/A</v>
      </c>
      <c r="AE318" s="324">
        <f t="shared" ca="1" si="121"/>
        <v>338.73454950715393</v>
      </c>
      <c r="AG318" s="306">
        <f t="shared" ca="1" si="143"/>
        <v>9.8498102774850391</v>
      </c>
      <c r="AH318" s="304">
        <f t="shared" ca="1" si="144"/>
        <v>19.593033588750913</v>
      </c>
    </row>
    <row r="319" spans="1:34" x14ac:dyDescent="0.2">
      <c r="A319" s="347">
        <f t="shared" ca="1" si="122"/>
        <v>0.01</v>
      </c>
      <c r="B319" s="304">
        <f t="shared" ca="1" si="123"/>
        <v>3.1499999999999768</v>
      </c>
      <c r="D319" s="306">
        <f t="shared" ca="1" si="124"/>
        <v>2.1607136103591618</v>
      </c>
      <c r="E319" s="307">
        <f t="shared" ca="1" si="125"/>
        <v>8.6038733407127044</v>
      </c>
      <c r="F319" s="304">
        <f t="shared" ca="1" si="126"/>
        <v>8.8710382576684967</v>
      </c>
      <c r="G319" s="306">
        <f t="shared" ca="1" si="127"/>
        <v>21.463369000262194</v>
      </c>
      <c r="H319" s="307">
        <f t="shared" ca="1" si="128"/>
        <v>182.8154320576389</v>
      </c>
      <c r="I319" s="304">
        <f t="shared" ca="1" si="129"/>
        <v>184.07106890346077</v>
      </c>
      <c r="J319" s="306">
        <f t="shared" ca="1" si="130"/>
        <v>37.11579829924689</v>
      </c>
      <c r="K319" s="307">
        <f t="shared" ca="1" si="131"/>
        <v>340.56227363406327</v>
      </c>
      <c r="L319" s="304">
        <f t="shared" ca="1" si="116"/>
        <v>342.57881532020184</v>
      </c>
      <c r="M319" s="306">
        <f t="shared" ca="1" si="132"/>
        <v>1.4539267575827146</v>
      </c>
      <c r="N319" s="304">
        <f t="shared" ca="1" si="133"/>
        <v>83.303866930629908</v>
      </c>
      <c r="P319" s="310">
        <f t="shared" ca="1" si="134"/>
        <v>8</v>
      </c>
      <c r="Q319" s="304">
        <f t="shared" ca="1" si="135"/>
        <v>270.91304347828031</v>
      </c>
      <c r="R319" s="306">
        <f t="shared" ca="1" si="136"/>
        <v>0.13595863421691121</v>
      </c>
      <c r="S319" s="307">
        <f t="shared" ca="1" si="137"/>
        <v>8.0069700360204816</v>
      </c>
      <c r="T319" s="304">
        <f t="shared" ca="1" si="117"/>
        <v>78.548376053360926</v>
      </c>
      <c r="U319" s="311">
        <f t="shared" ca="1" si="118"/>
        <v>0</v>
      </c>
      <c r="V319" s="306">
        <f t="shared" ca="1" si="119"/>
        <v>1.1839796211540823</v>
      </c>
      <c r="W319" s="304">
        <f t="shared" ca="1" si="120"/>
        <v>122.55686076858134</v>
      </c>
      <c r="Y319" s="314" t="str">
        <f t="shared" ca="1" si="138"/>
        <v/>
      </c>
      <c r="Z319" s="315" t="str">
        <f t="shared" ca="1" si="139"/>
        <v/>
      </c>
      <c r="AA319" s="316" t="str">
        <f t="shared" ca="1" si="140"/>
        <v/>
      </c>
      <c r="AC319" s="310" t="e">
        <f t="shared" ca="1" si="141"/>
        <v>#N/A</v>
      </c>
      <c r="AD319" s="323" t="e">
        <f t="shared" ca="1" si="142"/>
        <v>#N/A</v>
      </c>
      <c r="AE319" s="324">
        <f t="shared" ca="1" si="121"/>
        <v>340.56227363406327</v>
      </c>
      <c r="AG319" s="306">
        <f t="shared" ca="1" si="143"/>
        <v>8.7970584275759052</v>
      </c>
      <c r="AH319" s="304">
        <f t="shared" ca="1" si="144"/>
        <v>18.540210751601542</v>
      </c>
    </row>
    <row r="320" spans="1:34" x14ac:dyDescent="0.2">
      <c r="A320" s="347">
        <f t="shared" ca="1" si="122"/>
        <v>0.01</v>
      </c>
      <c r="B320" s="304">
        <f t="shared" ca="1" si="123"/>
        <v>3.1599999999999766</v>
      </c>
      <c r="D320" s="306">
        <f t="shared" ca="1" si="124"/>
        <v>2.0392458607752486</v>
      </c>
      <c r="E320" s="307">
        <f t="shared" ca="1" si="125"/>
        <v>7.559389358437846</v>
      </c>
      <c r="F320" s="304">
        <f t="shared" ca="1" si="126"/>
        <v>7.8296162839025731</v>
      </c>
      <c r="G320" s="306">
        <f t="shared" ca="1" si="127"/>
        <v>21.483761458869946</v>
      </c>
      <c r="H320" s="307">
        <f t="shared" ca="1" si="128"/>
        <v>182.89102595122327</v>
      </c>
      <c r="I320" s="304">
        <f t="shared" ca="1" si="129"/>
        <v>184.14852532646751</v>
      </c>
      <c r="J320" s="306">
        <f t="shared" ca="1" si="130"/>
        <v>37.330533951542549</v>
      </c>
      <c r="K320" s="307">
        <f t="shared" ca="1" si="131"/>
        <v>342.39080592410761</v>
      </c>
      <c r="L320" s="304">
        <f t="shared" ca="1" si="116"/>
        <v>344.41984952448252</v>
      </c>
      <c r="M320" s="306">
        <f t="shared" ca="1" si="132"/>
        <v>1.4538646402040845</v>
      </c>
      <c r="N320" s="304">
        <f t="shared" ca="1" si="133"/>
        <v>83.300307866999987</v>
      </c>
      <c r="P320" s="310">
        <f t="shared" ca="1" si="134"/>
        <v>8</v>
      </c>
      <c r="Q320" s="304">
        <f t="shared" ca="1" si="135"/>
        <v>262.56521739132393</v>
      </c>
      <c r="R320" s="306">
        <f t="shared" ca="1" si="136"/>
        <v>0.13176924924344874</v>
      </c>
      <c r="S320" s="307">
        <f t="shared" ca="1" si="137"/>
        <v>8.0056523435280464</v>
      </c>
      <c r="T320" s="304">
        <f t="shared" ca="1" si="117"/>
        <v>78.535449490010137</v>
      </c>
      <c r="U320" s="311">
        <f t="shared" ca="1" si="118"/>
        <v>0</v>
      </c>
      <c r="V320" s="306">
        <f t="shared" ca="1" si="119"/>
        <v>1.1837630833309047</v>
      </c>
      <c r="W320" s="304">
        <f t="shared" ca="1" si="120"/>
        <v>122.6375921441513</v>
      </c>
      <c r="Y320" s="314" t="str">
        <f t="shared" ca="1" si="138"/>
        <v/>
      </c>
      <c r="Z320" s="315" t="str">
        <f t="shared" ca="1" si="139"/>
        <v/>
      </c>
      <c r="AA320" s="316" t="str">
        <f t="shared" ca="1" si="140"/>
        <v/>
      </c>
      <c r="AC320" s="310" t="e">
        <f t="shared" ca="1" si="141"/>
        <v>#N/A</v>
      </c>
      <c r="AD320" s="323" t="e">
        <f t="shared" ca="1" si="142"/>
        <v>#N/A</v>
      </c>
      <c r="AE320" s="324">
        <f t="shared" ca="1" si="121"/>
        <v>342.39080592410761</v>
      </c>
      <c r="AG320" s="306">
        <f t="shared" ca="1" si="143"/>
        <v>7.7456067731891309</v>
      </c>
      <c r="AH320" s="304">
        <f t="shared" ca="1" si="144"/>
        <v>17.488688068740402</v>
      </c>
    </row>
    <row r="321" spans="1:34" x14ac:dyDescent="0.2">
      <c r="A321" s="347">
        <f t="shared" ca="1" si="122"/>
        <v>0.01</v>
      </c>
      <c r="B321" s="304">
        <f t="shared" ca="1" si="123"/>
        <v>3.1699999999999764</v>
      </c>
      <c r="D321" s="306">
        <f t="shared" ca="1" si="124"/>
        <v>1.9178020774983242</v>
      </c>
      <c r="E321" s="307">
        <f t="shared" ca="1" si="125"/>
        <v>6.5162280767990435</v>
      </c>
      <c r="F321" s="304">
        <f t="shared" ca="1" si="126"/>
        <v>6.7925836879144184</v>
      </c>
      <c r="G321" s="306">
        <f t="shared" ca="1" si="127"/>
        <v>21.50293947964493</v>
      </c>
      <c r="H321" s="307">
        <f t="shared" ca="1" si="128"/>
        <v>182.95618823199126</v>
      </c>
      <c r="I321" s="304">
        <f t="shared" ca="1" si="129"/>
        <v>184.21548039902913</v>
      </c>
      <c r="J321" s="306">
        <f t="shared" ca="1" si="130"/>
        <v>37.545467456235123</v>
      </c>
      <c r="K321" s="307">
        <f t="shared" ca="1" si="131"/>
        <v>344.22004199502368</v>
      </c>
      <c r="L321" s="304">
        <f t="shared" ca="1" si="116"/>
        <v>346.26160549151717</v>
      </c>
      <c r="M321" s="306">
        <f t="shared" ca="1" si="132"/>
        <v>1.453802512549168</v>
      </c>
      <c r="N321" s="304">
        <f t="shared" ca="1" si="133"/>
        <v>83.296748214582223</v>
      </c>
      <c r="P321" s="310">
        <f t="shared" ca="1" si="134"/>
        <v>8</v>
      </c>
      <c r="Q321" s="304">
        <f t="shared" ca="1" si="135"/>
        <v>254.2173913043676</v>
      </c>
      <c r="R321" s="306">
        <f t="shared" ca="1" si="136"/>
        <v>0.1275798642699863</v>
      </c>
      <c r="S321" s="307">
        <f t="shared" ca="1" si="137"/>
        <v>8.0043765448853463</v>
      </c>
      <c r="T321" s="304">
        <f t="shared" ca="1" si="117"/>
        <v>78.522933905325246</v>
      </c>
      <c r="U321" s="311">
        <f t="shared" ca="1" si="118"/>
        <v>0</v>
      </c>
      <c r="V321" s="306">
        <f t="shared" ca="1" si="119"/>
        <v>1.183546501112013</v>
      </c>
      <c r="W321" s="304">
        <f t="shared" ca="1" si="120"/>
        <v>122.70433445150134</v>
      </c>
      <c r="Y321" s="314" t="str">
        <f t="shared" ca="1" si="138"/>
        <v/>
      </c>
      <c r="Z321" s="315" t="str">
        <f t="shared" ca="1" si="139"/>
        <v/>
      </c>
      <c r="AA321" s="316" t="str">
        <f t="shared" ca="1" si="140"/>
        <v/>
      </c>
      <c r="AC321" s="310" t="e">
        <f t="shared" ca="1" si="141"/>
        <v>#N/A</v>
      </c>
      <c r="AD321" s="323" t="e">
        <f t="shared" ca="1" si="142"/>
        <v>#N/A</v>
      </c>
      <c r="AE321" s="324">
        <f t="shared" ca="1" si="121"/>
        <v>344.22004199502368</v>
      </c>
      <c r="AG321" s="306">
        <f t="shared" ca="1" si="143"/>
        <v>6.6954717039975673</v>
      </c>
      <c r="AH321" s="304">
        <f t="shared" ca="1" si="144"/>
        <v>16.438481925777644</v>
      </c>
    </row>
    <row r="322" spans="1:34" x14ac:dyDescent="0.2">
      <c r="A322" s="347">
        <f t="shared" ca="1" si="122"/>
        <v>0.01</v>
      </c>
      <c r="B322" s="304">
        <f t="shared" ca="1" si="123"/>
        <v>3.1799999999999762</v>
      </c>
      <c r="D322" s="306">
        <f t="shared" ca="1" si="124"/>
        <v>1.7963844089352827</v>
      </c>
      <c r="E322" s="307">
        <f t="shared" ca="1" si="125"/>
        <v>5.4744053888210544</v>
      </c>
      <c r="F322" s="304">
        <f t="shared" ca="1" si="126"/>
        <v>5.7616066601095541</v>
      </c>
      <c r="G322" s="306">
        <f t="shared" ca="1" si="127"/>
        <v>21.520903323734281</v>
      </c>
      <c r="H322" s="307">
        <f t="shared" ca="1" si="128"/>
        <v>183.01093228587948</v>
      </c>
      <c r="I322" s="304">
        <f t="shared" ca="1" si="129"/>
        <v>184.27194744728857</v>
      </c>
      <c r="J322" s="306">
        <f t="shared" ca="1" si="130"/>
        <v>37.760586670252017</v>
      </c>
      <c r="K322" s="307">
        <f t="shared" ca="1" si="131"/>
        <v>346.04987759761303</v>
      </c>
      <c r="L322" s="304">
        <f t="shared" ca="1" si="116"/>
        <v>348.10397827517653</v>
      </c>
      <c r="M322" s="306">
        <f t="shared" ca="1" si="132"/>
        <v>1.4537403710835961</v>
      </c>
      <c r="N322" s="304">
        <f t="shared" ca="1" si="133"/>
        <v>83.293187770872194</v>
      </c>
      <c r="P322" s="310">
        <f t="shared" ca="1" si="134"/>
        <v>8</v>
      </c>
      <c r="Q322" s="304">
        <f t="shared" ca="1" si="135"/>
        <v>245.86956521741126</v>
      </c>
      <c r="R322" s="306">
        <f t="shared" ca="1" si="136"/>
        <v>0.12339047929652386</v>
      </c>
      <c r="S322" s="307">
        <f t="shared" ca="1" si="137"/>
        <v>8.0031426400923813</v>
      </c>
      <c r="T322" s="304">
        <f t="shared" ca="1" si="117"/>
        <v>78.510829299306266</v>
      </c>
      <c r="U322" s="311">
        <f t="shared" ca="1" si="118"/>
        <v>0</v>
      </c>
      <c r="V322" s="306">
        <f t="shared" ca="1" si="119"/>
        <v>1.1833298868716695</v>
      </c>
      <c r="W322" s="304">
        <f t="shared" ca="1" si="120"/>
        <v>122.75709912450576</v>
      </c>
      <c r="Y322" s="314" t="str">
        <f t="shared" ca="1" si="138"/>
        <v/>
      </c>
      <c r="Z322" s="315" t="str">
        <f t="shared" ca="1" si="139"/>
        <v/>
      </c>
      <c r="AA322" s="316" t="str">
        <f t="shared" ca="1" si="140"/>
        <v/>
      </c>
      <c r="AC322" s="310" t="e">
        <f t="shared" ca="1" si="141"/>
        <v>#N/A</v>
      </c>
      <c r="AD322" s="323" t="e">
        <f t="shared" ca="1" si="142"/>
        <v>#N/A</v>
      </c>
      <c r="AE322" s="324">
        <f t="shared" ca="1" si="121"/>
        <v>346.04987759761303</v>
      </c>
      <c r="AG322" s="306">
        <f t="shared" ca="1" si="143"/>
        <v>5.6466692470670719</v>
      </c>
      <c r="AH322" s="304">
        <f t="shared" ca="1" si="144"/>
        <v>15.38960834571458</v>
      </c>
    </row>
    <row r="323" spans="1:34" x14ac:dyDescent="0.2">
      <c r="A323" s="347">
        <f t="shared" ca="1" si="122"/>
        <v>0.01</v>
      </c>
      <c r="B323" s="304">
        <f t="shared" ca="1" si="123"/>
        <v>3.189999999999976</v>
      </c>
      <c r="D323" s="306">
        <f t="shared" ca="1" si="124"/>
        <v>1.6749949504887693</v>
      </c>
      <c r="E323" s="307">
        <f t="shared" ca="1" si="125"/>
        <v>4.4339368297807873</v>
      </c>
      <c r="F323" s="304">
        <f t="shared" ca="1" si="126"/>
        <v>4.7397683376563222</v>
      </c>
      <c r="G323" s="306">
        <f t="shared" ca="1" si="127"/>
        <v>21.537653273239169</v>
      </c>
      <c r="H323" s="307">
        <f t="shared" ca="1" si="128"/>
        <v>183.05527165417729</v>
      </c>
      <c r="I323" s="304">
        <f t="shared" ca="1" si="129"/>
        <v>184.31793995404493</v>
      </c>
      <c r="J323" s="306">
        <f t="shared" ca="1" si="130"/>
        <v>37.975879453236885</v>
      </c>
      <c r="K323" s="307">
        <f t="shared" ca="1" si="131"/>
        <v>347.88020861731331</v>
      </c>
      <c r="L323" s="304">
        <f t="shared" ca="1" si="116"/>
        <v>349.94686306334029</v>
      </c>
      <c r="M323" s="306">
        <f t="shared" ca="1" si="132"/>
        <v>1.453678212276569</v>
      </c>
      <c r="N323" s="304">
        <f t="shared" ca="1" si="133"/>
        <v>83.289626333569984</v>
      </c>
      <c r="P323" s="310">
        <f t="shared" ca="1" si="134"/>
        <v>8</v>
      </c>
      <c r="Q323" s="304">
        <f t="shared" ca="1" si="135"/>
        <v>237.5217391304549</v>
      </c>
      <c r="R323" s="306">
        <f t="shared" ca="1" si="136"/>
        <v>0.1192010943230614</v>
      </c>
      <c r="S323" s="307">
        <f t="shared" ca="1" si="137"/>
        <v>8.0019506291491513</v>
      </c>
      <c r="T323" s="304">
        <f t="shared" ca="1" si="117"/>
        <v>78.499135671953184</v>
      </c>
      <c r="U323" s="311">
        <f t="shared" ca="1" si="118"/>
        <v>0</v>
      </c>
      <c r="V323" s="306">
        <f t="shared" ca="1" si="119"/>
        <v>1.1831132529593198</v>
      </c>
      <c r="W323" s="304">
        <f t="shared" ca="1" si="120"/>
        <v>122.79590021639005</v>
      </c>
      <c r="Y323" s="314" t="str">
        <f t="shared" ca="1" si="138"/>
        <v/>
      </c>
      <c r="Z323" s="315" t="str">
        <f t="shared" ca="1" si="139"/>
        <v/>
      </c>
      <c r="AA323" s="316" t="str">
        <f t="shared" ca="1" si="140"/>
        <v/>
      </c>
      <c r="AC323" s="310" t="e">
        <f t="shared" ca="1" si="141"/>
        <v>#N/A</v>
      </c>
      <c r="AD323" s="323" t="e">
        <f t="shared" ca="1" si="142"/>
        <v>#N/A</v>
      </c>
      <c r="AE323" s="324">
        <f t="shared" ca="1" si="121"/>
        <v>347.88020861731331</v>
      </c>
      <c r="AG323" s="306">
        <f t="shared" ca="1" si="143"/>
        <v>4.599215068015285</v>
      </c>
      <c r="AH323" s="304">
        <f t="shared" ca="1" si="144"/>
        <v>14.342082990101138</v>
      </c>
    </row>
    <row r="324" spans="1:34" x14ac:dyDescent="0.2">
      <c r="A324" s="347">
        <f t="shared" ca="1" si="122"/>
        <v>0.01</v>
      </c>
      <c r="B324" s="304">
        <f t="shared" ca="1" si="123"/>
        <v>3.1999999999999758</v>
      </c>
      <c r="D324" s="306">
        <f t="shared" ca="1" si="124"/>
        <v>1.5536357446757147</v>
      </c>
      <c r="E324" s="307">
        <f t="shared" ca="1" si="125"/>
        <v>3.3948375784109022</v>
      </c>
      <c r="F324" s="304">
        <f t="shared" ca="1" si="126"/>
        <v>3.7334576749877399</v>
      </c>
      <c r="G324" s="306">
        <f t="shared" ca="1" si="127"/>
        <v>21.553189630685925</v>
      </c>
      <c r="H324" s="307">
        <f t="shared" ca="1" si="128"/>
        <v>183.08922002996141</v>
      </c>
      <c r="I324" s="304">
        <f t="shared" ca="1" si="129"/>
        <v>184.35347155515117</v>
      </c>
      <c r="J324" s="306">
        <f t="shared" ca="1" si="130"/>
        <v>38.19133366775651</v>
      </c>
      <c r="K324" s="307">
        <f t="shared" ca="1" si="131"/>
        <v>349.71093107573398</v>
      </c>
      <c r="L324" s="304">
        <f t="shared" ref="L324:L387" ca="1" si="145">SQRT(pos_x^2+pos_z^2)</f>
        <v>351.79015517944595</v>
      </c>
      <c r="M324" s="306">
        <f t="shared" ca="1" si="132"/>
        <v>1.4536160325997076</v>
      </c>
      <c r="N324" s="304">
        <f t="shared" ca="1" si="133"/>
        <v>83.286063700514333</v>
      </c>
      <c r="P324" s="310">
        <f t="shared" ca="1" si="134"/>
        <v>8</v>
      </c>
      <c r="Q324" s="304">
        <f t="shared" ca="1" si="135"/>
        <v>229.17391304349857</v>
      </c>
      <c r="R324" s="306">
        <f t="shared" ca="1" si="136"/>
        <v>0.11501170934959895</v>
      </c>
      <c r="S324" s="307">
        <f t="shared" ca="1" si="137"/>
        <v>8.0008005120556547</v>
      </c>
      <c r="T324" s="304">
        <f t="shared" ref="T324:T387" ca="1" si="146">m*g</f>
        <v>78.48785302326597</v>
      </c>
      <c r="U324" s="311">
        <f t="shared" ref="U324:U387" ca="1" si="147">IF(pos_xz&lt;L_rampe,Poids*COS(Beta),0)</f>
        <v>0</v>
      </c>
      <c r="V324" s="306">
        <f t="shared" ref="V324:V387" ca="1" si="148">Rho_moyen*(20000-Alt_rampe-pos_z)/(20000+Alt_rampe+pos_z)</f>
        <v>1.1828966116994246</v>
      </c>
      <c r="W324" s="304">
        <f t="shared" ref="W324:W387" ca="1" si="149">1/2*Rho*Sref*Cx*vit_xz^2</f>
        <v>122.82075438115903</v>
      </c>
      <c r="Y324" s="314" t="str">
        <f t="shared" ca="1" si="138"/>
        <v/>
      </c>
      <c r="Z324" s="315" t="str">
        <f t="shared" ca="1" si="139"/>
        <v/>
      </c>
      <c r="AA324" s="316" t="str">
        <f t="shared" ca="1" si="140"/>
        <v>Satellite</v>
      </c>
      <c r="AC324" s="310" t="e">
        <f t="shared" ca="1" si="141"/>
        <v>#N/A</v>
      </c>
      <c r="AD324" s="323" t="e">
        <f t="shared" ca="1" si="142"/>
        <v>#N/A</v>
      </c>
      <c r="AE324" s="324">
        <f t="shared" ref="AE324:AE387" ca="1" si="150">IF(t&lt;T_para, pos_z, NA())</f>
        <v>349.71093107573398</v>
      </c>
      <c r="AG324" s="306">
        <f t="shared" ca="1" si="143"/>
        <v>3.5531244722181548</v>
      </c>
      <c r="AH324" s="304">
        <f t="shared" ca="1" si="144"/>
        <v>13.29592116024109</v>
      </c>
    </row>
    <row r="325" spans="1:34" x14ac:dyDescent="0.2">
      <c r="A325" s="347">
        <f t="shared" ref="A325:A388" ca="1" si="151">IF(B324+0.01&lt;=T_ini+ROUNDUP(Temps_fin_propu,0), 0.01, IF(K324&gt;0, 0.1, 0.0001))</f>
        <v>0.01</v>
      </c>
      <c r="B325" s="304">
        <f t="shared" ref="B325:B388" ca="1" si="152">B324+pas</f>
        <v>3.2099999999999755</v>
      </c>
      <c r="D325" s="306">
        <f t="shared" ref="D325:D388" ca="1" si="153">IF(AND(L324&lt;L_rampe,Poussee&lt;Poids*SIN(M324)),0,(-W324+Poussee)/m*COS(M324)-U324/m*SIN(M324))</f>
        <v>1.4505487500360523</v>
      </c>
      <c r="E325" s="307">
        <f t="shared" ref="E325:E388" ca="1" si="154">IF(AND(L324&lt;L_rampe,Poussee&lt;Poids*SIN(M324)),0,(-W324+Poussee)/m*SIN(M324)+U324/m*COS(M324)-Poids/m)</f>
        <v>2.5120666551099404</v>
      </c>
      <c r="F325" s="304">
        <f t="shared" ref="F325:F388" ca="1" si="155">SQRT(acc_x^2+acc_z^2)</f>
        <v>2.9007879198497775</v>
      </c>
      <c r="G325" s="306">
        <f t="shared" ref="G325:G388" ca="1" si="156">G324+acc_x*pas</f>
        <v>21.567695118186286</v>
      </c>
      <c r="H325" s="307">
        <f t="shared" ref="H325:H388" ca="1" si="157">H324+acc_z*pas</f>
        <v>183.1143406965125</v>
      </c>
      <c r="I325" s="304">
        <f t="shared" ref="I325:I388" ca="1" si="158">SQRT(vit_x^2+vit_z^2)</f>
        <v>184.3801161769606</v>
      </c>
      <c r="J325" s="306">
        <f t="shared" ref="J325:J388" ca="1" si="159">J324+0.5*(vit_x+G324)*pas*(K324&gt;=0)</f>
        <v>38.406938091500869</v>
      </c>
      <c r="K325" s="307">
        <f t="shared" ref="K325:K388" ca="1" si="160">K324+0.5*(vit_z+H324)*pas</f>
        <v>351.54194887936637</v>
      </c>
      <c r="L325" s="304">
        <f t="shared" ca="1" si="145"/>
        <v>353.63375788443528</v>
      </c>
      <c r="M325" s="306">
        <f t="shared" ref="M325:M388" ca="1" si="161">IF(AND(L324&gt;L_rampe,G325&gt;0),ATAN2(G325,H325),$M$4)</f>
        <v>1.4535538290522496</v>
      </c>
      <c r="N325" s="304">
        <f t="shared" ref="N325:N388" ca="1" si="162">DEGREES(Beta)</f>
        <v>83.282499699774249</v>
      </c>
      <c r="P325" s="310">
        <f t="shared" ref="P325:P388" ca="1" si="163">MATCH(t-pas/2-T_ini,CdP_t)</f>
        <v>9</v>
      </c>
      <c r="Q325" s="304">
        <f t="shared" ref="Q325:Q388" ca="1" si="164">(INDEX(CdP,2,i_P+1)-INDEX(CdP,2,i_P+0))/(INDEX(CdP,1,i_P+1)-INDEX(CdP,1,i_P+0))*(t-pas/2-T_ini-INDEX(CdP,1,i_P+0))+INDEX(CdP,2,i_P+0)</f>
        <v>222.07407407408843</v>
      </c>
      <c r="R325" s="306">
        <f t="shared" ref="R325:R388" ca="1" si="165">Poussee/(g*ISP)</f>
        <v>0.11144863096456581</v>
      </c>
      <c r="S325" s="307">
        <f t="shared" ref="S325:S388" ca="1" si="166">S324-Débit*pas</f>
        <v>7.9996860257460094</v>
      </c>
      <c r="T325" s="304">
        <f t="shared" ca="1" si="146"/>
        <v>78.476919912568363</v>
      </c>
      <c r="U325" s="311">
        <f t="shared" ca="1" si="147"/>
        <v>0</v>
      </c>
      <c r="V325" s="306">
        <f t="shared" ca="1" si="148"/>
        <v>1.1826799744747658</v>
      </c>
      <c r="W325" s="304">
        <f t="shared" ca="1" si="149"/>
        <v>122.83375947819189</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f t="shared" ca="1" si="150"/>
        <v>351.54194887936637</v>
      </c>
      <c r="AG325" s="306">
        <f t="shared" ref="AG325:AG388" ca="1" si="172">IF(AND(L324&lt;L_rampe,Poussee&lt;Poids*SIN(M324)),0,(-W324+Poussee)/m-Poids*SIN(M324)/m)</f>
        <v>2.6644265100182185</v>
      </c>
      <c r="AH325" s="304">
        <f t="shared" ref="AH325:AH388" ca="1" si="173">IF(AND(L324&lt;L_rampe,Poussee&lt;Poids*SIN(M324)), g*SIN(M324), (-W324+Poussee)/m)</f>
        <v>12.407151902399013</v>
      </c>
    </row>
    <row r="326" spans="1:34" x14ac:dyDescent="0.2">
      <c r="A326" s="347">
        <f t="shared" ca="1" si="151"/>
        <v>0.01</v>
      </c>
      <c r="B326" s="304">
        <f t="shared" ca="1" si="152"/>
        <v>3.2199999999999753</v>
      </c>
      <c r="D326" s="306">
        <f t="shared" ca="1" si="153"/>
        <v>1.3657425807620822</v>
      </c>
      <c r="E326" s="307">
        <f t="shared" ca="1" si="154"/>
        <v>1.7854463778804099</v>
      </c>
      <c r="F326" s="304">
        <f t="shared" ca="1" si="155"/>
        <v>2.2479038158232987</v>
      </c>
      <c r="G326" s="306">
        <f t="shared" ca="1" si="156"/>
        <v>21.581352543993908</v>
      </c>
      <c r="H326" s="307">
        <f t="shared" ca="1" si="157"/>
        <v>183.1321951602913</v>
      </c>
      <c r="I326" s="304">
        <f t="shared" ca="1" si="158"/>
        <v>184.39944599118286</v>
      </c>
      <c r="J326" s="306">
        <f t="shared" ca="1" si="159"/>
        <v>38.622683329811771</v>
      </c>
      <c r="K326" s="307">
        <f t="shared" ca="1" si="160"/>
        <v>353.3731815586504</v>
      </c>
      <c r="L326" s="304">
        <f t="shared" ca="1" si="145"/>
        <v>355.47759016916638</v>
      </c>
      <c r="M326" s="306">
        <f t="shared" ca="1" si="161"/>
        <v>1.4534915991602677</v>
      </c>
      <c r="N326" s="304">
        <f t="shared" ca="1" si="162"/>
        <v>83.278934189604129</v>
      </c>
      <c r="P326" s="310">
        <f t="shared" ca="1" si="163"/>
        <v>9</v>
      </c>
      <c r="Q326" s="304">
        <f t="shared" ca="1" si="164"/>
        <v>216.2222222222367</v>
      </c>
      <c r="R326" s="306">
        <f t="shared" ca="1" si="165"/>
        <v>0.1085118591679681</v>
      </c>
      <c r="S326" s="307">
        <f t="shared" ca="1" si="166"/>
        <v>7.99860090715433</v>
      </c>
      <c r="T326" s="304">
        <f t="shared" ca="1" si="146"/>
        <v>78.466274899183986</v>
      </c>
      <c r="U326" s="311">
        <f t="shared" ca="1" si="147"/>
        <v>0</v>
      </c>
      <c r="V326" s="306">
        <f t="shared" ca="1" si="148"/>
        <v>1.1824633508118878</v>
      </c>
      <c r="W326" s="304">
        <f t="shared" ca="1" si="149"/>
        <v>122.83701245094642</v>
      </c>
      <c r="Y326" s="314" t="str">
        <f t="shared" ca="1" si="167"/>
        <v/>
      </c>
      <c r="Z326" s="315" t="str">
        <f t="shared" ca="1" si="168"/>
        <v/>
      </c>
      <c r="AA326" s="316" t="str">
        <f t="shared" ca="1" si="169"/>
        <v/>
      </c>
      <c r="AC326" s="310" t="e">
        <f t="shared" ca="1" si="170"/>
        <v>#N/A</v>
      </c>
      <c r="AD326" s="323" t="e">
        <f t="shared" ca="1" si="171"/>
        <v>#N/A</v>
      </c>
      <c r="AE326" s="324">
        <f t="shared" ca="1" si="150"/>
        <v>353.3731815586504</v>
      </c>
      <c r="AG326" s="306">
        <f t="shared" ca="1" si="172"/>
        <v>1.9329457173369704</v>
      </c>
      <c r="AH326" s="304">
        <f t="shared" ca="1" si="173"/>
        <v>11.675599749015319</v>
      </c>
    </row>
    <row r="327" spans="1:34" x14ac:dyDescent="0.2">
      <c r="A327" s="347">
        <f t="shared" ca="1" si="151"/>
        <v>0.01</v>
      </c>
      <c r="B327" s="304">
        <f t="shared" ca="1" si="152"/>
        <v>3.2299999999999751</v>
      </c>
      <c r="D327" s="306">
        <f t="shared" ca="1" si="153"/>
        <v>1.2809610825080093</v>
      </c>
      <c r="E327" s="307">
        <f t="shared" ca="1" si="154"/>
        <v>1.0598106143435277</v>
      </c>
      <c r="F327" s="304">
        <f t="shared" ca="1" si="155"/>
        <v>1.6625461897870075</v>
      </c>
      <c r="G327" s="306">
        <f t="shared" ca="1" si="156"/>
        <v>21.594162154818989</v>
      </c>
      <c r="H327" s="307">
        <f t="shared" ca="1" si="157"/>
        <v>183.14279326643475</v>
      </c>
      <c r="I327" s="304">
        <f t="shared" ca="1" si="158"/>
        <v>184.41147080537229</v>
      </c>
      <c r="J327" s="306">
        <f t="shared" ca="1" si="159"/>
        <v>38.838560903305833</v>
      </c>
      <c r="K327" s="307">
        <f t="shared" ca="1" si="160"/>
        <v>355.20455650078401</v>
      </c>
      <c r="L327" s="304">
        <f t="shared" ca="1" si="145"/>
        <v>357.32157893410027</v>
      </c>
      <c r="M327" s="306">
        <f t="shared" ca="1" si="161"/>
        <v>1.4534293404494822</v>
      </c>
      <c r="N327" s="304">
        <f t="shared" ca="1" si="162"/>
        <v>83.275367028238193</v>
      </c>
      <c r="P327" s="310">
        <f t="shared" ca="1" si="163"/>
        <v>9</v>
      </c>
      <c r="Q327" s="304">
        <f t="shared" ca="1" si="164"/>
        <v>210.37037037038499</v>
      </c>
      <c r="R327" s="306">
        <f t="shared" ca="1" si="165"/>
        <v>0.10557508737137039</v>
      </c>
      <c r="S327" s="307">
        <f t="shared" ca="1" si="166"/>
        <v>7.9975451562806166</v>
      </c>
      <c r="T327" s="304">
        <f t="shared" ca="1" si="146"/>
        <v>78.455917983112855</v>
      </c>
      <c r="U327" s="311">
        <f t="shared" ca="1" si="147"/>
        <v>0</v>
      </c>
      <c r="V327" s="306">
        <f t="shared" ca="1" si="148"/>
        <v>1.1822467493013236</v>
      </c>
      <c r="W327" s="304">
        <f t="shared" ca="1" si="149"/>
        <v>122.83052954695857</v>
      </c>
      <c r="Y327" s="314" t="str">
        <f t="shared" ca="1" si="167"/>
        <v/>
      </c>
      <c r="Z327" s="315" t="str">
        <f t="shared" ca="1" si="168"/>
        <v/>
      </c>
      <c r="AA327" s="316" t="str">
        <f t="shared" ca="1" si="169"/>
        <v/>
      </c>
      <c r="AC327" s="310" t="e">
        <f t="shared" ca="1" si="170"/>
        <v>#N/A</v>
      </c>
      <c r="AD327" s="323" t="e">
        <f t="shared" ca="1" si="171"/>
        <v>#N/A</v>
      </c>
      <c r="AE327" s="324">
        <f t="shared" ca="1" si="150"/>
        <v>355.20455650078401</v>
      </c>
      <c r="AG327" s="306">
        <f t="shared" ca="1" si="172"/>
        <v>1.2024456786396769</v>
      </c>
      <c r="AH327" s="304">
        <f t="shared" ca="1" si="173"/>
        <v>10.945028281671789</v>
      </c>
    </row>
    <row r="328" spans="1:34" x14ac:dyDescent="0.2">
      <c r="A328" s="347">
        <f t="shared" ca="1" si="151"/>
        <v>0.01</v>
      </c>
      <c r="B328" s="304">
        <f t="shared" ca="1" si="152"/>
        <v>3.2399999999999749</v>
      </c>
      <c r="D328" s="306">
        <f t="shared" ca="1" si="153"/>
        <v>1.1962051559489435</v>
      </c>
      <c r="E328" s="307">
        <f t="shared" ca="1" si="154"/>
        <v>0.33516571699038522</v>
      </c>
      <c r="F328" s="304">
        <f t="shared" ca="1" si="155"/>
        <v>1.2422732521327646</v>
      </c>
      <c r="G328" s="306">
        <f t="shared" ca="1" si="156"/>
        <v>21.606124206378478</v>
      </c>
      <c r="H328" s="307">
        <f t="shared" ca="1" si="157"/>
        <v>183.14614492360465</v>
      </c>
      <c r="I328" s="304">
        <f t="shared" ca="1" si="158"/>
        <v>184.41620049117012</v>
      </c>
      <c r="J328" s="306">
        <f t="shared" ca="1" si="159"/>
        <v>39.054562335111818</v>
      </c>
      <c r="K328" s="307">
        <f t="shared" ca="1" si="160"/>
        <v>357.03600119173421</v>
      </c>
      <c r="L328" s="304">
        <f t="shared" ca="1" si="145"/>
        <v>359.16565117807573</v>
      </c>
      <c r="M328" s="306">
        <f t="shared" ca="1" si="161"/>
        <v>1.4533670504447</v>
      </c>
      <c r="N328" s="304">
        <f t="shared" ca="1" si="162"/>
        <v>83.271798073858335</v>
      </c>
      <c r="P328" s="310">
        <f t="shared" ca="1" si="163"/>
        <v>9</v>
      </c>
      <c r="Q328" s="304">
        <f t="shared" ca="1" si="164"/>
        <v>204.51851851853326</v>
      </c>
      <c r="R328" s="306">
        <f t="shared" ca="1" si="165"/>
        <v>0.10263831557477268</v>
      </c>
      <c r="S328" s="307">
        <f t="shared" ca="1" si="166"/>
        <v>7.996518773124869</v>
      </c>
      <c r="T328" s="304">
        <f t="shared" ca="1" si="146"/>
        <v>78.445849164354968</v>
      </c>
      <c r="U328" s="311">
        <f t="shared" ca="1" si="147"/>
        <v>0</v>
      </c>
      <c r="V328" s="306">
        <f t="shared" ca="1" si="148"/>
        <v>1.1820301785157459</v>
      </c>
      <c r="W328" s="304">
        <f t="shared" ca="1" si="149"/>
        <v>122.81432825011977</v>
      </c>
      <c r="Y328" s="314" t="str">
        <f t="shared" ca="1" si="167"/>
        <v/>
      </c>
      <c r="Z328" s="315" t="str">
        <f t="shared" ca="1" si="168"/>
        <v/>
      </c>
      <c r="AA328" s="316" t="str">
        <f t="shared" ca="1" si="169"/>
        <v/>
      </c>
      <c r="AC328" s="310" t="e">
        <f t="shared" ca="1" si="170"/>
        <v>#N/A</v>
      </c>
      <c r="AD328" s="323" t="e">
        <f t="shared" ca="1" si="171"/>
        <v>#N/A</v>
      </c>
      <c r="AE328" s="324">
        <f t="shared" ca="1" si="150"/>
        <v>357.03600119173421</v>
      </c>
      <c r="AG328" s="306">
        <f t="shared" ca="1" si="172"/>
        <v>0.47293280262812054</v>
      </c>
      <c r="AH328" s="304">
        <f t="shared" ca="1" si="173"/>
        <v>10.215443906180283</v>
      </c>
    </row>
    <row r="329" spans="1:34" x14ac:dyDescent="0.2">
      <c r="A329" s="347">
        <f t="shared" ca="1" si="151"/>
        <v>0.01</v>
      </c>
      <c r="B329" s="304">
        <f t="shared" ca="1" si="152"/>
        <v>3.2499999999999747</v>
      </c>
      <c r="D329" s="306">
        <f t="shared" ca="1" si="153"/>
        <v>1.1114756760708566</v>
      </c>
      <c r="E329" s="307">
        <f t="shared" ca="1" si="154"/>
        <v>-0.38848213292046019</v>
      </c>
      <c r="F329" s="304">
        <f t="shared" ca="1" si="155"/>
        <v>1.1774109503888597</v>
      </c>
      <c r="G329" s="306">
        <f t="shared" ca="1" si="156"/>
        <v>21.617238963139187</v>
      </c>
      <c r="H329" s="307">
        <f t="shared" ca="1" si="157"/>
        <v>183.14226010227546</v>
      </c>
      <c r="I329" s="304">
        <f t="shared" ca="1" si="158"/>
        <v>184.41364498257437</v>
      </c>
      <c r="J329" s="306">
        <f t="shared" ca="1" si="159"/>
        <v>39.27067915095941</v>
      </c>
      <c r="K329" s="307">
        <f t="shared" ca="1" si="160"/>
        <v>358.86744321686359</v>
      </c>
      <c r="L329" s="304">
        <f t="shared" ca="1" si="145"/>
        <v>361.00973399894139</v>
      </c>
      <c r="M329" s="306">
        <f t="shared" ca="1" si="161"/>
        <v>1.4533047266692554</v>
      </c>
      <c r="N329" s="304">
        <f t="shared" ca="1" si="162"/>
        <v>83.268227184562022</v>
      </c>
      <c r="P329" s="310">
        <f t="shared" ca="1" si="163"/>
        <v>9</v>
      </c>
      <c r="Q329" s="304">
        <f t="shared" ca="1" si="164"/>
        <v>198.66666666668152</v>
      </c>
      <c r="R329" s="306">
        <f t="shared" ca="1" si="165"/>
        <v>9.9701543778174959E-2</v>
      </c>
      <c r="S329" s="307">
        <f t="shared" ca="1" si="166"/>
        <v>7.9955217576870874</v>
      </c>
      <c r="T329" s="304">
        <f t="shared" ca="1" si="146"/>
        <v>78.436068442910326</v>
      </c>
      <c r="U329" s="311">
        <f t="shared" ca="1" si="147"/>
        <v>0</v>
      </c>
      <c r="V329" s="306">
        <f t="shared" ca="1" si="148"/>
        <v>1.1818136470099052</v>
      </c>
      <c r="W329" s="304">
        <f t="shared" ca="1" si="149"/>
        <v>122.78842727134533</v>
      </c>
      <c r="Y329" s="314" t="str">
        <f t="shared" ca="1" si="167"/>
        <v/>
      </c>
      <c r="Z329" s="315" t="str">
        <f t="shared" ca="1" si="168"/>
        <v/>
      </c>
      <c r="AA329" s="316" t="str">
        <f t="shared" ca="1" si="169"/>
        <v/>
      </c>
      <c r="AC329" s="310" t="e">
        <f t="shared" ca="1" si="170"/>
        <v>#N/A</v>
      </c>
      <c r="AD329" s="323" t="e">
        <f t="shared" ca="1" si="171"/>
        <v>#N/A</v>
      </c>
      <c r="AE329" s="324">
        <f t="shared" ca="1" si="150"/>
        <v>358.86744321686359</v>
      </c>
      <c r="AG329" s="306">
        <f t="shared" ca="1" si="172"/>
        <v>-0.25558667503716848</v>
      </c>
      <c r="AH329" s="304">
        <f t="shared" ca="1" si="173"/>
        <v>9.4868528553043436</v>
      </c>
    </row>
    <row r="330" spans="1:34" x14ac:dyDescent="0.2">
      <c r="A330" s="347">
        <f t="shared" ca="1" si="151"/>
        <v>0.01</v>
      </c>
      <c r="B330" s="304">
        <f t="shared" ca="1" si="152"/>
        <v>3.2599999999999745</v>
      </c>
      <c r="D330" s="306">
        <f t="shared" ca="1" si="153"/>
        <v>1.0267734922420257</v>
      </c>
      <c r="E330" s="307">
        <f t="shared" ca="1" si="154"/>
        <v>-1.1111269245365474</v>
      </c>
      <c r="F330" s="304">
        <f t="shared" ca="1" si="155"/>
        <v>1.5129001443588177</v>
      </c>
      <c r="G330" s="306">
        <f t="shared" ca="1" si="156"/>
        <v>21.627506698061605</v>
      </c>
      <c r="H330" s="307">
        <f t="shared" ca="1" si="157"/>
        <v>183.1311488330301</v>
      </c>
      <c r="I330" s="304">
        <f t="shared" ca="1" si="158"/>
        <v>184.40381427421755</v>
      </c>
      <c r="J330" s="306">
        <f t="shared" ca="1" si="159"/>
        <v>39.486902879265415</v>
      </c>
      <c r="K330" s="307">
        <f t="shared" ca="1" si="160"/>
        <v>360.69881026154013</v>
      </c>
      <c r="L330" s="304">
        <f t="shared" ca="1" si="145"/>
        <v>362.85375459417128</v>
      </c>
      <c r="M330" s="306">
        <f t="shared" ca="1" si="161"/>
        <v>1.4532423666444481</v>
      </c>
      <c r="N330" s="304">
        <f t="shared" ca="1" si="162"/>
        <v>83.264654218330236</v>
      </c>
      <c r="P330" s="310">
        <f t="shared" ca="1" si="163"/>
        <v>9</v>
      </c>
      <c r="Q330" s="304">
        <f t="shared" ca="1" si="164"/>
        <v>192.81481481482979</v>
      </c>
      <c r="R330" s="306">
        <f t="shared" ca="1" si="165"/>
        <v>9.6764771981577249E-2</v>
      </c>
      <c r="S330" s="307">
        <f t="shared" ca="1" si="166"/>
        <v>7.9945541099672717</v>
      </c>
      <c r="T330" s="304">
        <f t="shared" ca="1" si="146"/>
        <v>78.426575818778943</v>
      </c>
      <c r="U330" s="311">
        <f t="shared" ca="1" si="147"/>
        <v>0</v>
      </c>
      <c r="V330" s="306">
        <f t="shared" ca="1" si="148"/>
        <v>1.1815971633205737</v>
      </c>
      <c r="W330" s="304">
        <f t="shared" ca="1" si="149"/>
        <v>122.7528465392235</v>
      </c>
      <c r="Y330" s="314" t="str">
        <f t="shared" ca="1" si="167"/>
        <v/>
      </c>
      <c r="Z330" s="315" t="str">
        <f t="shared" ca="1" si="168"/>
        <v/>
      </c>
      <c r="AA330" s="316" t="str">
        <f t="shared" ca="1" si="169"/>
        <v/>
      </c>
      <c r="AC330" s="310" t="e">
        <f t="shared" ca="1" si="170"/>
        <v>#N/A</v>
      </c>
      <c r="AD330" s="323" t="e">
        <f t="shared" ca="1" si="171"/>
        <v>#N/A</v>
      </c>
      <c r="AE330" s="324">
        <f t="shared" ca="1" si="150"/>
        <v>360.69881026154013</v>
      </c>
      <c r="AG330" s="306">
        <f t="shared" ca="1" si="172"/>
        <v>-0.9831066909090822</v>
      </c>
      <c r="AH330" s="304">
        <f t="shared" ca="1" si="173"/>
        <v>8.7592611895863612</v>
      </c>
    </row>
    <row r="331" spans="1:34" x14ac:dyDescent="0.2">
      <c r="A331" s="347">
        <f t="shared" ca="1" si="151"/>
        <v>0.01</v>
      </c>
      <c r="B331" s="304">
        <f t="shared" ca="1" si="152"/>
        <v>3.2699999999999743</v>
      </c>
      <c r="D331" s="306">
        <f t="shared" ca="1" si="153"/>
        <v>0.94209942828409787</v>
      </c>
      <c r="E331" s="307">
        <f t="shared" ca="1" si="154"/>
        <v>-1.83276281657235</v>
      </c>
      <c r="F331" s="304">
        <f t="shared" ca="1" si="155"/>
        <v>2.0607209599029748</v>
      </c>
      <c r="G331" s="306">
        <f t="shared" ca="1" si="156"/>
        <v>21.636927692344447</v>
      </c>
      <c r="H331" s="307">
        <f t="shared" ca="1" si="157"/>
        <v>183.11282120486436</v>
      </c>
      <c r="I331" s="304">
        <f t="shared" ca="1" si="158"/>
        <v>184.38671841965291</v>
      </c>
      <c r="J331" s="306">
        <f t="shared" ca="1" si="159"/>
        <v>39.703225051217444</v>
      </c>
      <c r="K331" s="307">
        <f t="shared" ca="1" si="160"/>
        <v>362.53003011172962</v>
      </c>
      <c r="L331" s="304">
        <f t="shared" ca="1" si="145"/>
        <v>364.6976402614626</v>
      </c>
      <c r="M331" s="306">
        <f t="shared" ca="1" si="161"/>
        <v>1.4531799678889847</v>
      </c>
      <c r="N331" s="304">
        <f t="shared" ca="1" si="162"/>
        <v>83.261079032995326</v>
      </c>
      <c r="P331" s="310">
        <f t="shared" ca="1" si="163"/>
        <v>9</v>
      </c>
      <c r="Q331" s="304">
        <f t="shared" ca="1" si="164"/>
        <v>186.96296296297808</v>
      </c>
      <c r="R331" s="306">
        <f t="shared" ca="1" si="165"/>
        <v>9.382800018497954E-2</v>
      </c>
      <c r="S331" s="307">
        <f t="shared" ca="1" si="166"/>
        <v>7.9936158299654219</v>
      </c>
      <c r="T331" s="304">
        <f t="shared" ca="1" si="146"/>
        <v>78.417371291960791</v>
      </c>
      <c r="U331" s="311">
        <f t="shared" ca="1" si="147"/>
        <v>0</v>
      </c>
      <c r="V331" s="306">
        <f t="shared" ca="1" si="148"/>
        <v>1.181380735966489</v>
      </c>
      <c r="W331" s="304">
        <f t="shared" ca="1" si="149"/>
        <v>122.70760719064849</v>
      </c>
      <c r="Y331" s="314" t="str">
        <f t="shared" ca="1" si="167"/>
        <v/>
      </c>
      <c r="Z331" s="315" t="str">
        <f t="shared" ca="1" si="168"/>
        <v/>
      </c>
      <c r="AA331" s="316" t="str">
        <f t="shared" ca="1" si="169"/>
        <v/>
      </c>
      <c r="AC331" s="310" t="e">
        <f t="shared" ca="1" si="170"/>
        <v>#N/A</v>
      </c>
      <c r="AD331" s="323" t="e">
        <f t="shared" ca="1" si="171"/>
        <v>#N/A</v>
      </c>
      <c r="AE331" s="324">
        <f t="shared" ca="1" si="150"/>
        <v>362.53003011172962</v>
      </c>
      <c r="AG331" s="306">
        <f t="shared" ca="1" si="172"/>
        <v>-1.7096213529135138</v>
      </c>
      <c r="AH331" s="304">
        <f t="shared" ca="1" si="173"/>
        <v>8.032674798187335</v>
      </c>
    </row>
    <row r="332" spans="1:34" x14ac:dyDescent="0.2">
      <c r="A332" s="347">
        <f t="shared" ca="1" si="151"/>
        <v>0.01</v>
      </c>
      <c r="B332" s="304">
        <f t="shared" ca="1" si="152"/>
        <v>3.279999999999974</v>
      </c>
      <c r="D332" s="306">
        <f t="shared" ca="1" si="153"/>
        <v>0.85745428254266087</v>
      </c>
      <c r="E332" s="307">
        <f t="shared" ca="1" si="154"/>
        <v>-2.5533841364579288</v>
      </c>
      <c r="F332" s="304">
        <f t="shared" ca="1" si="155"/>
        <v>2.6935104222864541</v>
      </c>
      <c r="G332" s="306">
        <f t="shared" ca="1" si="156"/>
        <v>21.645502235169872</v>
      </c>
      <c r="H332" s="307">
        <f t="shared" ca="1" si="157"/>
        <v>183.08728736349977</v>
      </c>
      <c r="I332" s="304">
        <f t="shared" ca="1" si="158"/>
        <v>184.3623675296493</v>
      </c>
      <c r="J332" s="306">
        <f t="shared" ca="1" si="159"/>
        <v>39.919637200855014</v>
      </c>
      <c r="K332" s="307">
        <f t="shared" ca="1" si="160"/>
        <v>364.36103065457144</v>
      </c>
      <c r="L332" s="304">
        <f t="shared" ca="1" si="145"/>
        <v>366.54131839931694</v>
      </c>
      <c r="M332" s="306">
        <f t="shared" ca="1" si="161"/>
        <v>1.4531175279184161</v>
      </c>
      <c r="N332" s="304">
        <f t="shared" ca="1" si="162"/>
        <v>83.25750148620881</v>
      </c>
      <c r="P332" s="310">
        <f t="shared" ca="1" si="163"/>
        <v>9</v>
      </c>
      <c r="Q332" s="304">
        <f t="shared" ca="1" si="164"/>
        <v>181.11111111112635</v>
      </c>
      <c r="R332" s="306">
        <f t="shared" ca="1" si="165"/>
        <v>9.0891228388381831E-2</v>
      </c>
      <c r="S332" s="307">
        <f t="shared" ca="1" si="166"/>
        <v>7.992706917681538</v>
      </c>
      <c r="T332" s="304">
        <f t="shared" ca="1" si="146"/>
        <v>78.408454862455898</v>
      </c>
      <c r="U332" s="311">
        <f t="shared" ca="1" si="147"/>
        <v>0</v>
      </c>
      <c r="V332" s="306">
        <f t="shared" ca="1" si="148"/>
        <v>1.1811643734483035</v>
      </c>
      <c r="W332" s="304">
        <f t="shared" ca="1" si="149"/>
        <v>122.65273156143986</v>
      </c>
      <c r="Y332" s="314" t="str">
        <f t="shared" ca="1" si="167"/>
        <v/>
      </c>
      <c r="Z332" s="315" t="str">
        <f t="shared" ca="1" si="168"/>
        <v/>
      </c>
      <c r="AA332" s="316" t="str">
        <f t="shared" ca="1" si="169"/>
        <v/>
      </c>
      <c r="AC332" s="310" t="e">
        <f t="shared" ca="1" si="170"/>
        <v>#N/A</v>
      </c>
      <c r="AD332" s="323" t="e">
        <f t="shared" ca="1" si="171"/>
        <v>#N/A</v>
      </c>
      <c r="AE332" s="324">
        <f t="shared" ca="1" si="150"/>
        <v>364.36103065457144</v>
      </c>
      <c r="AG332" s="306">
        <f t="shared" ca="1" si="172"/>
        <v>-2.4351249394969114</v>
      </c>
      <c r="AH332" s="304">
        <f t="shared" ca="1" si="173"/>
        <v>7.3070993997386671</v>
      </c>
    </row>
    <row r="333" spans="1:34" x14ac:dyDescent="0.2">
      <c r="A333" s="347">
        <f t="shared" ca="1" si="151"/>
        <v>0.01</v>
      </c>
      <c r="B333" s="304">
        <f t="shared" ca="1" si="152"/>
        <v>3.2899999999999738</v>
      </c>
      <c r="D333" s="306">
        <f t="shared" ca="1" si="153"/>
        <v>0.77283882795734571</v>
      </c>
      <c r="E333" s="307">
        <f t="shared" ca="1" si="154"/>
        <v>-3.2729853794757018</v>
      </c>
      <c r="F333" s="304">
        <f t="shared" ca="1" si="155"/>
        <v>3.3629916961331001</v>
      </c>
      <c r="G333" s="306">
        <f t="shared" ca="1" si="156"/>
        <v>21.653230623449446</v>
      </c>
      <c r="H333" s="307">
        <f t="shared" ca="1" si="157"/>
        <v>183.05455750970501</v>
      </c>
      <c r="I333" s="304">
        <f t="shared" ca="1" si="158"/>
        <v>184.33077177049466</v>
      </c>
      <c r="J333" s="306">
        <f t="shared" ca="1" si="159"/>
        <v>40.136130865148111</v>
      </c>
      <c r="K333" s="307">
        <f t="shared" ca="1" si="160"/>
        <v>366.19173987893748</v>
      </c>
      <c r="L333" s="304">
        <f t="shared" ca="1" si="145"/>
        <v>368.38471650760391</v>
      </c>
      <c r="M333" s="306">
        <f t="shared" ca="1" si="161"/>
        <v>1.4530550442445755</v>
      </c>
      <c r="N333" s="304">
        <f t="shared" ca="1" si="162"/>
        <v>83.253921435409282</v>
      </c>
      <c r="P333" s="310">
        <f t="shared" ca="1" si="163"/>
        <v>9</v>
      </c>
      <c r="Q333" s="304">
        <f t="shared" ca="1" si="164"/>
        <v>175.25925925927461</v>
      </c>
      <c r="R333" s="306">
        <f t="shared" ca="1" si="165"/>
        <v>8.7954456591784108E-2</v>
      </c>
      <c r="S333" s="307">
        <f t="shared" ca="1" si="166"/>
        <v>7.99182737311562</v>
      </c>
      <c r="T333" s="304">
        <f t="shared" ca="1" si="146"/>
        <v>78.399826530264235</v>
      </c>
      <c r="U333" s="311">
        <f t="shared" ca="1" si="147"/>
        <v>0</v>
      </c>
      <c r="V333" s="306">
        <f t="shared" ca="1" si="148"/>
        <v>1.1809480842485318</v>
      </c>
      <c r="W333" s="304">
        <f t="shared" ca="1" si="149"/>
        <v>122.58824317695019</v>
      </c>
      <c r="Y333" s="314" t="str">
        <f t="shared" ca="1" si="167"/>
        <v/>
      </c>
      <c r="Z333" s="315" t="str">
        <f t="shared" ca="1" si="168"/>
        <v/>
      </c>
      <c r="AA333" s="316" t="str">
        <f t="shared" ca="1" si="169"/>
        <v/>
      </c>
      <c r="AC333" s="310" t="e">
        <f t="shared" ca="1" si="170"/>
        <v>#N/A</v>
      </c>
      <c r="AD333" s="323" t="e">
        <f t="shared" ca="1" si="171"/>
        <v>#N/A</v>
      </c>
      <c r="AE333" s="324">
        <f t="shared" ca="1" si="150"/>
        <v>366.19173987893748</v>
      </c>
      <c r="AG333" s="306">
        <f t="shared" ca="1" si="172"/>
        <v>-3.1596118987620621</v>
      </c>
      <c r="AH333" s="304">
        <f t="shared" ca="1" si="173"/>
        <v>6.5825405432057096</v>
      </c>
    </row>
    <row r="334" spans="1:34" x14ac:dyDescent="0.2">
      <c r="A334" s="347">
        <f t="shared" ca="1" si="151"/>
        <v>0.01</v>
      </c>
      <c r="B334" s="304">
        <f t="shared" ca="1" si="152"/>
        <v>3.2999999999999736</v>
      </c>
      <c r="D334" s="306">
        <f t="shared" ca="1" si="153"/>
        <v>0.68825381213137482</v>
      </c>
      <c r="E334" s="307">
        <f t="shared" ca="1" si="154"/>
        <v>-3.9915612078856597</v>
      </c>
      <c r="F334" s="304">
        <f t="shared" ca="1" si="155"/>
        <v>4.0504634532619841</v>
      </c>
      <c r="G334" s="306">
        <f t="shared" ca="1" si="156"/>
        <v>21.660113161570759</v>
      </c>
      <c r="H334" s="307">
        <f t="shared" ca="1" si="157"/>
        <v>183.01464189762615</v>
      </c>
      <c r="I334" s="304">
        <f t="shared" ca="1" si="158"/>
        <v>184.29194136230805</v>
      </c>
      <c r="J334" s="306">
        <f t="shared" ca="1" si="159"/>
        <v>40.352697584073212</v>
      </c>
      <c r="K334" s="307">
        <f t="shared" ca="1" si="160"/>
        <v>368.02208587597414</v>
      </c>
      <c r="L334" s="304">
        <f t="shared" ca="1" si="145"/>
        <v>370.22776218810839</v>
      </c>
      <c r="M334" s="306">
        <f t="shared" ca="1" si="161"/>
        <v>1.4529925143750153</v>
      </c>
      <c r="N334" s="304">
        <f t="shared" ca="1" si="162"/>
        <v>83.250338737789974</v>
      </c>
      <c r="P334" s="310">
        <f t="shared" ca="1" si="163"/>
        <v>9</v>
      </c>
      <c r="Q334" s="304">
        <f t="shared" ca="1" si="164"/>
        <v>169.40740740742291</v>
      </c>
      <c r="R334" s="306">
        <f t="shared" ca="1" si="165"/>
        <v>8.5017684795186413E-2</v>
      </c>
      <c r="S334" s="307">
        <f t="shared" ca="1" si="166"/>
        <v>7.9909771962676679</v>
      </c>
      <c r="T334" s="304">
        <f t="shared" ca="1" si="146"/>
        <v>78.391486295385832</v>
      </c>
      <c r="U334" s="311">
        <f t="shared" ca="1" si="147"/>
        <v>0</v>
      </c>
      <c r="V334" s="306">
        <f t="shared" ca="1" si="148"/>
        <v>1.1807318768315074</v>
      </c>
      <c r="W334" s="304">
        <f t="shared" ca="1" si="149"/>
        <v>122.51416674266459</v>
      </c>
      <c r="Y334" s="314" t="str">
        <f t="shared" ca="1" si="167"/>
        <v/>
      </c>
      <c r="Z334" s="315" t="str">
        <f t="shared" ca="1" si="168"/>
        <v/>
      </c>
      <c r="AA334" s="316" t="str">
        <f t="shared" ca="1" si="169"/>
        <v/>
      </c>
      <c r="AC334" s="310" t="e">
        <f t="shared" ca="1" si="170"/>
        <v>#N/A</v>
      </c>
      <c r="AD334" s="323" t="e">
        <f t="shared" ca="1" si="171"/>
        <v>#N/A</v>
      </c>
      <c r="AE334" s="324">
        <f t="shared" ca="1" si="150"/>
        <v>368.02208587597414</v>
      </c>
      <c r="AG334" s="306">
        <f t="shared" ca="1" si="172"/>
        <v>-3.8830768475924948</v>
      </c>
      <c r="AH334" s="304">
        <f t="shared" ca="1" si="173"/>
        <v>5.859003608762702</v>
      </c>
    </row>
    <row r="335" spans="1:34" x14ac:dyDescent="0.2">
      <c r="A335" s="347">
        <f t="shared" ca="1" si="151"/>
        <v>0.01</v>
      </c>
      <c r="B335" s="304">
        <f t="shared" ca="1" si="152"/>
        <v>3.3099999999999734</v>
      </c>
      <c r="D335" s="306">
        <f t="shared" ca="1" si="153"/>
        <v>0.6036999574005304</v>
      </c>
      <c r="E335" s="307">
        <f t="shared" ca="1" si="154"/>
        <v>-4.7091064500395294</v>
      </c>
      <c r="F335" s="304">
        <f t="shared" ca="1" si="155"/>
        <v>4.7476454370950343</v>
      </c>
      <c r="G335" s="306">
        <f t="shared" ca="1" si="156"/>
        <v>21.666150161144763</v>
      </c>
      <c r="H335" s="307">
        <f t="shared" ca="1" si="157"/>
        <v>182.96755083312576</v>
      </c>
      <c r="I335" s="304">
        <f t="shared" ca="1" si="158"/>
        <v>184.24588657736089</v>
      </c>
      <c r="J335" s="306">
        <f t="shared" ca="1" si="159"/>
        <v>40.569328900686791</v>
      </c>
      <c r="K335" s="307">
        <f t="shared" ca="1" si="160"/>
        <v>369.85199683962787</v>
      </c>
      <c r="L335" s="304">
        <f t="shared" ca="1" si="145"/>
        <v>372.07038314506059</v>
      </c>
      <c r="M335" s="306">
        <f t="shared" ca="1" si="161"/>
        <v>1.4529299358124421</v>
      </c>
      <c r="N335" s="304">
        <f t="shared" ca="1" si="162"/>
        <v>83.246753250266536</v>
      </c>
      <c r="P335" s="310">
        <f t="shared" ca="1" si="163"/>
        <v>9</v>
      </c>
      <c r="Q335" s="304">
        <f t="shared" ca="1" si="164"/>
        <v>163.55555555557117</v>
      </c>
      <c r="R335" s="306">
        <f t="shared" ca="1" si="165"/>
        <v>8.208091299858869E-2</v>
      </c>
      <c r="S335" s="307">
        <f t="shared" ca="1" si="166"/>
        <v>7.9901563871376817</v>
      </c>
      <c r="T335" s="304">
        <f t="shared" ca="1" si="146"/>
        <v>78.383434157820659</v>
      </c>
      <c r="U335" s="311">
        <f t="shared" ca="1" si="147"/>
        <v>0</v>
      </c>
      <c r="V335" s="306">
        <f t="shared" ca="1" si="148"/>
        <v>1.180515759643336</v>
      </c>
      <c r="W335" s="304">
        <f t="shared" ca="1" si="149"/>
        <v>122.43052813479348</v>
      </c>
      <c r="Y335" s="314" t="str">
        <f t="shared" ca="1" si="167"/>
        <v/>
      </c>
      <c r="Z335" s="315" t="str">
        <f t="shared" ca="1" si="168"/>
        <v/>
      </c>
      <c r="AA335" s="316" t="str">
        <f t="shared" ca="1" si="169"/>
        <v/>
      </c>
      <c r="AC335" s="310" t="e">
        <f t="shared" ca="1" si="170"/>
        <v>#N/A</v>
      </c>
      <c r="AD335" s="323" t="e">
        <f t="shared" ca="1" si="171"/>
        <v>#N/A</v>
      </c>
      <c r="AE335" s="324">
        <f t="shared" ca="1" si="150"/>
        <v>369.85199683962787</v>
      </c>
      <c r="AG335" s="306">
        <f t="shared" ca="1" si="172"/>
        <v>-4.6055145707659557</v>
      </c>
      <c r="AH335" s="304">
        <f t="shared" ca="1" si="173"/>
        <v>5.1364938086786145</v>
      </c>
    </row>
    <row r="336" spans="1:34" x14ac:dyDescent="0.2">
      <c r="A336" s="347">
        <f t="shared" ca="1" si="151"/>
        <v>0.01</v>
      </c>
      <c r="B336" s="304">
        <f t="shared" ca="1" si="152"/>
        <v>3.3199999999999732</v>
      </c>
      <c r="D336" s="306">
        <f t="shared" ca="1" si="153"/>
        <v>0.51917796090149959</v>
      </c>
      <c r="E336" s="307">
        <f t="shared" ca="1" si="154"/>
        <v>-5.4256160994840679</v>
      </c>
      <c r="F336" s="304">
        <f t="shared" ca="1" si="155"/>
        <v>5.4503996013197558</v>
      </c>
      <c r="G336" s="306">
        <f t="shared" ca="1" si="156"/>
        <v>21.671341940753777</v>
      </c>
      <c r="H336" s="307">
        <f t="shared" ca="1" si="157"/>
        <v>182.91329467213092</v>
      </c>
      <c r="I336" s="304">
        <f t="shared" ca="1" si="158"/>
        <v>184.19261773840685</v>
      </c>
      <c r="J336" s="306">
        <f t="shared" ca="1" si="159"/>
        <v>40.786016361196282</v>
      </c>
      <c r="K336" s="307">
        <f t="shared" ca="1" si="160"/>
        <v>371.68140106715418</v>
      </c>
      <c r="L336" s="304">
        <f t="shared" ca="1" si="145"/>
        <v>373.91250718564964</v>
      </c>
      <c r="M336" s="306">
        <f t="shared" ca="1" si="161"/>
        <v>1.452867306054149</v>
      </c>
      <c r="N336" s="304">
        <f t="shared" ca="1" si="162"/>
        <v>83.243164829444424</v>
      </c>
      <c r="P336" s="310">
        <f t="shared" ca="1" si="163"/>
        <v>9</v>
      </c>
      <c r="Q336" s="304">
        <f t="shared" ca="1" si="164"/>
        <v>157.70370370371944</v>
      </c>
      <c r="R336" s="306">
        <f t="shared" ca="1" si="165"/>
        <v>7.9144141201990981E-2</v>
      </c>
      <c r="S336" s="307">
        <f t="shared" ca="1" si="166"/>
        <v>7.9893649457256615</v>
      </c>
      <c r="T336" s="304">
        <f t="shared" ca="1" si="146"/>
        <v>78.375670117568745</v>
      </c>
      <c r="U336" s="311">
        <f t="shared" ca="1" si="147"/>
        <v>0</v>
      </c>
      <c r="V336" s="306">
        <f t="shared" ca="1" si="148"/>
        <v>1.1802997411118541</v>
      </c>
      <c r="W336" s="304">
        <f t="shared" ca="1" si="149"/>
        <v>122.33735439086161</v>
      </c>
      <c r="Y336" s="314" t="str">
        <f t="shared" ca="1" si="167"/>
        <v/>
      </c>
      <c r="Z336" s="315" t="str">
        <f t="shared" ca="1" si="168"/>
        <v/>
      </c>
      <c r="AA336" s="316" t="str">
        <f t="shared" ca="1" si="169"/>
        <v/>
      </c>
      <c r="AC336" s="310" t="e">
        <f t="shared" ca="1" si="170"/>
        <v>#N/A</v>
      </c>
      <c r="AD336" s="323" t="e">
        <f t="shared" ca="1" si="171"/>
        <v>#N/A</v>
      </c>
      <c r="AE336" s="324">
        <f t="shared" ca="1" si="150"/>
        <v>371.68140106715418</v>
      </c>
      <c r="AG336" s="306">
        <f t="shared" ca="1" si="172"/>
        <v>-5.3269200200571785</v>
      </c>
      <c r="AH336" s="304">
        <f t="shared" ca="1" si="173"/>
        <v>4.4150161882137127</v>
      </c>
    </row>
    <row r="337" spans="1:34" x14ac:dyDescent="0.2">
      <c r="A337" s="347">
        <f t="shared" ca="1" si="151"/>
        <v>0.01</v>
      </c>
      <c r="B337" s="304">
        <f t="shared" ca="1" si="152"/>
        <v>3.329999999999973</v>
      </c>
      <c r="D337" s="306">
        <f t="shared" ca="1" si="153"/>
        <v>0.43468849463955139</v>
      </c>
      <c r="E337" s="307">
        <f t="shared" ca="1" si="154"/>
        <v>-6.1410853140539894</v>
      </c>
      <c r="F337" s="304">
        <f t="shared" ca="1" si="155"/>
        <v>6.1564505132309462</v>
      </c>
      <c r="G337" s="306">
        <f t="shared" ca="1" si="156"/>
        <v>21.675688825700174</v>
      </c>
      <c r="H337" s="307">
        <f t="shared" ca="1" si="157"/>
        <v>182.85188381899039</v>
      </c>
      <c r="I337" s="304">
        <f t="shared" ca="1" si="158"/>
        <v>184.13214521702108</v>
      </c>
      <c r="J337" s="306">
        <f t="shared" ca="1" si="159"/>
        <v>41.00275151502855</v>
      </c>
      <c r="K337" s="307">
        <f t="shared" ca="1" si="160"/>
        <v>373.51022695960978</v>
      </c>
      <c r="L337" s="304">
        <f t="shared" ca="1" si="145"/>
        <v>375.75406222051998</v>
      </c>
      <c r="M337" s="306">
        <f t="shared" ca="1" si="161"/>
        <v>1.4528046225914479</v>
      </c>
      <c r="N337" s="304">
        <f t="shared" ca="1" si="162"/>
        <v>83.239573331586385</v>
      </c>
      <c r="P337" s="310">
        <f t="shared" ca="1" si="163"/>
        <v>9</v>
      </c>
      <c r="Q337" s="304">
        <f t="shared" ca="1" si="164"/>
        <v>151.85185185186771</v>
      </c>
      <c r="R337" s="306">
        <f t="shared" ca="1" si="165"/>
        <v>7.6207369405393258E-2</v>
      </c>
      <c r="S337" s="307">
        <f t="shared" ca="1" si="166"/>
        <v>7.9886028720316071</v>
      </c>
      <c r="T337" s="304">
        <f t="shared" ca="1" si="146"/>
        <v>78.368194174630077</v>
      </c>
      <c r="U337" s="311">
        <f t="shared" ca="1" si="147"/>
        <v>0</v>
      </c>
      <c r="V337" s="306">
        <f t="shared" ca="1" si="148"/>
        <v>1.1800838296465908</v>
      </c>
      <c r="W337" s="304">
        <f t="shared" ca="1" si="149"/>
        <v>122.23467370029563</v>
      </c>
      <c r="Y337" s="314" t="str">
        <f t="shared" ca="1" si="167"/>
        <v/>
      </c>
      <c r="Z337" s="315" t="str">
        <f t="shared" ca="1" si="168"/>
        <v/>
      </c>
      <c r="AA337" s="316" t="str">
        <f t="shared" ca="1" si="169"/>
        <v/>
      </c>
      <c r="AC337" s="310" t="e">
        <f t="shared" ca="1" si="170"/>
        <v>#N/A</v>
      </c>
      <c r="AD337" s="323" t="e">
        <f t="shared" ca="1" si="171"/>
        <v>#N/A</v>
      </c>
      <c r="AE337" s="324">
        <f t="shared" ca="1" si="150"/>
        <v>373.51022695960978</v>
      </c>
      <c r="AG337" s="306">
        <f t="shared" ca="1" si="172"/>
        <v>-6.0472883133304336</v>
      </c>
      <c r="AH337" s="304">
        <f t="shared" ca="1" si="173"/>
        <v>3.6945756265263157</v>
      </c>
    </row>
    <row r="338" spans="1:34" x14ac:dyDescent="0.2">
      <c r="A338" s="347">
        <f t="shared" ca="1" si="151"/>
        <v>0.01</v>
      </c>
      <c r="B338" s="304">
        <f t="shared" ca="1" si="152"/>
        <v>3.3399999999999728</v>
      </c>
      <c r="D338" s="306">
        <f t="shared" ca="1" si="153"/>
        <v>0.3502322055554844</v>
      </c>
      <c r="E338" s="307">
        <f t="shared" ca="1" si="154"/>
        <v>-6.8555094149548177</v>
      </c>
      <c r="F338" s="304">
        <f t="shared" ca="1" si="155"/>
        <v>6.8644498640708571</v>
      </c>
      <c r="G338" s="306">
        <f t="shared" ca="1" si="156"/>
        <v>21.679191147755731</v>
      </c>
      <c r="H338" s="307">
        <f t="shared" ca="1" si="157"/>
        <v>182.78332872484083</v>
      </c>
      <c r="I338" s="304">
        <f t="shared" ca="1" si="158"/>
        <v>184.0644794319484</v>
      </c>
      <c r="J338" s="306">
        <f t="shared" ca="1" si="159"/>
        <v>41.219525914895826</v>
      </c>
      <c r="K338" s="307">
        <f t="shared" ca="1" si="160"/>
        <v>375.33840302232892</v>
      </c>
      <c r="L338" s="304">
        <f t="shared" ca="1" si="145"/>
        <v>377.59497626425195</v>
      </c>
      <c r="M338" s="306">
        <f t="shared" ca="1" si="161"/>
        <v>1.4527418829090961</v>
      </c>
      <c r="N338" s="304">
        <f t="shared" ca="1" si="162"/>
        <v>83.235978612579629</v>
      </c>
      <c r="P338" s="310">
        <f t="shared" ca="1" si="163"/>
        <v>9</v>
      </c>
      <c r="Q338" s="304">
        <f t="shared" ca="1" si="164"/>
        <v>146.00000000001597</v>
      </c>
      <c r="R338" s="306">
        <f t="shared" ca="1" si="165"/>
        <v>7.3270597608795549E-2</v>
      </c>
      <c r="S338" s="307">
        <f t="shared" ca="1" si="166"/>
        <v>7.9878701660555196</v>
      </c>
      <c r="T338" s="304">
        <f t="shared" ca="1" si="146"/>
        <v>78.361006329004653</v>
      </c>
      <c r="U338" s="311">
        <f t="shared" ca="1" si="147"/>
        <v>0</v>
      </c>
      <c r="V338" s="306">
        <f t="shared" ca="1" si="148"/>
        <v>1.1798680336387297</v>
      </c>
      <c r="W338" s="304">
        <f t="shared" ca="1" si="149"/>
        <v>122.12251539501227</v>
      </c>
      <c r="Y338" s="314" t="str">
        <f t="shared" ca="1" si="167"/>
        <v/>
      </c>
      <c r="Z338" s="315" t="str">
        <f t="shared" ca="1" si="168"/>
        <v/>
      </c>
      <c r="AA338" s="316" t="str">
        <f t="shared" ca="1" si="169"/>
        <v/>
      </c>
      <c r="AC338" s="310" t="e">
        <f t="shared" ca="1" si="170"/>
        <v>#N/A</v>
      </c>
      <c r="AD338" s="323" t="e">
        <f t="shared" ca="1" si="171"/>
        <v>#N/A</v>
      </c>
      <c r="AE338" s="324">
        <f t="shared" ca="1" si="150"/>
        <v>375.33840302232892</v>
      </c>
      <c r="AG338" s="306">
        <f t="shared" ca="1" si="172"/>
        <v>-6.7666147336221805</v>
      </c>
      <c r="AH338" s="304">
        <f t="shared" ca="1" si="173"/>
        <v>2.9751768375894709</v>
      </c>
    </row>
    <row r="339" spans="1:34" x14ac:dyDescent="0.2">
      <c r="A339" s="347">
        <f t="shared" ca="1" si="151"/>
        <v>0.01</v>
      </c>
      <c r="B339" s="304">
        <f t="shared" ca="1" si="152"/>
        <v>3.3499999999999726</v>
      </c>
      <c r="D339" s="306">
        <f t="shared" ca="1" si="153"/>
        <v>0.26580971559182404</v>
      </c>
      <c r="E339" s="307">
        <f t="shared" ca="1" si="154"/>
        <v>-7.5688838858360059</v>
      </c>
      <c r="F339" s="304">
        <f t="shared" ca="1" si="155"/>
        <v>7.5735498996290351</v>
      </c>
      <c r="G339" s="306">
        <f t="shared" ca="1" si="156"/>
        <v>21.68184924491165</v>
      </c>
      <c r="H339" s="307">
        <f t="shared" ca="1" si="157"/>
        <v>182.70763988598247</v>
      </c>
      <c r="I339" s="304">
        <f t="shared" ca="1" si="158"/>
        <v>183.98963084746089</v>
      </c>
      <c r="J339" s="306">
        <f t="shared" ca="1" si="159"/>
        <v>41.436331116859165</v>
      </c>
      <c r="K339" s="307">
        <f t="shared" ca="1" si="160"/>
        <v>377.16585786538303</v>
      </c>
      <c r="L339" s="304">
        <f t="shared" ca="1" si="145"/>
        <v>379.43517743582538</v>
      </c>
      <c r="M339" s="306">
        <f t="shared" ca="1" si="161"/>
        <v>1.4526790844847233</v>
      </c>
      <c r="N339" s="304">
        <f t="shared" ca="1" si="162"/>
        <v>83.23238052790299</v>
      </c>
      <c r="P339" s="310">
        <f t="shared" ca="1" si="163"/>
        <v>9</v>
      </c>
      <c r="Q339" s="304">
        <f t="shared" ca="1" si="164"/>
        <v>140.14814814816427</v>
      </c>
      <c r="R339" s="306">
        <f t="shared" ca="1" si="165"/>
        <v>7.0333825812197839E-2</v>
      </c>
      <c r="S339" s="307">
        <f t="shared" ca="1" si="166"/>
        <v>7.9871668277973979</v>
      </c>
      <c r="T339" s="304">
        <f t="shared" ca="1" si="146"/>
        <v>78.354106580692473</v>
      </c>
      <c r="U339" s="311">
        <f t="shared" ca="1" si="147"/>
        <v>0</v>
      </c>
      <c r="V339" s="306">
        <f t="shared" ca="1" si="148"/>
        <v>1.1796523614610757</v>
      </c>
      <c r="W339" s="304">
        <f t="shared" ca="1" si="149"/>
        <v>122.00090994000981</v>
      </c>
      <c r="Y339" s="314" t="str">
        <f t="shared" ca="1" si="167"/>
        <v/>
      </c>
      <c r="Z339" s="315" t="str">
        <f t="shared" ca="1" si="168"/>
        <v/>
      </c>
      <c r="AA339" s="316" t="str">
        <f t="shared" ca="1" si="169"/>
        <v/>
      </c>
      <c r="AC339" s="310" t="e">
        <f t="shared" ca="1" si="170"/>
        <v>#N/A</v>
      </c>
      <c r="AD339" s="323" t="e">
        <f t="shared" ca="1" si="171"/>
        <v>#N/A</v>
      </c>
      <c r="AE339" s="324">
        <f t="shared" ca="1" si="150"/>
        <v>377.16585786538303</v>
      </c>
      <c r="AG339" s="306">
        <f t="shared" ca="1" si="172"/>
        <v>-7.4848947282141216</v>
      </c>
      <c r="AH339" s="304">
        <f t="shared" ca="1" si="173"/>
        <v>2.2568243711171965</v>
      </c>
    </row>
    <row r="340" spans="1:34" x14ac:dyDescent="0.2">
      <c r="A340" s="347">
        <f t="shared" ca="1" si="151"/>
        <v>0.01</v>
      </c>
      <c r="B340" s="304">
        <f t="shared" ca="1" si="152"/>
        <v>3.3599999999999723</v>
      </c>
      <c r="D340" s="306">
        <f t="shared" ca="1" si="153"/>
        <v>0.18142162175818768</v>
      </c>
      <c r="E340" s="307">
        <f t="shared" ca="1" si="154"/>
        <v>-8.2812043718547255</v>
      </c>
      <c r="F340" s="304">
        <f t="shared" ca="1" si="155"/>
        <v>8.2831913930119452</v>
      </c>
      <c r="G340" s="306">
        <f t="shared" ca="1" si="156"/>
        <v>21.683663461129232</v>
      </c>
      <c r="H340" s="307">
        <f t="shared" ca="1" si="157"/>
        <v>182.62482784226393</v>
      </c>
      <c r="I340" s="304">
        <f t="shared" ca="1" si="158"/>
        <v>183.90760997172478</v>
      </c>
      <c r="J340" s="306">
        <f t="shared" ca="1" si="159"/>
        <v>41.653158680389367</v>
      </c>
      <c r="K340" s="307">
        <f t="shared" ca="1" si="160"/>
        <v>378.99252020402429</v>
      </c>
      <c r="L340" s="304">
        <f t="shared" ca="1" si="145"/>
        <v>381.27459395906703</v>
      </c>
      <c r="M340" s="306">
        <f t="shared" ca="1" si="161"/>
        <v>1.4526162247882526</v>
      </c>
      <c r="N340" s="304">
        <f t="shared" ca="1" si="162"/>
        <v>83.228778932593755</v>
      </c>
      <c r="P340" s="310">
        <f t="shared" ca="1" si="163"/>
        <v>9</v>
      </c>
      <c r="Q340" s="304">
        <f t="shared" ca="1" si="164"/>
        <v>134.29629629631253</v>
      </c>
      <c r="R340" s="306">
        <f t="shared" ca="1" si="165"/>
        <v>6.739705401560013E-2</v>
      </c>
      <c r="S340" s="307">
        <f t="shared" ca="1" si="166"/>
        <v>7.9864928572572422</v>
      </c>
      <c r="T340" s="304">
        <f t="shared" ca="1" si="146"/>
        <v>78.347494929693553</v>
      </c>
      <c r="U340" s="311">
        <f t="shared" ca="1" si="147"/>
        <v>0</v>
      </c>
      <c r="V340" s="306">
        <f t="shared" ca="1" si="148"/>
        <v>1.179436821468024</v>
      </c>
      <c r="W340" s="304">
        <f t="shared" ca="1" si="149"/>
        <v>121.86988892396522</v>
      </c>
      <c r="Y340" s="314" t="str">
        <f t="shared" ca="1" si="167"/>
        <v/>
      </c>
      <c r="Z340" s="315" t="str">
        <f t="shared" ca="1" si="168"/>
        <v/>
      </c>
      <c r="AA340" s="316" t="str">
        <f t="shared" ca="1" si="169"/>
        <v/>
      </c>
      <c r="AC340" s="310" t="e">
        <f t="shared" ca="1" si="170"/>
        <v>#N/A</v>
      </c>
      <c r="AD340" s="323" t="e">
        <f t="shared" ca="1" si="171"/>
        <v>#N/A</v>
      </c>
      <c r="AE340" s="324">
        <f t="shared" ca="1" si="150"/>
        <v>378.99252020402429</v>
      </c>
      <c r="AG340" s="306">
        <f t="shared" ca="1" si="172"/>
        <v>-8.202123907697132</v>
      </c>
      <c r="AH340" s="304">
        <f t="shared" ca="1" si="173"/>
        <v>1.5395226134998719</v>
      </c>
    </row>
    <row r="341" spans="1:34" x14ac:dyDescent="0.2">
      <c r="A341" s="347">
        <f t="shared" ca="1" si="151"/>
        <v>0.01</v>
      </c>
      <c r="B341" s="304">
        <f t="shared" ca="1" si="152"/>
        <v>3.3699999999999721</v>
      </c>
      <c r="D341" s="306">
        <f t="shared" ca="1" si="153"/>
        <v>9.7068496195791845E-2</v>
      </c>
      <c r="E341" s="307">
        <f t="shared" ca="1" si="154"/>
        <v>-8.9924666787306453</v>
      </c>
      <c r="F341" s="304">
        <f t="shared" ca="1" si="155"/>
        <v>8.9929905627124214</v>
      </c>
      <c r="G341" s="306">
        <f t="shared" ca="1" si="156"/>
        <v>21.684634146091188</v>
      </c>
      <c r="H341" s="307">
        <f t="shared" ca="1" si="157"/>
        <v>182.53490317547661</v>
      </c>
      <c r="I341" s="304">
        <f t="shared" ca="1" si="158"/>
        <v>183.81842735517688</v>
      </c>
      <c r="J341" s="306">
        <f t="shared" ca="1" si="159"/>
        <v>41.87000016842547</v>
      </c>
      <c r="K341" s="307">
        <f t="shared" ca="1" si="160"/>
        <v>380.81831885911299</v>
      </c>
      <c r="L341" s="304">
        <f t="shared" ca="1" si="145"/>
        <v>383.11315416308145</v>
      </c>
      <c r="M341" s="306">
        <f t="shared" ca="1" si="161"/>
        <v>1.4525533012813197</v>
      </c>
      <c r="N341" s="304">
        <f t="shared" ca="1" si="162"/>
        <v>83.225173681214329</v>
      </c>
      <c r="P341" s="310">
        <f t="shared" ca="1" si="163"/>
        <v>9</v>
      </c>
      <c r="Q341" s="304">
        <f t="shared" ca="1" si="164"/>
        <v>128.44444444446083</v>
      </c>
      <c r="R341" s="306">
        <f t="shared" ca="1" si="165"/>
        <v>6.4460282219002421E-2</v>
      </c>
      <c r="S341" s="307">
        <f t="shared" ca="1" si="166"/>
        <v>7.9858482544350524</v>
      </c>
      <c r="T341" s="304">
        <f t="shared" ca="1" si="146"/>
        <v>78.341171376007864</v>
      </c>
      <c r="U341" s="311">
        <f t="shared" ca="1" si="147"/>
        <v>0</v>
      </c>
      <c r="V341" s="306">
        <f t="shared" ca="1" si="148"/>
        <v>1.1792214219955297</v>
      </c>
      <c r="W341" s="304">
        <f t="shared" ca="1" si="149"/>
        <v>121.72948504983859</v>
      </c>
      <c r="Y341" s="314" t="str">
        <f t="shared" ca="1" si="167"/>
        <v/>
      </c>
      <c r="Z341" s="315" t="str">
        <f t="shared" ca="1" si="168"/>
        <v/>
      </c>
      <c r="AA341" s="316" t="str">
        <f t="shared" ca="1" si="169"/>
        <v/>
      </c>
      <c r="AC341" s="310" t="e">
        <f t="shared" ca="1" si="170"/>
        <v>#N/A</v>
      </c>
      <c r="AD341" s="323" t="e">
        <f t="shared" ca="1" si="171"/>
        <v>#N/A</v>
      </c>
      <c r="AE341" s="324">
        <f t="shared" ca="1" si="150"/>
        <v>380.81831885911299</v>
      </c>
      <c r="AG341" s="306">
        <f t="shared" ca="1" si="172"/>
        <v>-8.9182980450262956</v>
      </c>
      <c r="AH341" s="304">
        <f t="shared" ca="1" si="173"/>
        <v>0.82327578874846974</v>
      </c>
    </row>
    <row r="342" spans="1:34" x14ac:dyDescent="0.2">
      <c r="A342" s="347">
        <f t="shared" ca="1" si="151"/>
        <v>0.01</v>
      </c>
      <c r="B342" s="304">
        <f t="shared" ca="1" si="152"/>
        <v>3.3799999999999719</v>
      </c>
      <c r="D342" s="306">
        <f t="shared" ca="1" si="153"/>
        <v>1.2750886241034659E-2</v>
      </c>
      <c r="E342" s="307">
        <f t="shared" ca="1" si="154"/>
        <v>-9.7026667717920283</v>
      </c>
      <c r="F342" s="304">
        <f t="shared" ca="1" si="155"/>
        <v>9.7026751501602426</v>
      </c>
      <c r="G342" s="306">
        <f t="shared" ca="1" si="156"/>
        <v>21.684761654953597</v>
      </c>
      <c r="H342" s="307">
        <f t="shared" ca="1" si="157"/>
        <v>182.43787650775869</v>
      </c>
      <c r="I342" s="304">
        <f t="shared" ca="1" si="158"/>
        <v>183.72209358891041</v>
      </c>
      <c r="J342" s="306">
        <f t="shared" ca="1" si="159"/>
        <v>42.086847147430696</v>
      </c>
      <c r="K342" s="307">
        <f t="shared" ca="1" si="160"/>
        <v>382.64318275752919</v>
      </c>
      <c r="L342" s="304">
        <f t="shared" ca="1" si="145"/>
        <v>384.95078648266593</v>
      </c>
      <c r="M342" s="306">
        <f t="shared" ca="1" si="161"/>
        <v>1.4524903114166874</v>
      </c>
      <c r="N342" s="304">
        <f t="shared" ca="1" si="162"/>
        <v>83.221564627818793</v>
      </c>
      <c r="P342" s="310">
        <f t="shared" ca="1" si="163"/>
        <v>9</v>
      </c>
      <c r="Q342" s="304">
        <f t="shared" ca="1" si="164"/>
        <v>122.59259259260908</v>
      </c>
      <c r="R342" s="306">
        <f t="shared" ca="1" si="165"/>
        <v>6.1523510422404705E-2</v>
      </c>
      <c r="S342" s="307">
        <f t="shared" ca="1" si="166"/>
        <v>7.9852330193308285</v>
      </c>
      <c r="T342" s="304">
        <f t="shared" ca="1" si="146"/>
        <v>78.335135919635434</v>
      </c>
      <c r="U342" s="311">
        <f t="shared" ca="1" si="147"/>
        <v>0</v>
      </c>
      <c r="V342" s="306">
        <f t="shared" ca="1" si="148"/>
        <v>1.1790061713610829</v>
      </c>
      <c r="W342" s="304">
        <f t="shared" ca="1" si="149"/>
        <v>121.57973212548781</v>
      </c>
      <c r="Y342" s="314" t="str">
        <f t="shared" ca="1" si="167"/>
        <v/>
      </c>
      <c r="Z342" s="315" t="str">
        <f t="shared" ca="1" si="168"/>
        <v/>
      </c>
      <c r="AA342" s="316" t="str">
        <f t="shared" ca="1" si="169"/>
        <v/>
      </c>
      <c r="AC342" s="310" t="e">
        <f t="shared" ca="1" si="170"/>
        <v>#N/A</v>
      </c>
      <c r="AD342" s="323" t="e">
        <f t="shared" ca="1" si="171"/>
        <v>#N/A</v>
      </c>
      <c r="AE342" s="324">
        <f t="shared" ca="1" si="150"/>
        <v>382.64318275752919</v>
      </c>
      <c r="AG342" s="306">
        <f t="shared" ca="1" si="172"/>
        <v>-9.633413074567498</v>
      </c>
      <c r="AH342" s="304">
        <f t="shared" ca="1" si="173"/>
        <v>0.10808795944727763</v>
      </c>
    </row>
    <row r="343" spans="1:34" x14ac:dyDescent="0.2">
      <c r="A343" s="347">
        <f t="shared" ca="1" si="151"/>
        <v>0.01</v>
      </c>
      <c r="B343" s="304">
        <f t="shared" ca="1" si="152"/>
        <v>3.3899999999999717</v>
      </c>
      <c r="D343" s="306">
        <f t="shared" ca="1" si="153"/>
        <v>-7.1530685511894163E-2</v>
      </c>
      <c r="E343" s="307">
        <f t="shared" ca="1" si="154"/>
        <v>-10.411800775013509</v>
      </c>
      <c r="F343" s="304">
        <f t="shared" ca="1" si="155"/>
        <v>10.41204648556381</v>
      </c>
      <c r="G343" s="306">
        <f t="shared" ca="1" si="156"/>
        <v>21.684046348098477</v>
      </c>
      <c r="H343" s="307">
        <f t="shared" ca="1" si="157"/>
        <v>182.33375850000854</v>
      </c>
      <c r="I343" s="304">
        <f t="shared" ca="1" si="158"/>
        <v>183.61861930307046</v>
      </c>
      <c r="J343" s="306">
        <f t="shared" ca="1" si="159"/>
        <v>42.303691187445956</v>
      </c>
      <c r="K343" s="307">
        <f t="shared" ca="1" si="160"/>
        <v>384.46704093256801</v>
      </c>
      <c r="L343" s="304">
        <f t="shared" ca="1" si="145"/>
        <v>386.78741945870951</v>
      </c>
      <c r="M343" s="306">
        <f t="shared" ca="1" si="161"/>
        <v>1.4524272526376572</v>
      </c>
      <c r="N343" s="304">
        <f t="shared" ca="1" si="162"/>
        <v>83.217951625919113</v>
      </c>
      <c r="P343" s="310">
        <f t="shared" ca="1" si="163"/>
        <v>9</v>
      </c>
      <c r="Q343" s="304">
        <f t="shared" ca="1" si="164"/>
        <v>116.74074074075736</v>
      </c>
      <c r="R343" s="306">
        <f t="shared" ca="1" si="165"/>
        <v>5.8586738625806996E-2</v>
      </c>
      <c r="S343" s="307">
        <f t="shared" ca="1" si="166"/>
        <v>7.9846471519445705</v>
      </c>
      <c r="T343" s="304">
        <f t="shared" ca="1" si="146"/>
        <v>78.329388560576234</v>
      </c>
      <c r="U343" s="311">
        <f t="shared" ca="1" si="147"/>
        <v>0</v>
      </c>
      <c r="V343" s="306">
        <f t="shared" ca="1" si="148"/>
        <v>1.1787910778636825</v>
      </c>
      <c r="W343" s="304">
        <f t="shared" ca="1" si="149"/>
        <v>121.4206650542948</v>
      </c>
      <c r="Y343" s="314" t="str">
        <f t="shared" ca="1" si="167"/>
        <v/>
      </c>
      <c r="Z343" s="315" t="str">
        <f t="shared" ca="1" si="168"/>
        <v/>
      </c>
      <c r="AA343" s="316" t="str">
        <f t="shared" ca="1" si="169"/>
        <v/>
      </c>
      <c r="AC343" s="310" t="e">
        <f t="shared" ca="1" si="170"/>
        <v>#N/A</v>
      </c>
      <c r="AD343" s="323" t="e">
        <f t="shared" ca="1" si="171"/>
        <v>#N/A</v>
      </c>
      <c r="AE343" s="324">
        <f t="shared" ca="1" si="150"/>
        <v>384.46704093256801</v>
      </c>
      <c r="AG343" s="306">
        <f t="shared" ca="1" si="172"/>
        <v>-10.347465091135836</v>
      </c>
      <c r="AH343" s="304">
        <f t="shared" ca="1" si="173"/>
        <v>-0.60603697228523956</v>
      </c>
    </row>
    <row r="344" spans="1:34" x14ac:dyDescent="0.2">
      <c r="A344" s="347">
        <f t="shared" ca="1" si="151"/>
        <v>0.01</v>
      </c>
      <c r="B344" s="304">
        <f t="shared" ca="1" si="152"/>
        <v>3.3999999999999715</v>
      </c>
      <c r="D344" s="306">
        <f t="shared" ca="1" si="153"/>
        <v>-0.15577572114942995</v>
      </c>
      <c r="E344" s="307">
        <f t="shared" ca="1" si="154"/>
        <v>-11.119864970045851</v>
      </c>
      <c r="F344" s="304">
        <f t="shared" ca="1" si="155"/>
        <v>11.120956030276913</v>
      </c>
      <c r="G344" s="306">
        <f t="shared" ca="1" si="156"/>
        <v>21.682488590886983</v>
      </c>
      <c r="H344" s="307">
        <f t="shared" ca="1" si="157"/>
        <v>182.22255985030807</v>
      </c>
      <c r="I344" s="304">
        <f t="shared" ca="1" si="158"/>
        <v>183.50801516525934</v>
      </c>
      <c r="J344" s="306">
        <f t="shared" ca="1" si="159"/>
        <v>42.520523862140884</v>
      </c>
      <c r="K344" s="307">
        <f t="shared" ca="1" si="160"/>
        <v>386.28982252431962</v>
      </c>
      <c r="L344" s="304">
        <f t="shared" ca="1" si="145"/>
        <v>388.62298173857556</v>
      </c>
      <c r="M344" s="306">
        <f t="shared" ca="1" si="161"/>
        <v>1.4523641223774737</v>
      </c>
      <c r="N344" s="304">
        <f t="shared" ca="1" si="162"/>
        <v>83.214334528451047</v>
      </c>
      <c r="P344" s="310">
        <f t="shared" ca="1" si="163"/>
        <v>9</v>
      </c>
      <c r="Q344" s="304">
        <f t="shared" ca="1" si="164"/>
        <v>110.88888888890563</v>
      </c>
      <c r="R344" s="306">
        <f t="shared" ca="1" si="165"/>
        <v>5.564996682920928E-2</v>
      </c>
      <c r="S344" s="307">
        <f t="shared" ca="1" si="166"/>
        <v>7.9840906522762785</v>
      </c>
      <c r="T344" s="304">
        <f t="shared" ca="1" si="146"/>
        <v>78.323929298830294</v>
      </c>
      <c r="U344" s="311">
        <f t="shared" ca="1" si="147"/>
        <v>0</v>
      </c>
      <c r="V344" s="306">
        <f t="shared" ca="1" si="148"/>
        <v>1.1785761497838163</v>
      </c>
      <c r="W344" s="304">
        <f t="shared" ca="1" si="149"/>
        <v>121.25231982580678</v>
      </c>
      <c r="Y344" s="314" t="str">
        <f t="shared" ca="1" si="167"/>
        <v/>
      </c>
      <c r="Z344" s="315" t="str">
        <f t="shared" ca="1" si="168"/>
        <v/>
      </c>
      <c r="AA344" s="316" t="str">
        <f t="shared" ca="1" si="169"/>
        <v/>
      </c>
      <c r="AC344" s="310" t="e">
        <f t="shared" ca="1" si="170"/>
        <v>#N/A</v>
      </c>
      <c r="AD344" s="323" t="e">
        <f t="shared" ca="1" si="171"/>
        <v>#N/A</v>
      </c>
      <c r="AE344" s="324">
        <f t="shared" ca="1" si="150"/>
        <v>386.28982252431962</v>
      </c>
      <c r="AG344" s="306">
        <f t="shared" ca="1" si="172"/>
        <v>-11.060450349026217</v>
      </c>
      <c r="AH344" s="304">
        <f t="shared" ca="1" si="173"/>
        <v>-1.3190952638277655</v>
      </c>
    </row>
    <row r="345" spans="1:34" x14ac:dyDescent="0.2">
      <c r="A345" s="347">
        <f t="shared" ca="1" si="151"/>
        <v>0.01</v>
      </c>
      <c r="B345" s="304">
        <f t="shared" ca="1" si="152"/>
        <v>3.4099999999999713</v>
      </c>
      <c r="D345" s="306">
        <f t="shared" ca="1" si="153"/>
        <v>-0.23998374737814346</v>
      </c>
      <c r="E345" s="307">
        <f t="shared" ca="1" si="154"/>
        <v>-11.826855795238124</v>
      </c>
      <c r="F345" s="304">
        <f t="shared" ca="1" si="155"/>
        <v>11.829290350666149</v>
      </c>
      <c r="G345" s="306">
        <f t="shared" ca="1" si="156"/>
        <v>21.680088753413202</v>
      </c>
      <c r="H345" s="307">
        <f t="shared" ca="1" si="157"/>
        <v>182.1042912923557</v>
      </c>
      <c r="I345" s="304">
        <f t="shared" ca="1" si="158"/>
        <v>183.39029187895147</v>
      </c>
      <c r="J345" s="306">
        <f t="shared" ca="1" si="159"/>
        <v>42.737336748862383</v>
      </c>
      <c r="K345" s="307">
        <f t="shared" ca="1" si="160"/>
        <v>388.11145678003294</v>
      </c>
      <c r="L345" s="304">
        <f t="shared" ca="1" si="145"/>
        <v>390.45740207646855</v>
      </c>
      <c r="M345" s="306">
        <f t="shared" ca="1" si="161"/>
        <v>1.4523009180587276</v>
      </c>
      <c r="N345" s="304">
        <f t="shared" ca="1" si="162"/>
        <v>83.210713187739898</v>
      </c>
      <c r="P345" s="310">
        <f t="shared" ca="1" si="163"/>
        <v>9</v>
      </c>
      <c r="Q345" s="304">
        <f t="shared" ca="1" si="164"/>
        <v>105.03703703705391</v>
      </c>
      <c r="R345" s="306">
        <f t="shared" ca="1" si="165"/>
        <v>5.2713195032611571E-2</v>
      </c>
      <c r="S345" s="307">
        <f t="shared" ca="1" si="166"/>
        <v>7.9835635203259523</v>
      </c>
      <c r="T345" s="304">
        <f t="shared" ca="1" si="146"/>
        <v>78.318758134397598</v>
      </c>
      <c r="U345" s="311">
        <f t="shared" ca="1" si="147"/>
        <v>0</v>
      </c>
      <c r="V345" s="306">
        <f t="shared" ca="1" si="148"/>
        <v>1.1783613953834422</v>
      </c>
      <c r="W345" s="304">
        <f t="shared" ca="1" si="149"/>
        <v>121.07473350639353</v>
      </c>
      <c r="Y345" s="314" t="str">
        <f t="shared" ca="1" si="167"/>
        <v/>
      </c>
      <c r="Z345" s="315" t="str">
        <f t="shared" ca="1" si="168"/>
        <v/>
      </c>
      <c r="AA345" s="316" t="str">
        <f t="shared" ca="1" si="169"/>
        <v/>
      </c>
      <c r="AC345" s="310" t="e">
        <f t="shared" ca="1" si="170"/>
        <v>#N/A</v>
      </c>
      <c r="AD345" s="323" t="e">
        <f t="shared" ca="1" si="171"/>
        <v>#N/A</v>
      </c>
      <c r="AE345" s="324">
        <f t="shared" ca="1" si="150"/>
        <v>388.11145678003294</v>
      </c>
      <c r="AG345" s="306">
        <f t="shared" ca="1" si="172"/>
        <v>-11.772365261036549</v>
      </c>
      <c r="AH345" s="304">
        <f t="shared" ca="1" si="173"/>
        <v>-2.0310833310800582</v>
      </c>
    </row>
    <row r="346" spans="1:34" x14ac:dyDescent="0.2">
      <c r="A346" s="347">
        <f t="shared" ca="1" si="151"/>
        <v>0.01</v>
      </c>
      <c r="B346" s="304">
        <f t="shared" ca="1" si="152"/>
        <v>3.4199999999999711</v>
      </c>
      <c r="D346" s="306">
        <f t="shared" ca="1" si="153"/>
        <v>-0.32415431546539275</v>
      </c>
      <c r="E346" s="307">
        <f t="shared" ca="1" si="154"/>
        <v>-12.532769844652535</v>
      </c>
      <c r="F346" s="304">
        <f t="shared" ca="1" si="155"/>
        <v>12.536961194773905</v>
      </c>
      <c r="G346" s="306">
        <f t="shared" ca="1" si="156"/>
        <v>21.676847210258547</v>
      </c>
      <c r="H346" s="307">
        <f t="shared" ca="1" si="157"/>
        <v>181.97896359390919</v>
      </c>
      <c r="I346" s="304">
        <f t="shared" ca="1" si="158"/>
        <v>183.26546018191812</v>
      </c>
      <c r="J346" s="306">
        <f t="shared" ca="1" si="159"/>
        <v>42.954121428680743</v>
      </c>
      <c r="K346" s="307">
        <f t="shared" ca="1" si="160"/>
        <v>389.93187305446429</v>
      </c>
      <c r="L346" s="304">
        <f t="shared" ca="1" si="145"/>
        <v>392.29060933378548</v>
      </c>
      <c r="M346" s="306">
        <f t="shared" ca="1" si="161"/>
        <v>1.4522376370927503</v>
      </c>
      <c r="N346" s="304">
        <f t="shared" ca="1" si="162"/>
        <v>83.207087455465881</v>
      </c>
      <c r="P346" s="310">
        <f t="shared" ca="1" si="163"/>
        <v>9</v>
      </c>
      <c r="Q346" s="304">
        <f t="shared" ca="1" si="164"/>
        <v>99.185185185202172</v>
      </c>
      <c r="R346" s="306">
        <f t="shared" ca="1" si="165"/>
        <v>4.9776423236013854E-2</v>
      </c>
      <c r="S346" s="307">
        <f t="shared" ca="1" si="166"/>
        <v>7.983065756093592</v>
      </c>
      <c r="T346" s="304">
        <f t="shared" ca="1" si="146"/>
        <v>78.313875067278147</v>
      </c>
      <c r="U346" s="311">
        <f t="shared" ca="1" si="147"/>
        <v>0</v>
      </c>
      <c r="V346" s="306">
        <f t="shared" ca="1" si="148"/>
        <v>1.1781468229059693</v>
      </c>
      <c r="W346" s="304">
        <f t="shared" ca="1" si="149"/>
        <v>120.88794422992264</v>
      </c>
      <c r="Y346" s="314" t="str">
        <f t="shared" ca="1" si="167"/>
        <v/>
      </c>
      <c r="Z346" s="315" t="str">
        <f t="shared" ca="1" si="168"/>
        <v/>
      </c>
      <c r="AA346" s="316" t="str">
        <f t="shared" ca="1" si="169"/>
        <v/>
      </c>
      <c r="AC346" s="310" t="e">
        <f t="shared" ca="1" si="170"/>
        <v>#N/A</v>
      </c>
      <c r="AD346" s="323" t="e">
        <f t="shared" ca="1" si="171"/>
        <v>#N/A</v>
      </c>
      <c r="AE346" s="324">
        <f t="shared" ca="1" si="150"/>
        <v>389.93187305446429</v>
      </c>
      <c r="AG346" s="306">
        <f t="shared" ca="1" si="172"/>
        <v>-12.483206397483801</v>
      </c>
      <c r="AH346" s="304">
        <f t="shared" ca="1" si="173"/>
        <v>-2.7419977474797497</v>
      </c>
    </row>
    <row r="347" spans="1:34" x14ac:dyDescent="0.2">
      <c r="A347" s="347">
        <f t="shared" ca="1" si="151"/>
        <v>0.01</v>
      </c>
      <c r="B347" s="304">
        <f t="shared" ca="1" si="152"/>
        <v>3.4299999999999708</v>
      </c>
      <c r="D347" s="306">
        <f t="shared" ca="1" si="153"/>
        <v>-0.40828700118117139</v>
      </c>
      <c r="E347" s="307">
        <f t="shared" ca="1" si="154"/>
        <v>-13.237603867072169</v>
      </c>
      <c r="F347" s="304">
        <f t="shared" ca="1" si="155"/>
        <v>13.243898761952901</v>
      </c>
      <c r="G347" s="306">
        <f t="shared" ca="1" si="156"/>
        <v>21.672764340246736</v>
      </c>
      <c r="H347" s="307">
        <f t="shared" ca="1" si="157"/>
        <v>181.84658755523847</v>
      </c>
      <c r="I347" s="304">
        <f t="shared" ca="1" si="158"/>
        <v>183.13353084466232</v>
      </c>
      <c r="J347" s="306">
        <f t="shared" ca="1" si="159"/>
        <v>43.170869486433268</v>
      </c>
      <c r="K347" s="307">
        <f t="shared" ca="1" si="160"/>
        <v>391.75100081021003</v>
      </c>
      <c r="L347" s="304">
        <f t="shared" ca="1" si="145"/>
        <v>394.12253247945091</v>
      </c>
      <c r="M347" s="306">
        <f t="shared" ca="1" si="161"/>
        <v>1.4521742768790047</v>
      </c>
      <c r="N347" s="304">
        <f t="shared" ca="1" si="162"/>
        <v>83.203457182629208</v>
      </c>
      <c r="P347" s="310">
        <f t="shared" ca="1" si="163"/>
        <v>9</v>
      </c>
      <c r="Q347" s="304">
        <f t="shared" ca="1" si="164"/>
        <v>93.333333333350453</v>
      </c>
      <c r="R347" s="306">
        <f t="shared" ca="1" si="165"/>
        <v>4.6839651439416145E-2</v>
      </c>
      <c r="S347" s="307">
        <f t="shared" ca="1" si="166"/>
        <v>7.9825973595791977</v>
      </c>
      <c r="T347" s="304">
        <f t="shared" ca="1" si="146"/>
        <v>78.309280097471927</v>
      </c>
      <c r="U347" s="311">
        <f t="shared" ca="1" si="147"/>
        <v>0</v>
      </c>
      <c r="V347" s="306">
        <f t="shared" ca="1" si="148"/>
        <v>1.1779324405762468</v>
      </c>
      <c r="W347" s="304">
        <f t="shared" ca="1" si="149"/>
        <v>120.69199118845646</v>
      </c>
      <c r="Y347" s="314" t="str">
        <f t="shared" ca="1" si="167"/>
        <v/>
      </c>
      <c r="Z347" s="315" t="str">
        <f t="shared" ca="1" si="168"/>
        <v/>
      </c>
      <c r="AA347" s="316" t="str">
        <f t="shared" ca="1" si="169"/>
        <v/>
      </c>
      <c r="AC347" s="310" t="e">
        <f t="shared" ca="1" si="170"/>
        <v>#N/A</v>
      </c>
      <c r="AD347" s="323" t="e">
        <f t="shared" ca="1" si="171"/>
        <v>#N/A</v>
      </c>
      <c r="AE347" s="324">
        <f t="shared" ca="1" si="150"/>
        <v>391.75100081021003</v>
      </c>
      <c r="AG347" s="306">
        <f t="shared" ca="1" si="172"/>
        <v>-13.192970485213175</v>
      </c>
      <c r="AH347" s="304">
        <f t="shared" ca="1" si="173"/>
        <v>-3.4518352430122725</v>
      </c>
    </row>
    <row r="348" spans="1:34" x14ac:dyDescent="0.2">
      <c r="A348" s="347">
        <f t="shared" ca="1" si="151"/>
        <v>0.01</v>
      </c>
      <c r="B348" s="304">
        <f t="shared" ca="1" si="152"/>
        <v>3.4399999999999706</v>
      </c>
      <c r="D348" s="306">
        <f t="shared" ca="1" si="153"/>
        <v>-0.49238140474124115</v>
      </c>
      <c r="E348" s="307">
        <f t="shared" ca="1" si="154"/>
        <v>-13.941354765002263</v>
      </c>
      <c r="F348" s="304">
        <f t="shared" ca="1" si="155"/>
        <v>13.950047029719515</v>
      </c>
      <c r="G348" s="306">
        <f t="shared" ca="1" si="156"/>
        <v>21.667840526199324</v>
      </c>
      <c r="H348" s="307">
        <f t="shared" ca="1" si="157"/>
        <v>181.70717400758843</v>
      </c>
      <c r="I348" s="304">
        <f t="shared" ca="1" si="158"/>
        <v>182.9945146688633</v>
      </c>
      <c r="J348" s="306">
        <f t="shared" ca="1" si="159"/>
        <v>43.387572510765501</v>
      </c>
      <c r="K348" s="307">
        <f t="shared" ca="1" si="160"/>
        <v>393.56876961802419</v>
      </c>
      <c r="L348" s="304">
        <f t="shared" ca="1" si="145"/>
        <v>395.953100590237</v>
      </c>
      <c r="M348" s="306">
        <f t="shared" ca="1" si="161"/>
        <v>1.4521108348044693</v>
      </c>
      <c r="N348" s="304">
        <f t="shared" ca="1" si="162"/>
        <v>83.199822219514786</v>
      </c>
      <c r="P348" s="310">
        <f t="shared" ca="1" si="163"/>
        <v>9</v>
      </c>
      <c r="Q348" s="304">
        <f t="shared" ca="1" si="164"/>
        <v>87.481481481498719</v>
      </c>
      <c r="R348" s="306">
        <f t="shared" ca="1" si="165"/>
        <v>4.3902879642818429E-2</v>
      </c>
      <c r="S348" s="307">
        <f t="shared" ca="1" si="166"/>
        <v>7.9821583307827693</v>
      </c>
      <c r="T348" s="304">
        <f t="shared" ca="1" si="146"/>
        <v>78.304973224978966</v>
      </c>
      <c r="U348" s="311">
        <f t="shared" ca="1" si="147"/>
        <v>0</v>
      </c>
      <c r="V348" s="306">
        <f t="shared" ca="1" si="148"/>
        <v>1.177718256600548</v>
      </c>
      <c r="W348" s="304">
        <f t="shared" ca="1" si="149"/>
        <v>120.48691462296986</v>
      </c>
      <c r="Y348" s="314" t="str">
        <f t="shared" ca="1" si="167"/>
        <v/>
      </c>
      <c r="Z348" s="315" t="str">
        <f t="shared" ca="1" si="168"/>
        <v/>
      </c>
      <c r="AA348" s="316" t="str">
        <f t="shared" ca="1" si="169"/>
        <v/>
      </c>
      <c r="AC348" s="310" t="e">
        <f t="shared" ca="1" si="170"/>
        <v>#N/A</v>
      </c>
      <c r="AD348" s="323" t="e">
        <f t="shared" ca="1" si="171"/>
        <v>#N/A</v>
      </c>
      <c r="AE348" s="324">
        <f t="shared" ca="1" si="150"/>
        <v>393.56876961802419</v>
      </c>
      <c r="AG348" s="306">
        <f t="shared" ca="1" si="172"/>
        <v>-13.901654406601008</v>
      </c>
      <c r="AH348" s="304">
        <f t="shared" ca="1" si="173"/>
        <v>-4.1605927032145145</v>
      </c>
    </row>
    <row r="349" spans="1:34" x14ac:dyDescent="0.2">
      <c r="A349" s="347">
        <f t="shared" ca="1" si="151"/>
        <v>0.01</v>
      </c>
      <c r="B349" s="304">
        <f t="shared" ca="1" si="152"/>
        <v>3.4499999999999704</v>
      </c>
      <c r="D349" s="306">
        <f t="shared" ca="1" si="153"/>
        <v>-0.57643715075156599</v>
      </c>
      <c r="E349" s="307">
        <f t="shared" ca="1" si="154"/>
        <v>-14.644019593664872</v>
      </c>
      <c r="F349" s="304">
        <f t="shared" ca="1" si="155"/>
        <v>14.655360440753659</v>
      </c>
      <c r="G349" s="306">
        <f t="shared" ca="1" si="156"/>
        <v>21.662076154691807</v>
      </c>
      <c r="H349" s="307">
        <f t="shared" ca="1" si="157"/>
        <v>181.56073381165177</v>
      </c>
      <c r="I349" s="304">
        <f t="shared" ca="1" si="158"/>
        <v>182.84842248583152</v>
      </c>
      <c r="J349" s="306">
        <f t="shared" ca="1" si="159"/>
        <v>43.604222094169955</v>
      </c>
      <c r="K349" s="307">
        <f t="shared" ca="1" si="160"/>
        <v>395.38510915712038</v>
      </c>
      <c r="L349" s="304">
        <f t="shared" ca="1" si="145"/>
        <v>397.78224285106756</v>
      </c>
      <c r="M349" s="306">
        <f t="shared" ca="1" si="161"/>
        <v>1.4520473082430172</v>
      </c>
      <c r="N349" s="304">
        <f t="shared" ca="1" si="162"/>
        <v>83.196182415656594</v>
      </c>
      <c r="P349" s="310">
        <f t="shared" ca="1" si="163"/>
        <v>9</v>
      </c>
      <c r="Q349" s="304">
        <f t="shared" ca="1" si="164"/>
        <v>81.629629629646985</v>
      </c>
      <c r="R349" s="306">
        <f t="shared" ca="1" si="165"/>
        <v>4.0966107846220713E-2</v>
      </c>
      <c r="S349" s="307">
        <f t="shared" ca="1" si="166"/>
        <v>7.9817486697043067</v>
      </c>
      <c r="T349" s="304">
        <f t="shared" ca="1" si="146"/>
        <v>78.300954449799249</v>
      </c>
      <c r="U349" s="311">
        <f t="shared" ca="1" si="147"/>
        <v>0</v>
      </c>
      <c r="V349" s="306">
        <f t="shared" ca="1" si="148"/>
        <v>1.1775042791665642</v>
      </c>
      <c r="W349" s="304">
        <f t="shared" ca="1" si="149"/>
        <v>120.27275581409454</v>
      </c>
      <c r="Y349" s="314" t="str">
        <f t="shared" ca="1" si="167"/>
        <v/>
      </c>
      <c r="Z349" s="315" t="str">
        <f t="shared" ca="1" si="168"/>
        <v/>
      </c>
      <c r="AA349" s="316" t="str">
        <f t="shared" ca="1" si="169"/>
        <v/>
      </c>
      <c r="AC349" s="310" t="e">
        <f t="shared" ca="1" si="170"/>
        <v>#N/A</v>
      </c>
      <c r="AD349" s="323" t="e">
        <f t="shared" ca="1" si="171"/>
        <v>#N/A</v>
      </c>
      <c r="AE349" s="324">
        <f t="shared" ca="1" si="150"/>
        <v>395.38510915712038</v>
      </c>
      <c r="AG349" s="306">
        <f t="shared" ca="1" si="172"/>
        <v>-14.609255198551276</v>
      </c>
      <c r="AH349" s="304">
        <f t="shared" ca="1" si="173"/>
        <v>-4.8682671681721086</v>
      </c>
    </row>
    <row r="350" spans="1:34" x14ac:dyDescent="0.2">
      <c r="A350" s="347">
        <f t="shared" ca="1" si="151"/>
        <v>0.01</v>
      </c>
      <c r="B350" s="304">
        <f t="shared" ca="1" si="152"/>
        <v>3.4599999999999702</v>
      </c>
      <c r="D350" s="306">
        <f t="shared" ca="1" si="153"/>
        <v>-0.66045388815416639</v>
      </c>
      <c r="E350" s="307">
        <f t="shared" ca="1" si="154"/>
        <v>-15.345595559987771</v>
      </c>
      <c r="F350" s="304">
        <f t="shared" ca="1" si="155"/>
        <v>15.359801510081253</v>
      </c>
      <c r="G350" s="306">
        <f t="shared" ca="1" si="156"/>
        <v>21.655471615810264</v>
      </c>
      <c r="H350" s="307">
        <f t="shared" ca="1" si="157"/>
        <v>181.40727785605191</v>
      </c>
      <c r="I350" s="304">
        <f t="shared" ca="1" si="158"/>
        <v>182.69526515497327</v>
      </c>
      <c r="J350" s="306">
        <f t="shared" ca="1" si="159"/>
        <v>43.820809833022466</v>
      </c>
      <c r="K350" s="307">
        <f t="shared" ca="1" si="160"/>
        <v>397.1999492154589</v>
      </c>
      <c r="L350" s="304">
        <f t="shared" ca="1" si="145"/>
        <v>399.60988855530718</v>
      </c>
      <c r="M350" s="306">
        <f t="shared" ca="1" si="161"/>
        <v>1.4519836945547866</v>
      </c>
      <c r="N350" s="304">
        <f t="shared" ca="1" si="162"/>
        <v>83.192537619801726</v>
      </c>
      <c r="P350" s="310">
        <f t="shared" ca="1" si="163"/>
        <v>9</v>
      </c>
      <c r="Q350" s="304">
        <f t="shared" ca="1" si="164"/>
        <v>75.777777777795279</v>
      </c>
      <c r="R350" s="306">
        <f t="shared" ca="1" si="165"/>
        <v>3.8029336049623011E-2</v>
      </c>
      <c r="S350" s="307">
        <f t="shared" ca="1" si="166"/>
        <v>7.9813683763438101</v>
      </c>
      <c r="T350" s="304">
        <f t="shared" ca="1" si="146"/>
        <v>78.297223771932778</v>
      </c>
      <c r="U350" s="311">
        <f t="shared" ca="1" si="147"/>
        <v>0</v>
      </c>
      <c r="V350" s="306">
        <f t="shared" ca="1" si="148"/>
        <v>1.1772905164433956</v>
      </c>
      <c r="W350" s="304">
        <f t="shared" ca="1" si="149"/>
        <v>120.04955707288811</v>
      </c>
      <c r="Y350" s="314" t="str">
        <f t="shared" ca="1" si="167"/>
        <v/>
      </c>
      <c r="Z350" s="315" t="str">
        <f t="shared" ca="1" si="168"/>
        <v/>
      </c>
      <c r="AA350" s="316" t="str">
        <f t="shared" ca="1" si="169"/>
        <v/>
      </c>
      <c r="AC350" s="310" t="e">
        <f t="shared" ca="1" si="170"/>
        <v>#N/A</v>
      </c>
      <c r="AD350" s="323" t="e">
        <f t="shared" ca="1" si="171"/>
        <v>#N/A</v>
      </c>
      <c r="AE350" s="324">
        <f t="shared" ca="1" si="150"/>
        <v>397.1999492154589</v>
      </c>
      <c r="AG350" s="306">
        <f t="shared" ca="1" si="172"/>
        <v>-15.315770051486576</v>
      </c>
      <c r="AH350" s="304">
        <f t="shared" ca="1" si="173"/>
        <v>-5.5748558315111865</v>
      </c>
    </row>
    <row r="351" spans="1:34" x14ac:dyDescent="0.2">
      <c r="A351" s="347">
        <f t="shared" ca="1" si="151"/>
        <v>0.01</v>
      </c>
      <c r="B351" s="304">
        <f t="shared" ca="1" si="152"/>
        <v>3.46999999999997</v>
      </c>
      <c r="D351" s="306">
        <f t="shared" ca="1" si="153"/>
        <v>-0.74443129017441101</v>
      </c>
      <c r="E351" s="307">
        <f t="shared" ca="1" si="154"/>
        <v>-16.04608002158745</v>
      </c>
      <c r="F351" s="304">
        <f t="shared" ca="1" si="155"/>
        <v>16.063339067733665</v>
      </c>
      <c r="G351" s="306">
        <f t="shared" ca="1" si="156"/>
        <v>21.64802730290852</v>
      </c>
      <c r="H351" s="307">
        <f t="shared" ca="1" si="157"/>
        <v>181.24681705583603</v>
      </c>
      <c r="I351" s="304">
        <f t="shared" ca="1" si="158"/>
        <v>182.5350535622656</v>
      </c>
      <c r="J351" s="306">
        <f t="shared" ca="1" si="159"/>
        <v>44.037327327616062</v>
      </c>
      <c r="K351" s="307">
        <f t="shared" ca="1" si="160"/>
        <v>399.01321969001833</v>
      </c>
      <c r="L351" s="304">
        <f t="shared" ca="1" si="145"/>
        <v>401.43596710503459</v>
      </c>
      <c r="M351" s="306">
        <f t="shared" ca="1" si="161"/>
        <v>1.4519199910855451</v>
      </c>
      <c r="N351" s="304">
        <f t="shared" ca="1" si="162"/>
        <v>83.188887679873844</v>
      </c>
      <c r="P351" s="310">
        <f t="shared" ca="1" si="163"/>
        <v>9</v>
      </c>
      <c r="Q351" s="304">
        <f t="shared" ca="1" si="164"/>
        <v>69.925925925943545</v>
      </c>
      <c r="R351" s="306">
        <f t="shared" ca="1" si="165"/>
        <v>3.5092564253025295E-2</v>
      </c>
      <c r="S351" s="307">
        <f t="shared" ca="1" si="166"/>
        <v>7.9810174507012803</v>
      </c>
      <c r="T351" s="304">
        <f t="shared" ca="1" si="146"/>
        <v>78.293781191379566</v>
      </c>
      <c r="U351" s="311">
        <f t="shared" ca="1" si="147"/>
        <v>0</v>
      </c>
      <c r="V351" s="306">
        <f t="shared" ca="1" si="148"/>
        <v>1.1770769765815465</v>
      </c>
      <c r="W351" s="304">
        <f t="shared" ca="1" si="149"/>
        <v>119.81736173163232</v>
      </c>
      <c r="Y351" s="314" t="str">
        <f t="shared" ca="1" si="167"/>
        <v/>
      </c>
      <c r="Z351" s="315" t="str">
        <f t="shared" ca="1" si="168"/>
        <v/>
      </c>
      <c r="AA351" s="316" t="str">
        <f t="shared" ca="1" si="169"/>
        <v/>
      </c>
      <c r="AC351" s="310" t="e">
        <f t="shared" ca="1" si="170"/>
        <v>#N/A</v>
      </c>
      <c r="AD351" s="323" t="e">
        <f t="shared" ca="1" si="171"/>
        <v>#N/A</v>
      </c>
      <c r="AE351" s="324">
        <f t="shared" ca="1" si="150"/>
        <v>399.01321969001833</v>
      </c>
      <c r="AG351" s="306">
        <f t="shared" ca="1" si="172"/>
        <v>-16.021196308333408</v>
      </c>
      <c r="AH351" s="304">
        <f t="shared" ca="1" si="173"/>
        <v>-6.2803560393844613</v>
      </c>
    </row>
    <row r="352" spans="1:34" x14ac:dyDescent="0.2">
      <c r="A352" s="347">
        <f t="shared" ca="1" si="151"/>
        <v>0.01</v>
      </c>
      <c r="B352" s="304">
        <f t="shared" ca="1" si="152"/>
        <v>3.4799999999999698</v>
      </c>
      <c r="D352" s="306">
        <f t="shared" ca="1" si="153"/>
        <v>-0.82637397412318903</v>
      </c>
      <c r="E352" s="307">
        <f t="shared" ca="1" si="154"/>
        <v>-16.728766796246898</v>
      </c>
      <c r="F352" s="304">
        <f t="shared" ca="1" si="155"/>
        <v>16.749165127501755</v>
      </c>
      <c r="G352" s="306">
        <f t="shared" ca="1" si="156"/>
        <v>21.639763563167289</v>
      </c>
      <c r="H352" s="307">
        <f t="shared" ca="1" si="157"/>
        <v>181.07952938787358</v>
      </c>
      <c r="I352" s="304">
        <f t="shared" ca="1" si="158"/>
        <v>182.3679668428739</v>
      </c>
      <c r="J352" s="306">
        <f t="shared" ca="1" si="159"/>
        <v>44.25376628194644</v>
      </c>
      <c r="K352" s="307">
        <f t="shared" ca="1" si="160"/>
        <v>400.82485142223686</v>
      </c>
      <c r="L352" s="304">
        <f t="shared" ca="1" si="145"/>
        <v>403.26040885238831</v>
      </c>
      <c r="M352" s="306">
        <f t="shared" ca="1" si="161"/>
        <v>1.4518561952248954</v>
      </c>
      <c r="N352" s="304">
        <f t="shared" ca="1" si="162"/>
        <v>83.185232446308206</v>
      </c>
      <c r="P352" s="310">
        <f t="shared" ca="1" si="163"/>
        <v>10</v>
      </c>
      <c r="Q352" s="304">
        <f t="shared" ca="1" si="164"/>
        <v>64.20833333335024</v>
      </c>
      <c r="R352" s="306">
        <f t="shared" ca="1" si="165"/>
        <v>3.2223170923279483E-2</v>
      </c>
      <c r="S352" s="307">
        <f t="shared" ca="1" si="166"/>
        <v>7.9806952189920475</v>
      </c>
      <c r="T352" s="304">
        <f t="shared" ca="1" si="146"/>
        <v>78.29062009831199</v>
      </c>
      <c r="U352" s="311">
        <f t="shared" ca="1" si="147"/>
        <v>0</v>
      </c>
      <c r="V352" s="306">
        <f t="shared" ca="1" si="148"/>
        <v>1.1768636676145958</v>
      </c>
      <c r="W352" s="304">
        <f t="shared" ca="1" si="149"/>
        <v>119.5764347295618</v>
      </c>
      <c r="Y352" s="314" t="str">
        <f t="shared" ca="1" si="167"/>
        <v/>
      </c>
      <c r="Z352" s="315" t="str">
        <f t="shared" ca="1" si="168"/>
        <v/>
      </c>
      <c r="AA352" s="316" t="str">
        <f t="shared" ca="1" si="169"/>
        <v/>
      </c>
      <c r="AC352" s="310" t="e">
        <f t="shared" ca="1" si="170"/>
        <v>#N/A</v>
      </c>
      <c r="AD352" s="323" t="e">
        <f t="shared" ca="1" si="171"/>
        <v>#N/A</v>
      </c>
      <c r="AE352" s="324">
        <f t="shared" ca="1" si="150"/>
        <v>400.82485142223686</v>
      </c>
      <c r="AG352" s="306">
        <f t="shared" ca="1" si="172"/>
        <v>-16.708709050248039</v>
      </c>
      <c r="AH352" s="304">
        <f t="shared" ca="1" si="173"/>
        <v>-6.967942876197875</v>
      </c>
    </row>
    <row r="353" spans="1:34" x14ac:dyDescent="0.2">
      <c r="A353" s="347">
        <f t="shared" ca="1" si="151"/>
        <v>0.01</v>
      </c>
      <c r="B353" s="304">
        <f t="shared" ca="1" si="152"/>
        <v>3.4899999999999696</v>
      </c>
      <c r="D353" s="306">
        <f t="shared" ca="1" si="153"/>
        <v>-0.90628162171806614</v>
      </c>
      <c r="E353" s="307">
        <f t="shared" ca="1" si="154"/>
        <v>-17.39368034265004</v>
      </c>
      <c r="F353" s="304">
        <f t="shared" ca="1" si="155"/>
        <v>17.41727482243288</v>
      </c>
      <c r="G353" s="306">
        <f t="shared" ca="1" si="156"/>
        <v>21.630700746950108</v>
      </c>
      <c r="H353" s="307">
        <f t="shared" ca="1" si="157"/>
        <v>180.90559258444708</v>
      </c>
      <c r="I353" s="304">
        <f t="shared" ca="1" si="158"/>
        <v>182.19418388942623</v>
      </c>
      <c r="J353" s="306">
        <f t="shared" ca="1" si="159"/>
        <v>44.470118603497028</v>
      </c>
      <c r="K353" s="307">
        <f t="shared" ca="1" si="160"/>
        <v>402.63477703209844</v>
      </c>
      <c r="L353" s="304">
        <f t="shared" ca="1" si="145"/>
        <v>405.08314593956726</v>
      </c>
      <c r="M353" s="306">
        <f t="shared" ca="1" si="161"/>
        <v>1.4517923044061372</v>
      </c>
      <c r="N353" s="304">
        <f t="shared" ca="1" si="162"/>
        <v>83.181571772043725</v>
      </c>
      <c r="P353" s="310">
        <f t="shared" ca="1" si="163"/>
        <v>10</v>
      </c>
      <c r="Q353" s="304">
        <f t="shared" ca="1" si="164"/>
        <v>58.625000000017017</v>
      </c>
      <c r="R353" s="306">
        <f t="shared" ca="1" si="165"/>
        <v>2.9421156060386408E-2</v>
      </c>
      <c r="S353" s="307">
        <f t="shared" ca="1" si="166"/>
        <v>7.9804010074314435</v>
      </c>
      <c r="T353" s="304">
        <f t="shared" ca="1" si="146"/>
        <v>78.287733882902458</v>
      </c>
      <c r="U353" s="311">
        <f t="shared" ca="1" si="147"/>
        <v>0</v>
      </c>
      <c r="V353" s="306">
        <f t="shared" ca="1" si="148"/>
        <v>1.1766505973611252</v>
      </c>
      <c r="W353" s="304">
        <f t="shared" ca="1" si="149"/>
        <v>119.32704063872856</v>
      </c>
      <c r="Y353" s="314" t="str">
        <f t="shared" ca="1" si="167"/>
        <v/>
      </c>
      <c r="Z353" s="315" t="str">
        <f t="shared" ca="1" si="168"/>
        <v/>
      </c>
      <c r="AA353" s="316" t="str">
        <f t="shared" ca="1" si="169"/>
        <v/>
      </c>
      <c r="AC353" s="310" t="e">
        <f t="shared" ca="1" si="170"/>
        <v>#N/A</v>
      </c>
      <c r="AD353" s="323" t="e">
        <f t="shared" ca="1" si="171"/>
        <v>#N/A</v>
      </c>
      <c r="AE353" s="324">
        <f t="shared" ca="1" si="150"/>
        <v>402.63477703209844</v>
      </c>
      <c r="AG353" s="306">
        <f t="shared" ca="1" si="172"/>
        <v>-17.378332530933953</v>
      </c>
      <c r="AH353" s="304">
        <f t="shared" ca="1" si="173"/>
        <v>-7.6376405988603935</v>
      </c>
    </row>
    <row r="354" spans="1:34" x14ac:dyDescent="0.2">
      <c r="A354" s="347">
        <f t="shared" ca="1" si="151"/>
        <v>0.01</v>
      </c>
      <c r="B354" s="304">
        <f t="shared" ca="1" si="152"/>
        <v>3.4999999999999694</v>
      </c>
      <c r="D354" s="306">
        <f t="shared" ca="1" si="153"/>
        <v>-0.98615132477529654</v>
      </c>
      <c r="E354" s="307">
        <f t="shared" ca="1" si="154"/>
        <v>-18.057550177567254</v>
      </c>
      <c r="F354" s="304">
        <f t="shared" ca="1" si="155"/>
        <v>18.084457770436892</v>
      </c>
      <c r="G354" s="306">
        <f t="shared" ca="1" si="156"/>
        <v>21.620839233702355</v>
      </c>
      <c r="H354" s="307">
        <f t="shared" ca="1" si="157"/>
        <v>180.7250170826714</v>
      </c>
      <c r="I354" s="304">
        <f t="shared" ca="1" si="158"/>
        <v>182.01371511153073</v>
      </c>
      <c r="J354" s="306">
        <f t="shared" ca="1" si="159"/>
        <v>44.686376303400287</v>
      </c>
      <c r="K354" s="307">
        <f t="shared" ca="1" si="160"/>
        <v>404.44293008043405</v>
      </c>
      <c r="L354" s="304">
        <f t="shared" ca="1" si="145"/>
        <v>406.90411145523706</v>
      </c>
      <c r="M354" s="306">
        <f t="shared" ca="1" si="161"/>
        <v>1.4517283160470258</v>
      </c>
      <c r="N354" s="304">
        <f t="shared" ca="1" si="162"/>
        <v>83.177905509128678</v>
      </c>
      <c r="P354" s="310">
        <f t="shared" ca="1" si="163"/>
        <v>10</v>
      </c>
      <c r="Q354" s="304">
        <f t="shared" ca="1" si="164"/>
        <v>53.041666666683788</v>
      </c>
      <c r="R354" s="306">
        <f t="shared" ca="1" si="165"/>
        <v>2.661914119749333E-2</v>
      </c>
      <c r="S354" s="307">
        <f t="shared" ca="1" si="166"/>
        <v>7.9801348160194685</v>
      </c>
      <c r="T354" s="304">
        <f t="shared" ca="1" si="146"/>
        <v>78.285122545150983</v>
      </c>
      <c r="U354" s="311">
        <f t="shared" ca="1" si="147"/>
        <v>0</v>
      </c>
      <c r="V354" s="306">
        <f t="shared" ca="1" si="148"/>
        <v>1.1764377735235161</v>
      </c>
      <c r="W354" s="304">
        <f t="shared" ca="1" si="149"/>
        <v>119.06922347018576</v>
      </c>
      <c r="Y354" s="314" t="str">
        <f t="shared" ca="1" si="167"/>
        <v/>
      </c>
      <c r="Z354" s="315" t="str">
        <f t="shared" ca="1" si="168"/>
        <v/>
      </c>
      <c r="AA354" s="316" t="str">
        <f t="shared" ca="1" si="169"/>
        <v/>
      </c>
      <c r="AC354" s="310" t="e">
        <f t="shared" ca="1" si="170"/>
        <v>#N/A</v>
      </c>
      <c r="AD354" s="323" t="e">
        <f t="shared" ca="1" si="171"/>
        <v>#N/A</v>
      </c>
      <c r="AE354" s="324">
        <f t="shared" ca="1" si="150"/>
        <v>404.44293008043405</v>
      </c>
      <c r="AG354" s="306">
        <f t="shared" ca="1" si="172"/>
        <v>-18.046915052398873</v>
      </c>
      <c r="AH354" s="304">
        <f t="shared" ca="1" si="173"/>
        <v>-8.3062975125410539</v>
      </c>
    </row>
    <row r="355" spans="1:34" x14ac:dyDescent="0.2">
      <c r="A355" s="347">
        <f t="shared" ca="1" si="151"/>
        <v>0.01</v>
      </c>
      <c r="B355" s="304">
        <f t="shared" ca="1" si="152"/>
        <v>3.5099999999999691</v>
      </c>
      <c r="D355" s="306">
        <f t="shared" ca="1" si="153"/>
        <v>-1.0659829024375287</v>
      </c>
      <c r="E355" s="307">
        <f t="shared" ca="1" si="154"/>
        <v>-18.720374670033969</v>
      </c>
      <c r="F355" s="304">
        <f t="shared" ca="1" si="155"/>
        <v>18.750699915862835</v>
      </c>
      <c r="G355" s="306">
        <f t="shared" ca="1" si="156"/>
        <v>21.610179404677979</v>
      </c>
      <c r="H355" s="307">
        <f t="shared" ca="1" si="157"/>
        <v>180.53781333597107</v>
      </c>
      <c r="I355" s="304">
        <f t="shared" ca="1" si="158"/>
        <v>181.8265709351532</v>
      </c>
      <c r="J355" s="306">
        <f t="shared" ca="1" si="159"/>
        <v>44.902531396592188</v>
      </c>
      <c r="K355" s="307">
        <f t="shared" ca="1" si="160"/>
        <v>406.24924423252725</v>
      </c>
      <c r="L355" s="304">
        <f t="shared" ca="1" si="145"/>
        <v>408.72323859223064</v>
      </c>
      <c r="M355" s="306">
        <f t="shared" ca="1" si="161"/>
        <v>1.4516642275491602</v>
      </c>
      <c r="N355" s="304">
        <f t="shared" ca="1" si="162"/>
        <v>83.174233508685646</v>
      </c>
      <c r="P355" s="310">
        <f t="shared" ca="1" si="163"/>
        <v>10</v>
      </c>
      <c r="Q355" s="304">
        <f t="shared" ca="1" si="164"/>
        <v>47.458333333350552</v>
      </c>
      <c r="R355" s="306">
        <f t="shared" ca="1" si="165"/>
        <v>2.3817126334600251E-2</v>
      </c>
      <c r="S355" s="307">
        <f t="shared" ca="1" si="166"/>
        <v>7.9798966447561224</v>
      </c>
      <c r="T355" s="304">
        <f t="shared" ca="1" si="146"/>
        <v>78.282786085057566</v>
      </c>
      <c r="U355" s="311">
        <f t="shared" ca="1" si="147"/>
        <v>0</v>
      </c>
      <c r="V355" s="306">
        <f t="shared" ca="1" si="148"/>
        <v>1.1762252037864822</v>
      </c>
      <c r="W355" s="304">
        <f t="shared" ca="1" si="149"/>
        <v>118.8030281205188</v>
      </c>
      <c r="Y355" s="314" t="str">
        <f t="shared" ca="1" si="167"/>
        <v/>
      </c>
      <c r="Z355" s="315" t="str">
        <f t="shared" ca="1" si="168"/>
        <v/>
      </c>
      <c r="AA355" s="316" t="str">
        <f t="shared" ca="1" si="169"/>
        <v/>
      </c>
      <c r="AC355" s="310" t="e">
        <f t="shared" ca="1" si="170"/>
        <v>#N/A</v>
      </c>
      <c r="AD355" s="323" t="e">
        <f t="shared" ca="1" si="171"/>
        <v>#N/A</v>
      </c>
      <c r="AE355" s="324">
        <f t="shared" ca="1" si="150"/>
        <v>406.24924423252725</v>
      </c>
      <c r="AG355" s="306">
        <f t="shared" ca="1" si="172"/>
        <v>-18.714454978890672</v>
      </c>
      <c r="AH355" s="304">
        <f t="shared" ca="1" si="173"/>
        <v>-8.9739119846737996</v>
      </c>
    </row>
    <row r="356" spans="1:34" x14ac:dyDescent="0.2">
      <c r="A356" s="347">
        <f t="shared" ca="1" si="151"/>
        <v>0.01</v>
      </c>
      <c r="B356" s="304">
        <f t="shared" ca="1" si="152"/>
        <v>3.5199999999999689</v>
      </c>
      <c r="D356" s="306">
        <f t="shared" ca="1" si="153"/>
        <v>-1.1457761956047512</v>
      </c>
      <c r="E356" s="307">
        <f t="shared" ca="1" si="154"/>
        <v>-19.382152320128881</v>
      </c>
      <c r="F356" s="304">
        <f t="shared" ca="1" si="155"/>
        <v>19.415989072182025</v>
      </c>
      <c r="G356" s="306">
        <f t="shared" ca="1" si="156"/>
        <v>21.59872164272193</v>
      </c>
      <c r="H356" s="307">
        <f t="shared" ca="1" si="157"/>
        <v>180.34399181276979</v>
      </c>
      <c r="I356" s="304">
        <f t="shared" ca="1" si="158"/>
        <v>181.63276180129003</v>
      </c>
      <c r="J356" s="306">
        <f t="shared" ca="1" si="159"/>
        <v>45.118575901829189</v>
      </c>
      <c r="K356" s="307">
        <f t="shared" ca="1" si="160"/>
        <v>408.05365325827097</v>
      </c>
      <c r="L356" s="304">
        <f t="shared" ca="1" si="145"/>
        <v>410.54046064770563</v>
      </c>
      <c r="M356" s="306">
        <f t="shared" ca="1" si="161"/>
        <v>1.4516000362973649</v>
      </c>
      <c r="N356" s="304">
        <f t="shared" ca="1" si="162"/>
        <v>83.170555620876115</v>
      </c>
      <c r="P356" s="310">
        <f t="shared" ca="1" si="163"/>
        <v>10</v>
      </c>
      <c r="Q356" s="304">
        <f t="shared" ca="1" si="164"/>
        <v>41.875000000017323</v>
      </c>
      <c r="R356" s="306">
        <f t="shared" ca="1" si="165"/>
        <v>2.1015111471707173E-2</v>
      </c>
      <c r="S356" s="307">
        <f t="shared" ca="1" si="166"/>
        <v>7.9796864936414051</v>
      </c>
      <c r="T356" s="304">
        <f t="shared" ca="1" si="146"/>
        <v>78.280724502622192</v>
      </c>
      <c r="U356" s="311">
        <f t="shared" ca="1" si="147"/>
        <v>0</v>
      </c>
      <c r="V356" s="306">
        <f t="shared" ca="1" si="148"/>
        <v>1.1760128958170812</v>
      </c>
      <c r="W356" s="304">
        <f t="shared" ca="1" si="149"/>
        <v>118.52850036370651</v>
      </c>
      <c r="Y356" s="314" t="str">
        <f t="shared" ca="1" si="167"/>
        <v/>
      </c>
      <c r="Z356" s="315" t="str">
        <f t="shared" ca="1" si="168"/>
        <v/>
      </c>
      <c r="AA356" s="316" t="str">
        <f t="shared" ca="1" si="169"/>
        <v/>
      </c>
      <c r="AC356" s="310" t="e">
        <f t="shared" ca="1" si="170"/>
        <v>#N/A</v>
      </c>
      <c r="AD356" s="323" t="e">
        <f t="shared" ca="1" si="171"/>
        <v>#N/A</v>
      </c>
      <c r="AE356" s="324">
        <f t="shared" ca="1" si="150"/>
        <v>408.05365325827097</v>
      </c>
      <c r="AG356" s="306">
        <f t="shared" ca="1" si="172"/>
        <v>-19.380950807361408</v>
      </c>
      <c r="AH356" s="304">
        <f t="shared" ca="1" si="173"/>
        <v>-9.6404825154223044</v>
      </c>
    </row>
    <row r="357" spans="1:34" x14ac:dyDescent="0.2">
      <c r="A357" s="347">
        <f t="shared" ca="1" si="151"/>
        <v>0.01</v>
      </c>
      <c r="B357" s="304">
        <f t="shared" ca="1" si="152"/>
        <v>3.5299999999999687</v>
      </c>
      <c r="D357" s="306">
        <f t="shared" ca="1" si="153"/>
        <v>-1.2255310668950186</v>
      </c>
      <c r="E357" s="307">
        <f t="shared" ca="1" si="154"/>
        <v>-20.042881758022272</v>
      </c>
      <c r="F357" s="304">
        <f t="shared" ca="1" si="155"/>
        <v>20.080314628062649</v>
      </c>
      <c r="G357" s="306">
        <f t="shared" ca="1" si="156"/>
        <v>21.586466332052979</v>
      </c>
      <c r="H357" s="307">
        <f t="shared" ca="1" si="157"/>
        <v>180.14356299518957</v>
      </c>
      <c r="I357" s="304">
        <f t="shared" ca="1" si="158"/>
        <v>181.43229816465063</v>
      </c>
      <c r="J357" s="306">
        <f t="shared" ca="1" si="159"/>
        <v>45.334501841703066</v>
      </c>
      <c r="K357" s="307">
        <f t="shared" ca="1" si="160"/>
        <v>409.85609103231076</v>
      </c>
      <c r="L357" s="304">
        <f t="shared" ca="1" si="145"/>
        <v>412.35571102328771</v>
      </c>
      <c r="M357" s="306">
        <f t="shared" ca="1" si="161"/>
        <v>1.4515357396590618</v>
      </c>
      <c r="N357" s="304">
        <f t="shared" ca="1" si="162"/>
        <v>83.166871694864469</v>
      </c>
      <c r="P357" s="310">
        <f t="shared" ca="1" si="163"/>
        <v>10</v>
      </c>
      <c r="Q357" s="304">
        <f t="shared" ca="1" si="164"/>
        <v>36.291666666684094</v>
      </c>
      <c r="R357" s="306">
        <f t="shared" ca="1" si="165"/>
        <v>1.8213096608814094E-2</v>
      </c>
      <c r="S357" s="307">
        <f t="shared" ca="1" si="166"/>
        <v>7.9795043626753168</v>
      </c>
      <c r="T357" s="304">
        <f t="shared" ca="1" si="146"/>
        <v>78.278937797844861</v>
      </c>
      <c r="U357" s="311">
        <f t="shared" ca="1" si="147"/>
        <v>0</v>
      </c>
      <c r="V357" s="306">
        <f t="shared" ca="1" si="148"/>
        <v>1.1758008572647232</v>
      </c>
      <c r="W357" s="304">
        <f t="shared" ca="1" si="149"/>
        <v>118.24568684301914</v>
      </c>
      <c r="Y357" s="314" t="str">
        <f t="shared" ca="1" si="167"/>
        <v/>
      </c>
      <c r="Z357" s="315" t="str">
        <f t="shared" ca="1" si="168"/>
        <v/>
      </c>
      <c r="AA357" s="316" t="str">
        <f t="shared" ca="1" si="169"/>
        <v/>
      </c>
      <c r="AC357" s="310" t="e">
        <f t="shared" ca="1" si="170"/>
        <v>#N/A</v>
      </c>
      <c r="AD357" s="323" t="e">
        <f t="shared" ca="1" si="171"/>
        <v>#N/A</v>
      </c>
      <c r="AE357" s="324">
        <f t="shared" ca="1" si="150"/>
        <v>409.85609103231076</v>
      </c>
      <c r="AG357" s="306">
        <f t="shared" ca="1" si="172"/>
        <v>-20.04640116651904</v>
      </c>
      <c r="AH357" s="304">
        <f t="shared" ca="1" si="173"/>
        <v>-10.306007736732484</v>
      </c>
    </row>
    <row r="358" spans="1:34" x14ac:dyDescent="0.2">
      <c r="A358" s="347">
        <f t="shared" ca="1" si="151"/>
        <v>0.01</v>
      </c>
      <c r="B358" s="304">
        <f t="shared" ca="1" si="152"/>
        <v>3.5399999999999685</v>
      </c>
      <c r="D358" s="306">
        <f t="shared" ca="1" si="153"/>
        <v>-1.3052474006069401</v>
      </c>
      <c r="E358" s="307">
        <f t="shared" ca="1" si="154"/>
        <v>-20.702561743021576</v>
      </c>
      <c r="F358" s="304">
        <f t="shared" ca="1" si="155"/>
        <v>20.743667310782143</v>
      </c>
      <c r="G358" s="306">
        <f t="shared" ca="1" si="156"/>
        <v>21.573413858046909</v>
      </c>
      <c r="H358" s="307">
        <f t="shared" ca="1" si="157"/>
        <v>179.93653737775935</v>
      </c>
      <c r="I358" s="304">
        <f t="shared" ca="1" si="158"/>
        <v>181.22519049234947</v>
      </c>
      <c r="J358" s="306">
        <f t="shared" ca="1" si="159"/>
        <v>45.550301242653568</v>
      </c>
      <c r="K358" s="307">
        <f t="shared" ca="1" si="160"/>
        <v>411.65649153417553</v>
      </c>
      <c r="L358" s="304">
        <f t="shared" ca="1" si="145"/>
        <v>414.16892322520192</v>
      </c>
      <c r="M358" s="306">
        <f t="shared" ca="1" si="161"/>
        <v>1.4514713349836339</v>
      </c>
      <c r="N358" s="304">
        <f t="shared" ca="1" si="162"/>
        <v>83.163181578781547</v>
      </c>
      <c r="P358" s="310">
        <f t="shared" ca="1" si="163"/>
        <v>10</v>
      </c>
      <c r="Q358" s="304">
        <f t="shared" ca="1" si="164"/>
        <v>30.708333333350872</v>
      </c>
      <c r="R358" s="306">
        <f t="shared" ca="1" si="165"/>
        <v>1.5411081745921019E-2</v>
      </c>
      <c r="S358" s="307">
        <f t="shared" ca="1" si="166"/>
        <v>7.9793502518578574</v>
      </c>
      <c r="T358" s="304">
        <f t="shared" ca="1" si="146"/>
        <v>78.277425970725588</v>
      </c>
      <c r="U358" s="311">
        <f t="shared" ca="1" si="147"/>
        <v>0</v>
      </c>
      <c r="V358" s="306">
        <f t="shared" ca="1" si="148"/>
        <v>1.1755890957611874</v>
      </c>
      <c r="W358" s="304">
        <f t="shared" ca="1" si="149"/>
        <v>117.95463506295657</v>
      </c>
      <c r="Y358" s="314" t="str">
        <f t="shared" ca="1" si="167"/>
        <v/>
      </c>
      <c r="Z358" s="315" t="str">
        <f t="shared" ca="1" si="168"/>
        <v/>
      </c>
      <c r="AA358" s="316" t="str">
        <f t="shared" ca="1" si="169"/>
        <v/>
      </c>
      <c r="AC358" s="310" t="e">
        <f t="shared" ca="1" si="170"/>
        <v>#N/A</v>
      </c>
      <c r="AD358" s="323" t="e">
        <f t="shared" ca="1" si="171"/>
        <v>#N/A</v>
      </c>
      <c r="AE358" s="324">
        <f t="shared" ca="1" si="150"/>
        <v>411.65649153417553</v>
      </c>
      <c r="AG358" s="306">
        <f t="shared" ca="1" si="172"/>
        <v>-20.710804815876624</v>
      </c>
      <c r="AH358" s="304">
        <f t="shared" ca="1" si="173"/>
        <v>-10.970486411382513</v>
      </c>
    </row>
    <row r="359" spans="1:34" x14ac:dyDescent="0.2">
      <c r="A359" s="347">
        <f t="shared" ca="1" si="151"/>
        <v>0.01</v>
      </c>
      <c r="B359" s="304">
        <f t="shared" ca="1" si="152"/>
        <v>3.5499999999999683</v>
      </c>
      <c r="D359" s="306">
        <f t="shared" ca="1" si="153"/>
        <v>-1.3849251026840208</v>
      </c>
      <c r="E359" s="307">
        <f t="shared" ca="1" si="154"/>
        <v>-21.361191162614681</v>
      </c>
      <c r="F359" s="304">
        <f t="shared" ca="1" si="155"/>
        <v>21.406038994307469</v>
      </c>
      <c r="G359" s="306">
        <f t="shared" ca="1" si="156"/>
        <v>21.559564607020068</v>
      </c>
      <c r="H359" s="307">
        <f t="shared" ca="1" si="157"/>
        <v>179.7229254661332</v>
      </c>
      <c r="I359" s="304">
        <f t="shared" ca="1" si="158"/>
        <v>181.01144926260753</v>
      </c>
      <c r="J359" s="306">
        <f t="shared" ca="1" si="159"/>
        <v>45.765966134978903</v>
      </c>
      <c r="K359" s="307">
        <f t="shared" ca="1" si="160"/>
        <v>413.45478884839497</v>
      </c>
      <c r="L359" s="304">
        <f t="shared" ca="1" si="145"/>
        <v>415.98003086439002</v>
      </c>
      <c r="M359" s="306">
        <f t="shared" ca="1" si="161"/>
        <v>1.4514068196017789</v>
      </c>
      <c r="N359" s="304">
        <f t="shared" ca="1" si="162"/>
        <v>83.159485119687574</v>
      </c>
      <c r="P359" s="310">
        <f t="shared" ca="1" si="163"/>
        <v>10</v>
      </c>
      <c r="Q359" s="304">
        <f t="shared" ca="1" si="164"/>
        <v>25.125000000017643</v>
      </c>
      <c r="R359" s="306">
        <f t="shared" ca="1" si="165"/>
        <v>1.2609066883027941E-2</v>
      </c>
      <c r="S359" s="307">
        <f t="shared" ca="1" si="166"/>
        <v>7.9792241611890269</v>
      </c>
      <c r="T359" s="304">
        <f t="shared" ca="1" si="146"/>
        <v>78.276189021264358</v>
      </c>
      <c r="U359" s="311">
        <f t="shared" ca="1" si="147"/>
        <v>0</v>
      </c>
      <c r="V359" s="306">
        <f t="shared" ca="1" si="148"/>
        <v>1.175377618920638</v>
      </c>
      <c r="W359" s="304">
        <f t="shared" ca="1" si="149"/>
        <v>117.65539338122633</v>
      </c>
      <c r="Y359" s="314" t="str">
        <f t="shared" ca="1" si="167"/>
        <v/>
      </c>
      <c r="Z359" s="315" t="str">
        <f t="shared" ca="1" si="168"/>
        <v/>
      </c>
      <c r="AA359" s="316" t="str">
        <f t="shared" ca="1" si="169"/>
        <v/>
      </c>
      <c r="AC359" s="310" t="e">
        <f t="shared" ca="1" si="170"/>
        <v>#N/A</v>
      </c>
      <c r="AD359" s="323" t="e">
        <f t="shared" ca="1" si="171"/>
        <v>#N/A</v>
      </c>
      <c r="AE359" s="324">
        <f t="shared" ca="1" si="150"/>
        <v>413.45478884839497</v>
      </c>
      <c r="AG359" s="306">
        <f t="shared" ca="1" si="172"/>
        <v>-21.374160644799559</v>
      </c>
      <c r="AH359" s="304">
        <f t="shared" ca="1" si="173"/>
        <v>-11.633917432030872</v>
      </c>
    </row>
    <row r="360" spans="1:34" x14ac:dyDescent="0.2">
      <c r="A360" s="347">
        <f t="shared" ca="1" si="151"/>
        <v>0.01</v>
      </c>
      <c r="B360" s="304">
        <f t="shared" ca="1" si="152"/>
        <v>3.5599999999999681</v>
      </c>
      <c r="D360" s="306">
        <f t="shared" ca="1" si="153"/>
        <v>-1.4645641006808938</v>
      </c>
      <c r="E360" s="307">
        <f t="shared" ca="1" si="154"/>
        <v>-22.018769031510974</v>
      </c>
      <c r="F360" s="304">
        <f t="shared" ca="1" si="155"/>
        <v>22.067422542472649</v>
      </c>
      <c r="G360" s="306">
        <f t="shared" ca="1" si="156"/>
        <v>21.54491896601326</v>
      </c>
      <c r="H360" s="307">
        <f t="shared" ca="1" si="157"/>
        <v>179.5027377758181</v>
      </c>
      <c r="I360" s="304">
        <f t="shared" ca="1" si="158"/>
        <v>180.79108496346328</v>
      </c>
      <c r="J360" s="306">
        <f t="shared" ca="1" si="159"/>
        <v>45.98148855284407</v>
      </c>
      <c r="K360" s="307">
        <f t="shared" ca="1" si="160"/>
        <v>415.25091716460474</v>
      </c>
      <c r="L360" s="304">
        <f t="shared" ca="1" si="145"/>
        <v>417.7889676566158</v>
      </c>
      <c r="M360" s="306">
        <f t="shared" ca="1" si="161"/>
        <v>1.4513421908248538</v>
      </c>
      <c r="N360" s="304">
        <f t="shared" ca="1" si="162"/>
        <v>83.155782163534681</v>
      </c>
      <c r="P360" s="310">
        <f t="shared" ca="1" si="163"/>
        <v>10</v>
      </c>
      <c r="Q360" s="304">
        <f t="shared" ca="1" si="164"/>
        <v>19.541666666684407</v>
      </c>
      <c r="R360" s="306">
        <f t="shared" ca="1" si="165"/>
        <v>9.8070520201348592E-3</v>
      </c>
      <c r="S360" s="307">
        <f t="shared" ca="1" si="166"/>
        <v>7.9791260906688253</v>
      </c>
      <c r="T360" s="304">
        <f t="shared" ca="1" si="146"/>
        <v>78.275226949461185</v>
      </c>
      <c r="U360" s="311">
        <f t="shared" ca="1" si="147"/>
        <v>0</v>
      </c>
      <c r="V360" s="306">
        <f t="shared" ca="1" si="148"/>
        <v>1.1751664343396382</v>
      </c>
      <c r="W360" s="304">
        <f t="shared" ca="1" si="149"/>
        <v>117.34801100076307</v>
      </c>
      <c r="Y360" s="314" t="str">
        <f t="shared" ca="1" si="167"/>
        <v/>
      </c>
      <c r="Z360" s="315" t="str">
        <f t="shared" ca="1" si="168"/>
        <v/>
      </c>
      <c r="AA360" s="316" t="str">
        <f t="shared" ca="1" si="169"/>
        <v/>
      </c>
      <c r="AC360" s="310" t="e">
        <f t="shared" ca="1" si="170"/>
        <v>#N/A</v>
      </c>
      <c r="AD360" s="323" t="e">
        <f t="shared" ca="1" si="171"/>
        <v>#N/A</v>
      </c>
      <c r="AE360" s="324">
        <f t="shared" ca="1" si="150"/>
        <v>415.25091716460474</v>
      </c>
      <c r="AG360" s="306">
        <f t="shared" ca="1" si="172"/>
        <v>-22.036467671550753</v>
      </c>
      <c r="AH360" s="304">
        <f t="shared" ca="1" si="173"/>
        <v>-12.296299820262378</v>
      </c>
    </row>
    <row r="361" spans="1:34" x14ac:dyDescent="0.2">
      <c r="A361" s="347">
        <f t="shared" ca="1" si="151"/>
        <v>0.01</v>
      </c>
      <c r="B361" s="304">
        <f t="shared" ca="1" si="152"/>
        <v>3.5699999999999679</v>
      </c>
      <c r="D361" s="306">
        <f t="shared" ca="1" si="153"/>
        <v>-1.5441643437315173</v>
      </c>
      <c r="E361" s="307">
        <f t="shared" ca="1" si="154"/>
        <v>-22.675294490680436</v>
      </c>
      <c r="F361" s="304">
        <f t="shared" ca="1" si="155"/>
        <v>22.727811679955778</v>
      </c>
      <c r="G361" s="306">
        <f t="shared" ca="1" si="156"/>
        <v>21.529477322575943</v>
      </c>
      <c r="H361" s="307">
        <f t="shared" ca="1" si="157"/>
        <v>179.27598483091131</v>
      </c>
      <c r="I361" s="304">
        <f t="shared" ca="1" si="158"/>
        <v>180.56410809149324</v>
      </c>
      <c r="J361" s="306">
        <f t="shared" ca="1" si="159"/>
        <v>46.196860534287019</v>
      </c>
      <c r="K361" s="307">
        <f t="shared" ca="1" si="160"/>
        <v>417.04481077763842</v>
      </c>
      <c r="L361" s="304">
        <f t="shared" ca="1" si="145"/>
        <v>419.5956674225564</v>
      </c>
      <c r="M361" s="306">
        <f t="shared" ca="1" si="161"/>
        <v>1.451277445944209</v>
      </c>
      <c r="N361" s="304">
        <f t="shared" ca="1" si="162"/>
        <v>83.152072555128655</v>
      </c>
      <c r="P361" s="310">
        <f t="shared" ca="1" si="163"/>
        <v>10</v>
      </c>
      <c r="Q361" s="304">
        <f t="shared" ca="1" si="164"/>
        <v>13.958333333351177</v>
      </c>
      <c r="R361" s="306">
        <f t="shared" ca="1" si="165"/>
        <v>7.0050371572417808E-3</v>
      </c>
      <c r="S361" s="307">
        <f t="shared" ca="1" si="166"/>
        <v>7.9790560402972526</v>
      </c>
      <c r="T361" s="304">
        <f t="shared" ca="1" si="146"/>
        <v>78.274539755316056</v>
      </c>
      <c r="U361" s="311">
        <f t="shared" ca="1" si="147"/>
        <v>0</v>
      </c>
      <c r="V361" s="306">
        <f t="shared" ca="1" si="148"/>
        <v>1.1749555495971751</v>
      </c>
      <c r="W361" s="304">
        <f t="shared" ca="1" si="149"/>
        <v>117.03253796179231</v>
      </c>
      <c r="Y361" s="314" t="str">
        <f t="shared" ca="1" si="167"/>
        <v/>
      </c>
      <c r="Z361" s="315" t="str">
        <f t="shared" ca="1" si="168"/>
        <v/>
      </c>
      <c r="AA361" s="316" t="str">
        <f t="shared" ca="1" si="169"/>
        <v/>
      </c>
      <c r="AC361" s="310" t="e">
        <f t="shared" ca="1" si="170"/>
        <v>#N/A</v>
      </c>
      <c r="AD361" s="323" t="e">
        <f t="shared" ca="1" si="171"/>
        <v>#N/A</v>
      </c>
      <c r="AE361" s="324">
        <f t="shared" ca="1" si="150"/>
        <v>417.04481077763842</v>
      </c>
      <c r="AG361" s="306">
        <f t="shared" ca="1" si="172"/>
        <v>-22.697725042334174</v>
      </c>
      <c r="AH361" s="304">
        <f t="shared" ca="1" si="173"/>
        <v>-12.957632725632568</v>
      </c>
    </row>
    <row r="362" spans="1:34" x14ac:dyDescent="0.2">
      <c r="A362" s="347">
        <f t="shared" ca="1" si="151"/>
        <v>0.01</v>
      </c>
      <c r="B362" s="304">
        <f t="shared" ca="1" si="152"/>
        <v>3.5799999999999677</v>
      </c>
      <c r="D362" s="306">
        <f t="shared" ca="1" si="153"/>
        <v>-1.6237258025194465</v>
      </c>
      <c r="E362" s="307">
        <f t="shared" ca="1" si="154"/>
        <v>-23.330766806391139</v>
      </c>
      <c r="F362" s="304">
        <f t="shared" ca="1" si="155"/>
        <v>23.387200885440951</v>
      </c>
      <c r="G362" s="306">
        <f t="shared" ca="1" si="156"/>
        <v>21.513240064550747</v>
      </c>
      <c r="H362" s="307">
        <f t="shared" ca="1" si="157"/>
        <v>179.04267716284741</v>
      </c>
      <c r="I362" s="304">
        <f t="shared" ca="1" si="158"/>
        <v>180.3305291505423</v>
      </c>
      <c r="J362" s="306">
        <f t="shared" ca="1" si="159"/>
        <v>46.412074121222652</v>
      </c>
      <c r="K362" s="307">
        <f t="shared" ca="1" si="160"/>
        <v>418.83640408760721</v>
      </c>
      <c r="L362" s="304">
        <f t="shared" ca="1" si="145"/>
        <v>421.40006408788224</v>
      </c>
      <c r="M362" s="306">
        <f t="shared" ca="1" si="161"/>
        <v>1.4512125822305113</v>
      </c>
      <c r="N362" s="304">
        <f t="shared" ca="1" si="162"/>
        <v>83.148356138090222</v>
      </c>
      <c r="P362" s="310">
        <f t="shared" ca="1" si="163"/>
        <v>10</v>
      </c>
      <c r="Q362" s="304">
        <f t="shared" ca="1" si="164"/>
        <v>8.3750000000179483</v>
      </c>
      <c r="R362" s="306">
        <f t="shared" ca="1" si="165"/>
        <v>4.2030222943487032E-3</v>
      </c>
      <c r="S362" s="307">
        <f t="shared" ca="1" si="166"/>
        <v>7.9790140100743088</v>
      </c>
      <c r="T362" s="304">
        <f t="shared" ca="1" si="146"/>
        <v>78.27412743882897</v>
      </c>
      <c r="U362" s="311">
        <f t="shared" ca="1" si="147"/>
        <v>0</v>
      </c>
      <c r="V362" s="306">
        <f t="shared" ca="1" si="148"/>
        <v>1.1747449722546768</v>
      </c>
      <c r="W362" s="304">
        <f t="shared" ca="1" si="149"/>
        <v>116.70902513393767</v>
      </c>
      <c r="Y362" s="314" t="str">
        <f t="shared" ca="1" si="167"/>
        <v/>
      </c>
      <c r="Z362" s="315" t="str">
        <f t="shared" ca="1" si="168"/>
        <v/>
      </c>
      <c r="AA362" s="316" t="str">
        <f t="shared" ca="1" si="169"/>
        <v/>
      </c>
      <c r="AC362" s="310" t="e">
        <f t="shared" ca="1" si="170"/>
        <v>#N/A</v>
      </c>
      <c r="AD362" s="323" t="e">
        <f t="shared" ca="1" si="171"/>
        <v>#N/A</v>
      </c>
      <c r="AE362" s="324">
        <f t="shared" ca="1" si="150"/>
        <v>418.83640408760721</v>
      </c>
      <c r="AG362" s="306">
        <f t="shared" ca="1" si="172"/>
        <v>-23.357932030337047</v>
      </c>
      <c r="AH362" s="304">
        <f t="shared" ca="1" si="173"/>
        <v>-13.617915424710782</v>
      </c>
    </row>
    <row r="363" spans="1:34" x14ac:dyDescent="0.2">
      <c r="A363" s="347">
        <f t="shared" ca="1" si="151"/>
        <v>0.01</v>
      </c>
      <c r="B363" s="304">
        <f t="shared" ca="1" si="152"/>
        <v>3.5899999999999674</v>
      </c>
      <c r="D363" s="306">
        <f t="shared" ca="1" si="153"/>
        <v>-1.7032484692502057</v>
      </c>
      <c r="E363" s="307">
        <f t="shared" ca="1" si="154"/>
        <v>-23.985185369245166</v>
      </c>
      <c r="F363" s="304">
        <f t="shared" ca="1" si="155"/>
        <v>24.045585302609197</v>
      </c>
      <c r="G363" s="306">
        <f t="shared" ca="1" si="156"/>
        <v>21.496207579858243</v>
      </c>
      <c r="H363" s="307">
        <f t="shared" ca="1" si="157"/>
        <v>178.80282530915497</v>
      </c>
      <c r="I363" s="304">
        <f t="shared" ca="1" si="158"/>
        <v>180.09035865046343</v>
      </c>
      <c r="J363" s="306">
        <f t="shared" ca="1" si="159"/>
        <v>46.6271213594447</v>
      </c>
      <c r="K363" s="307">
        <f t="shared" ca="1" si="160"/>
        <v>420.62563159996722</v>
      </c>
      <c r="L363" s="304">
        <f t="shared" ca="1" si="145"/>
        <v>423.20209168332298</v>
      </c>
      <c r="M363" s="306">
        <f t="shared" ca="1" si="161"/>
        <v>1.4511475969330561</v>
      </c>
      <c r="N363" s="304">
        <f t="shared" ca="1" si="162"/>
        <v>83.144632754815632</v>
      </c>
      <c r="P363" s="310">
        <f t="shared" ca="1" si="163"/>
        <v>10</v>
      </c>
      <c r="Q363" s="304">
        <f t="shared" ca="1" si="164"/>
        <v>2.7916666666847192</v>
      </c>
      <c r="R363" s="306">
        <f t="shared" ca="1" si="165"/>
        <v>1.4010074314556248E-3</v>
      </c>
      <c r="S363" s="307">
        <f t="shared" ca="1" si="166"/>
        <v>7.9789999999999939</v>
      </c>
      <c r="T363" s="304">
        <f t="shared" ca="1" si="146"/>
        <v>78.273989999999941</v>
      </c>
      <c r="U363" s="311">
        <f t="shared" ca="1" si="147"/>
        <v>0</v>
      </c>
      <c r="V363" s="306">
        <f t="shared" ca="1" si="148"/>
        <v>1.1745347098560381</v>
      </c>
      <c r="W363" s="304">
        <f t="shared" ca="1" si="149"/>
        <v>116.37752420837479</v>
      </c>
      <c r="Y363" s="314" t="str">
        <f t="shared" ca="1" si="167"/>
        <v/>
      </c>
      <c r="Z363" s="315" t="str">
        <f t="shared" ca="1" si="168"/>
        <v/>
      </c>
      <c r="AA363" s="316" t="str">
        <f t="shared" ca="1" si="169"/>
        <v/>
      </c>
      <c r="AC363" s="310" t="e">
        <f t="shared" ca="1" si="170"/>
        <v>#N/A</v>
      </c>
      <c r="AD363" s="323" t="e">
        <f t="shared" ca="1" si="171"/>
        <v>#N/A</v>
      </c>
      <c r="AE363" s="324">
        <f t="shared" ca="1" si="150"/>
        <v>420.62563159996722</v>
      </c>
      <c r="AG363" s="306">
        <f t="shared" ca="1" si="172"/>
        <v>-24.017088034770772</v>
      </c>
      <c r="AH363" s="304">
        <f t="shared" ca="1" si="173"/>
        <v>-14.27714732012195</v>
      </c>
    </row>
    <row r="364" spans="1:34" x14ac:dyDescent="0.2">
      <c r="A364" s="347">
        <f t="shared" ca="1" si="151"/>
        <v>0.01</v>
      </c>
      <c r="B364" s="304">
        <f t="shared" ca="1" si="152"/>
        <v>3.5999999999999672</v>
      </c>
      <c r="D364" s="306">
        <f t="shared" ca="1" si="153"/>
        <v>-1.7409729886831864</v>
      </c>
      <c r="E364" s="307">
        <f t="shared" ca="1" si="154"/>
        <v>-24.291200370206404</v>
      </c>
      <c r="F364" s="304">
        <f t="shared" ca="1" si="155"/>
        <v>24.353509036129477</v>
      </c>
      <c r="G364" s="306">
        <f t="shared" ca="1" si="156"/>
        <v>21.478797849971411</v>
      </c>
      <c r="H364" s="307">
        <f t="shared" ca="1" si="157"/>
        <v>178.55991330545291</v>
      </c>
      <c r="I364" s="304">
        <f t="shared" ca="1" si="158"/>
        <v>179.84710561121298</v>
      </c>
      <c r="J364" s="306">
        <f t="shared" ca="1" si="159"/>
        <v>46.841996386593848</v>
      </c>
      <c r="K364" s="307">
        <f t="shared" ca="1" si="160"/>
        <v>422.41244529304026</v>
      </c>
      <c r="L364" s="304">
        <f t="shared" ca="1" si="145"/>
        <v>425.00170183650721</v>
      </c>
      <c r="M364" s="306">
        <f t="shared" ca="1" si="161"/>
        <v>1.4510824885456253</v>
      </c>
      <c r="N364" s="304">
        <f t="shared" ca="1" si="162"/>
        <v>83.140902319004951</v>
      </c>
      <c r="P364" s="310">
        <f t="shared" ca="1" si="163"/>
        <v>23</v>
      </c>
      <c r="Q364" s="304">
        <f t="shared" ca="1" si="164"/>
        <v>0</v>
      </c>
      <c r="R364" s="306">
        <f t="shared" ca="1" si="165"/>
        <v>0</v>
      </c>
      <c r="S364" s="307">
        <f t="shared" ca="1" si="166"/>
        <v>7.9789999999999939</v>
      </c>
      <c r="T364" s="304">
        <f t="shared" ca="1" si="146"/>
        <v>78.273989999999941</v>
      </c>
      <c r="U364" s="311">
        <f t="shared" ca="1" si="147"/>
        <v>0</v>
      </c>
      <c r="V364" s="306">
        <f t="shared" ca="1" si="148"/>
        <v>1.1743247678872299</v>
      </c>
      <c r="W364" s="304">
        <f t="shared" ca="1" si="149"/>
        <v>116.04260212003676</v>
      </c>
      <c r="Y364" s="314" t="str">
        <f t="shared" ca="1" si="167"/>
        <v>Fin de propulsion</v>
      </c>
      <c r="Z364" s="315" t="str">
        <f t="shared" ca="1" si="168"/>
        <v/>
      </c>
      <c r="AA364" s="316" t="str">
        <f t="shared" ca="1" si="169"/>
        <v/>
      </c>
      <c r="AC364" s="310" t="e">
        <f t="shared" ca="1" si="170"/>
        <v>#N/A</v>
      </c>
      <c r="AD364" s="323" t="e">
        <f t="shared" ca="1" si="171"/>
        <v>#N/A</v>
      </c>
      <c r="AE364" s="324">
        <f t="shared" ca="1" si="150"/>
        <v>422.41244529304026</v>
      </c>
      <c r="AG364" s="306">
        <f t="shared" ca="1" si="172"/>
        <v>-24.325342044556386</v>
      </c>
      <c r="AH364" s="304">
        <f t="shared" ca="1" si="173"/>
        <v>-14.585477404232972</v>
      </c>
    </row>
    <row r="365" spans="1:34" x14ac:dyDescent="0.2">
      <c r="A365" s="347">
        <f t="shared" ca="1" si="151"/>
        <v>0.01</v>
      </c>
      <c r="B365" s="304">
        <f t="shared" ca="1" si="152"/>
        <v>3.609999999999967</v>
      </c>
      <c r="D365" s="306">
        <f t="shared" ca="1" si="153"/>
        <v>-1.7369027848253042</v>
      </c>
      <c r="E365" s="307">
        <f t="shared" ca="1" si="154"/>
        <v>-24.249411965452197</v>
      </c>
      <c r="F365" s="304">
        <f t="shared" ca="1" si="155"/>
        <v>24.311536602077418</v>
      </c>
      <c r="G365" s="306">
        <f t="shared" ca="1" si="156"/>
        <v>21.461428822123157</v>
      </c>
      <c r="H365" s="307">
        <f t="shared" ca="1" si="157"/>
        <v>178.3174191857984</v>
      </c>
      <c r="I365" s="304">
        <f t="shared" ca="1" si="158"/>
        <v>179.60427308995406</v>
      </c>
      <c r="J365" s="306">
        <f t="shared" ca="1" si="159"/>
        <v>47.056697519954319</v>
      </c>
      <c r="K365" s="307">
        <f t="shared" ca="1" si="160"/>
        <v>424.19683195549652</v>
      </c>
      <c r="L365" s="304">
        <f t="shared" ca="1" si="145"/>
        <v>426.79888123396506</v>
      </c>
      <c r="M365" s="306">
        <f t="shared" ca="1" si="161"/>
        <v>1.4510172568210515</v>
      </c>
      <c r="N365" s="304">
        <f t="shared" ca="1" si="162"/>
        <v>83.137164816496522</v>
      </c>
      <c r="P365" s="310">
        <f t="shared" ca="1" si="163"/>
        <v>23</v>
      </c>
      <c r="Q365" s="304">
        <f t="shared" ca="1" si="164"/>
        <v>0</v>
      </c>
      <c r="R365" s="306">
        <f t="shared" ca="1" si="165"/>
        <v>0</v>
      </c>
      <c r="S365" s="307">
        <f t="shared" ca="1" si="166"/>
        <v>7.9789999999999939</v>
      </c>
      <c r="T365" s="304">
        <f t="shared" ca="1" si="146"/>
        <v>78.273989999999941</v>
      </c>
      <c r="U365" s="311">
        <f t="shared" ca="1" si="147"/>
        <v>0</v>
      </c>
      <c r="V365" s="306">
        <f t="shared" ca="1" si="148"/>
        <v>1.174115147741579</v>
      </c>
      <c r="W365" s="304">
        <f t="shared" ca="1" si="149"/>
        <v>115.70879039453636</v>
      </c>
      <c r="Y365" s="314" t="str">
        <f t="shared" ca="1" si="167"/>
        <v/>
      </c>
      <c r="Z365" s="315" t="str">
        <f t="shared" ca="1" si="168"/>
        <v/>
      </c>
      <c r="AA365" s="316" t="str">
        <f t="shared" ca="1" si="169"/>
        <v/>
      </c>
      <c r="AC365" s="310" t="e">
        <f t="shared" ca="1" si="170"/>
        <v>#N/A</v>
      </c>
      <c r="AD365" s="323" t="e">
        <f t="shared" ca="1" si="171"/>
        <v>#N/A</v>
      </c>
      <c r="AE365" s="324">
        <f t="shared" ca="1" si="150"/>
        <v>424.19683195549652</v>
      </c>
      <c r="AG365" s="306">
        <f t="shared" ca="1" si="172"/>
        <v>-24.283290338298244</v>
      </c>
      <c r="AH365" s="304">
        <f t="shared" ca="1" si="173"/>
        <v>-14.54350195764342</v>
      </c>
    </row>
    <row r="366" spans="1:34" x14ac:dyDescent="0.2">
      <c r="A366" s="347">
        <f t="shared" ca="1" si="151"/>
        <v>0.01</v>
      </c>
      <c r="B366" s="304">
        <f t="shared" ca="1" si="152"/>
        <v>3.6199999999999668</v>
      </c>
      <c r="D366" s="306">
        <f t="shared" ca="1" si="153"/>
        <v>-1.7328455512840328</v>
      </c>
      <c r="E366" s="307">
        <f t="shared" ca="1" si="154"/>
        <v>-24.207762102122352</v>
      </c>
      <c r="F366" s="304">
        <f t="shared" ca="1" si="155"/>
        <v>24.269703329409612</v>
      </c>
      <c r="G366" s="306">
        <f t="shared" ca="1" si="156"/>
        <v>21.444100366610318</v>
      </c>
      <c r="H366" s="307">
        <f t="shared" ca="1" si="157"/>
        <v>178.07534156477718</v>
      </c>
      <c r="I366" s="304">
        <f t="shared" ca="1" si="158"/>
        <v>179.36185969694145</v>
      </c>
      <c r="J366" s="306">
        <f t="shared" ca="1" si="159"/>
        <v>47.271225165897988</v>
      </c>
      <c r="K366" s="307">
        <f t="shared" ca="1" si="160"/>
        <v>425.97879575924941</v>
      </c>
      <c r="L366" s="304">
        <f t="shared" ca="1" si="145"/>
        <v>428.59363406983238</v>
      </c>
      <c r="M366" s="306">
        <f t="shared" ca="1" si="161"/>
        <v>1.4509519015113923</v>
      </c>
      <c r="N366" s="304">
        <f t="shared" ca="1" si="162"/>
        <v>83.133420233084266</v>
      </c>
      <c r="P366" s="310">
        <f t="shared" ca="1" si="163"/>
        <v>23</v>
      </c>
      <c r="Q366" s="304">
        <f t="shared" ca="1" si="164"/>
        <v>0</v>
      </c>
      <c r="R366" s="306">
        <f t="shared" ca="1" si="165"/>
        <v>0</v>
      </c>
      <c r="S366" s="307">
        <f t="shared" ca="1" si="166"/>
        <v>7.9789999999999939</v>
      </c>
      <c r="T366" s="304">
        <f t="shared" ca="1" si="146"/>
        <v>78.273989999999941</v>
      </c>
      <c r="U366" s="311">
        <f t="shared" ca="1" si="147"/>
        <v>0</v>
      </c>
      <c r="V366" s="306">
        <f t="shared" ca="1" si="148"/>
        <v>1.1739058487700558</v>
      </c>
      <c r="W366" s="304">
        <f t="shared" ca="1" si="149"/>
        <v>115.37608420777748</v>
      </c>
      <c r="Y366" s="314" t="str">
        <f t="shared" ca="1" si="167"/>
        <v/>
      </c>
      <c r="Z366" s="315" t="str">
        <f t="shared" ca="1" si="168"/>
        <v/>
      </c>
      <c r="AA366" s="316" t="str">
        <f t="shared" ca="1" si="169"/>
        <v/>
      </c>
      <c r="AC366" s="310" t="e">
        <f t="shared" ca="1" si="170"/>
        <v>#N/A</v>
      </c>
      <c r="AD366" s="323" t="e">
        <f t="shared" ca="1" si="171"/>
        <v>#N/A</v>
      </c>
      <c r="AE366" s="324">
        <f t="shared" ca="1" si="150"/>
        <v>425.97879575924941</v>
      </c>
      <c r="AG366" s="306">
        <f t="shared" ca="1" si="172"/>
        <v>-24.241377606824752</v>
      </c>
      <c r="AH366" s="304">
        <f t="shared" ca="1" si="173"/>
        <v>-14.501665671705283</v>
      </c>
    </row>
    <row r="367" spans="1:34" x14ac:dyDescent="0.2">
      <c r="A367" s="347">
        <f t="shared" ca="1" si="151"/>
        <v>0.01</v>
      </c>
      <c r="B367" s="304">
        <f t="shared" ca="1" si="152"/>
        <v>3.6299999999999666</v>
      </c>
      <c r="D367" s="306">
        <f t="shared" ca="1" si="153"/>
        <v>-1.7288012310213139</v>
      </c>
      <c r="E367" s="307">
        <f t="shared" ca="1" si="154"/>
        <v>-24.166250178304434</v>
      </c>
      <c r="F367" s="304">
        <f t="shared" ca="1" si="155"/>
        <v>24.228008613519602</v>
      </c>
      <c r="G367" s="306">
        <f t="shared" ca="1" si="156"/>
        <v>21.426812354300104</v>
      </c>
      <c r="H367" s="307">
        <f t="shared" ca="1" si="157"/>
        <v>177.83367906299412</v>
      </c>
      <c r="I367" s="304">
        <f t="shared" ca="1" si="158"/>
        <v>179.11986404848119</v>
      </c>
      <c r="J367" s="306">
        <f t="shared" ca="1" si="159"/>
        <v>47.48557972950254</v>
      </c>
      <c r="K367" s="307">
        <f t="shared" ca="1" si="160"/>
        <v>427.75834086238825</v>
      </c>
      <c r="L367" s="304">
        <f t="shared" ca="1" si="145"/>
        <v>430.38596452439072</v>
      </c>
      <c r="M367" s="306">
        <f t="shared" ca="1" si="161"/>
        <v>1.4508864223679276</v>
      </c>
      <c r="N367" s="304">
        <f t="shared" ca="1" si="162"/>
        <v>83.129668554517622</v>
      </c>
      <c r="P367" s="310">
        <f t="shared" ca="1" si="163"/>
        <v>23</v>
      </c>
      <c r="Q367" s="304">
        <f t="shared" ca="1" si="164"/>
        <v>0</v>
      </c>
      <c r="R367" s="306">
        <f t="shared" ca="1" si="165"/>
        <v>0</v>
      </c>
      <c r="S367" s="307">
        <f t="shared" ca="1" si="166"/>
        <v>7.9789999999999939</v>
      </c>
      <c r="T367" s="304">
        <f t="shared" ca="1" si="146"/>
        <v>78.273989999999941</v>
      </c>
      <c r="U367" s="311">
        <f t="shared" ca="1" si="147"/>
        <v>0</v>
      </c>
      <c r="V367" s="306">
        <f t="shared" ca="1" si="148"/>
        <v>1.1736968703258801</v>
      </c>
      <c r="W367" s="304">
        <f t="shared" ca="1" si="149"/>
        <v>115.04447876222453</v>
      </c>
      <c r="Y367" s="314" t="str">
        <f t="shared" ca="1" si="167"/>
        <v/>
      </c>
      <c r="Z367" s="315" t="str">
        <f t="shared" ca="1" si="168"/>
        <v/>
      </c>
      <c r="AA367" s="316" t="str">
        <f t="shared" ca="1" si="169"/>
        <v/>
      </c>
      <c r="AC367" s="310" t="e">
        <f t="shared" ca="1" si="170"/>
        <v>#N/A</v>
      </c>
      <c r="AD367" s="323" t="e">
        <f t="shared" ca="1" si="171"/>
        <v>#N/A</v>
      </c>
      <c r="AE367" s="324">
        <f t="shared" ca="1" si="150"/>
        <v>427.75834086238825</v>
      </c>
      <c r="AG367" s="306">
        <f t="shared" ca="1" si="172"/>
        <v>-24.199603245011264</v>
      </c>
      <c r="AH367" s="304">
        <f t="shared" ca="1" si="173"/>
        <v>-14.459967941819473</v>
      </c>
    </row>
    <row r="368" spans="1:34" x14ac:dyDescent="0.2">
      <c r="A368" s="347">
        <f t="shared" ca="1" si="151"/>
        <v>0.01</v>
      </c>
      <c r="B368" s="304">
        <f t="shared" ca="1" si="152"/>
        <v>3.6399999999999664</v>
      </c>
      <c r="D368" s="306">
        <f t="shared" ca="1" si="153"/>
        <v>-1.724769767312389</v>
      </c>
      <c r="E368" s="307">
        <f t="shared" ca="1" si="154"/>
        <v>-24.124875595400027</v>
      </c>
      <c r="F368" s="304">
        <f t="shared" ca="1" si="155"/>
        <v>24.186451853129732</v>
      </c>
      <c r="G368" s="306">
        <f t="shared" ca="1" si="156"/>
        <v>21.40956465662698</v>
      </c>
      <c r="H368" s="307">
        <f t="shared" ca="1" si="157"/>
        <v>177.59243030704013</v>
      </c>
      <c r="I368" s="304">
        <f t="shared" ca="1" si="158"/>
        <v>178.87828476689728</v>
      </c>
      <c r="J368" s="306">
        <f t="shared" ca="1" si="159"/>
        <v>47.699761614557175</v>
      </c>
      <c r="K368" s="307">
        <f t="shared" ca="1" si="160"/>
        <v>429.53547140923843</v>
      </c>
      <c r="L368" s="304">
        <f t="shared" ca="1" si="145"/>
        <v>432.17587676412745</v>
      </c>
      <c r="M368" s="306">
        <f t="shared" ca="1" si="161"/>
        <v>1.450820819141156</v>
      </c>
      <c r="N368" s="304">
        <f t="shared" ca="1" si="162"/>
        <v>83.125909766501167</v>
      </c>
      <c r="P368" s="310">
        <f t="shared" ca="1" si="163"/>
        <v>23</v>
      </c>
      <c r="Q368" s="304">
        <f t="shared" ca="1" si="164"/>
        <v>0</v>
      </c>
      <c r="R368" s="306">
        <f t="shared" ca="1" si="165"/>
        <v>0</v>
      </c>
      <c r="S368" s="307">
        <f t="shared" ca="1" si="166"/>
        <v>7.9789999999999939</v>
      </c>
      <c r="T368" s="304">
        <f t="shared" ca="1" si="146"/>
        <v>78.273989999999941</v>
      </c>
      <c r="U368" s="311">
        <f t="shared" ca="1" si="147"/>
        <v>0</v>
      </c>
      <c r="V368" s="306">
        <f t="shared" ca="1" si="148"/>
        <v>1.1734882117645116</v>
      </c>
      <c r="W368" s="304">
        <f t="shared" ca="1" si="149"/>
        <v>114.71396928672675</v>
      </c>
      <c r="Y368" s="314" t="str">
        <f t="shared" ca="1" si="167"/>
        <v/>
      </c>
      <c r="Z368" s="315" t="str">
        <f t="shared" ca="1" si="168"/>
        <v/>
      </c>
      <c r="AA368" s="316" t="str">
        <f t="shared" ca="1" si="169"/>
        <v/>
      </c>
      <c r="AC368" s="310" t="e">
        <f t="shared" ca="1" si="170"/>
        <v>#N/A</v>
      </c>
      <c r="AD368" s="323" t="e">
        <f t="shared" ca="1" si="171"/>
        <v>#N/A</v>
      </c>
      <c r="AE368" s="324">
        <f t="shared" ca="1" si="150"/>
        <v>429.53547140923843</v>
      </c>
      <c r="AG368" s="306">
        <f t="shared" ca="1" si="172"/>
        <v>-24.157966651059951</v>
      </c>
      <c r="AH368" s="304">
        <f t="shared" ca="1" si="173"/>
        <v>-14.418408166715706</v>
      </c>
    </row>
    <row r="369" spans="1:34" x14ac:dyDescent="0.2">
      <c r="A369" s="347">
        <f t="shared" ca="1" si="151"/>
        <v>0.01</v>
      </c>
      <c r="B369" s="304">
        <f t="shared" ca="1" si="152"/>
        <v>3.6499999999999662</v>
      </c>
      <c r="D369" s="306">
        <f t="shared" ca="1" si="153"/>
        <v>-1.7207511037437497</v>
      </c>
      <c r="E369" s="307">
        <f t="shared" ca="1" si="154"/>
        <v>-24.0836377581028</v>
      </c>
      <c r="F369" s="304">
        <f t="shared" ca="1" si="155"/>
        <v>24.145032450269149</v>
      </c>
      <c r="G369" s="306">
        <f t="shared" ca="1" si="156"/>
        <v>21.392357145589543</v>
      </c>
      <c r="H369" s="307">
        <f t="shared" ca="1" si="157"/>
        <v>177.35159392945911</v>
      </c>
      <c r="I369" s="304">
        <f t="shared" ca="1" si="158"/>
        <v>178.63712048049871</v>
      </c>
      <c r="J369" s="306">
        <f t="shared" ca="1" si="159"/>
        <v>47.913771223568261</v>
      </c>
      <c r="K369" s="307">
        <f t="shared" ca="1" si="160"/>
        <v>431.31019153042092</v>
      </c>
      <c r="L369" s="304">
        <f t="shared" ca="1" si="145"/>
        <v>433.96337494179488</v>
      </c>
      <c r="M369" s="306">
        <f t="shared" ca="1" si="161"/>
        <v>1.450755091580793</v>
      </c>
      <c r="N369" s="304">
        <f t="shared" ca="1" si="162"/>
        <v>83.12214385469467</v>
      </c>
      <c r="P369" s="310">
        <f t="shared" ca="1" si="163"/>
        <v>23</v>
      </c>
      <c r="Q369" s="304">
        <f t="shared" ca="1" si="164"/>
        <v>0</v>
      </c>
      <c r="R369" s="306">
        <f t="shared" ca="1" si="165"/>
        <v>0</v>
      </c>
      <c r="S369" s="307">
        <f t="shared" ca="1" si="166"/>
        <v>7.9789999999999939</v>
      </c>
      <c r="T369" s="304">
        <f t="shared" ca="1" si="146"/>
        <v>78.273989999999941</v>
      </c>
      <c r="U369" s="311">
        <f t="shared" ca="1" si="147"/>
        <v>0</v>
      </c>
      <c r="V369" s="306">
        <f t="shared" ca="1" si="148"/>
        <v>1.1732798724436391</v>
      </c>
      <c r="W369" s="304">
        <f t="shared" ca="1" si="149"/>
        <v>114.38455103634372</v>
      </c>
      <c r="Y369" s="314" t="str">
        <f t="shared" ca="1" si="167"/>
        <v/>
      </c>
      <c r="Z369" s="315" t="str">
        <f t="shared" ca="1" si="168"/>
        <v/>
      </c>
      <c r="AA369" s="316" t="str">
        <f t="shared" ca="1" si="169"/>
        <v/>
      </c>
      <c r="AC369" s="310" t="e">
        <f t="shared" ca="1" si="170"/>
        <v>#N/A</v>
      </c>
      <c r="AD369" s="323" t="e">
        <f t="shared" ca="1" si="171"/>
        <v>#N/A</v>
      </c>
      <c r="AE369" s="324">
        <f t="shared" ca="1" si="150"/>
        <v>431.31019153042092</v>
      </c>
      <c r="AG369" s="306">
        <f t="shared" ca="1" si="172"/>
        <v>-24.116467226477766</v>
      </c>
      <c r="AH369" s="304">
        <f t="shared" ca="1" si="173"/>
        <v>-14.376985748430485</v>
      </c>
    </row>
    <row r="370" spans="1:34" x14ac:dyDescent="0.2">
      <c r="A370" s="347">
        <f t="shared" ca="1" si="151"/>
        <v>0.01</v>
      </c>
      <c r="B370" s="304">
        <f t="shared" ca="1" si="152"/>
        <v>3.6599999999999659</v>
      </c>
      <c r="D370" s="306">
        <f t="shared" ca="1" si="153"/>
        <v>-1.7167451842110557</v>
      </c>
      <c r="E370" s="307">
        <f t="shared" ca="1" si="154"/>
        <v>-24.042536074376724</v>
      </c>
      <c r="F370" s="304">
        <f t="shared" ca="1" si="155"/>
        <v>24.103749810251887</v>
      </c>
      <c r="G370" s="306">
        <f t="shared" ca="1" si="156"/>
        <v>21.375189693747433</v>
      </c>
      <c r="H370" s="307">
        <f t="shared" ca="1" si="157"/>
        <v>177.11116856871536</v>
      </c>
      <c r="I370" s="304">
        <f t="shared" ca="1" si="158"/>
        <v>178.39636982354656</v>
      </c>
      <c r="J370" s="306">
        <f t="shared" ca="1" si="159"/>
        <v>48.127608957764949</v>
      </c>
      <c r="K370" s="307">
        <f t="shared" ca="1" si="160"/>
        <v>433.08250534291182</v>
      </c>
      <c r="L370" s="304">
        <f t="shared" ca="1" si="145"/>
        <v>435.74846319646929</v>
      </c>
      <c r="M370" s="306">
        <f t="shared" ca="1" si="161"/>
        <v>1.4506892394357669</v>
      </c>
      <c r="N370" s="304">
        <f t="shared" ca="1" si="162"/>
        <v>83.118370804712782</v>
      </c>
      <c r="P370" s="310">
        <f t="shared" ca="1" si="163"/>
        <v>23</v>
      </c>
      <c r="Q370" s="304">
        <f t="shared" ca="1" si="164"/>
        <v>0</v>
      </c>
      <c r="R370" s="306">
        <f t="shared" ca="1" si="165"/>
        <v>0</v>
      </c>
      <c r="S370" s="307">
        <f t="shared" ca="1" si="166"/>
        <v>7.9789999999999939</v>
      </c>
      <c r="T370" s="304">
        <f t="shared" ca="1" si="146"/>
        <v>78.273989999999941</v>
      </c>
      <c r="U370" s="311">
        <f t="shared" ca="1" si="147"/>
        <v>0</v>
      </c>
      <c r="V370" s="306">
        <f t="shared" ca="1" si="148"/>
        <v>1.1730718517231709</v>
      </c>
      <c r="W370" s="304">
        <f t="shared" ca="1" si="149"/>
        <v>114.05621929217224</v>
      </c>
      <c r="Y370" s="314" t="str">
        <f t="shared" ca="1" si="167"/>
        <v/>
      </c>
      <c r="Z370" s="315" t="str">
        <f t="shared" ca="1" si="168"/>
        <v/>
      </c>
      <c r="AA370" s="316" t="str">
        <f t="shared" ca="1" si="169"/>
        <v/>
      </c>
      <c r="AC370" s="310" t="e">
        <f t="shared" ca="1" si="170"/>
        <v>#N/A</v>
      </c>
      <c r="AD370" s="323" t="e">
        <f t="shared" ca="1" si="171"/>
        <v>#N/A</v>
      </c>
      <c r="AE370" s="324">
        <f t="shared" ca="1" si="150"/>
        <v>433.08250534291182</v>
      </c>
      <c r="AG370" s="306">
        <f t="shared" ca="1" si="172"/>
        <v>-24.075104376054593</v>
      </c>
      <c r="AH370" s="304">
        <f t="shared" ca="1" si="173"/>
        <v>-14.335700092285226</v>
      </c>
    </row>
    <row r="371" spans="1:34" x14ac:dyDescent="0.2">
      <c r="A371" s="347">
        <f t="shared" ca="1" si="151"/>
        <v>0.01</v>
      </c>
      <c r="B371" s="304">
        <f t="shared" ca="1" si="152"/>
        <v>3.6699999999999657</v>
      </c>
      <c r="D371" s="306">
        <f t="shared" ca="1" si="153"/>
        <v>-1.7127519529171111</v>
      </c>
      <c r="E371" s="307">
        <f t="shared" ca="1" si="154"/>
        <v>-24.001569955434483</v>
      </c>
      <c r="F371" s="304">
        <f t="shared" ca="1" si="155"/>
        <v>24.062603341655212</v>
      </c>
      <c r="G371" s="306">
        <f t="shared" ca="1" si="156"/>
        <v>21.358062174218261</v>
      </c>
      <c r="H371" s="307">
        <f t="shared" ca="1" si="157"/>
        <v>176.87115286916102</v>
      </c>
      <c r="I371" s="304">
        <f t="shared" ca="1" si="158"/>
        <v>178.15603143622138</v>
      </c>
      <c r="J371" s="306">
        <f t="shared" ca="1" si="159"/>
        <v>48.34127521710478</v>
      </c>
      <c r="K371" s="307">
        <f t="shared" ca="1" si="160"/>
        <v>434.8524169501012</v>
      </c>
      <c r="L371" s="304">
        <f t="shared" ca="1" si="145"/>
        <v>437.53114565361005</v>
      </c>
      <c r="M371" s="306">
        <f t="shared" ca="1" si="161"/>
        <v>1.4506232624542179</v>
      </c>
      <c r="N371" s="304">
        <f t="shared" ca="1" si="162"/>
        <v>83.11459060212502</v>
      </c>
      <c r="P371" s="310">
        <f t="shared" ca="1" si="163"/>
        <v>23</v>
      </c>
      <c r="Q371" s="304">
        <f t="shared" ca="1" si="164"/>
        <v>0</v>
      </c>
      <c r="R371" s="306">
        <f t="shared" ca="1" si="165"/>
        <v>0</v>
      </c>
      <c r="S371" s="307">
        <f t="shared" ca="1" si="166"/>
        <v>7.9789999999999939</v>
      </c>
      <c r="T371" s="304">
        <f t="shared" ca="1" si="146"/>
        <v>78.273989999999941</v>
      </c>
      <c r="U371" s="311">
        <f t="shared" ca="1" si="147"/>
        <v>0</v>
      </c>
      <c r="V371" s="306">
        <f t="shared" ca="1" si="148"/>
        <v>1.1728641489652241</v>
      </c>
      <c r="W371" s="304">
        <f t="shared" ca="1" si="149"/>
        <v>113.72896936117452</v>
      </c>
      <c r="Y371" s="314" t="str">
        <f t="shared" ca="1" si="167"/>
        <v/>
      </c>
      <c r="Z371" s="315" t="str">
        <f t="shared" ca="1" si="168"/>
        <v/>
      </c>
      <c r="AA371" s="316" t="str">
        <f t="shared" ca="1" si="169"/>
        <v/>
      </c>
      <c r="AC371" s="310" t="e">
        <f t="shared" ca="1" si="170"/>
        <v>#N/A</v>
      </c>
      <c r="AD371" s="323" t="e">
        <f t="shared" ca="1" si="171"/>
        <v>#N/A</v>
      </c>
      <c r="AE371" s="324">
        <f t="shared" ca="1" si="150"/>
        <v>434.8524169501012</v>
      </c>
      <c r="AG371" s="306">
        <f t="shared" ca="1" si="172"/>
        <v>-24.033877507841503</v>
      </c>
      <c r="AH371" s="304">
        <f t="shared" ca="1" si="173"/>
        <v>-14.294550606864561</v>
      </c>
    </row>
    <row r="372" spans="1:34" x14ac:dyDescent="0.2">
      <c r="A372" s="347">
        <f t="shared" ca="1" si="151"/>
        <v>0.01</v>
      </c>
      <c r="B372" s="304">
        <f t="shared" ca="1" si="152"/>
        <v>3.6799999999999655</v>
      </c>
      <c r="D372" s="306">
        <f t="shared" ca="1" si="153"/>
        <v>-1.7087713543698135</v>
      </c>
      <c r="E372" s="307">
        <f t="shared" ca="1" si="154"/>
        <v>-23.960738815716034</v>
      </c>
      <c r="F372" s="304">
        <f t="shared" ca="1" si="155"/>
        <v>24.021592456298059</v>
      </c>
      <c r="G372" s="306">
        <f t="shared" ca="1" si="156"/>
        <v>21.340974460674563</v>
      </c>
      <c r="H372" s="307">
        <f t="shared" ca="1" si="157"/>
        <v>176.63154548100385</v>
      </c>
      <c r="I372" s="304">
        <f t="shared" ca="1" si="158"/>
        <v>177.91610396459083</v>
      </c>
      <c r="J372" s="306">
        <f t="shared" ca="1" si="159"/>
        <v>48.554770400279246</v>
      </c>
      <c r="K372" s="307">
        <f t="shared" ca="1" si="160"/>
        <v>436.61993044185203</v>
      </c>
      <c r="L372" s="304">
        <f t="shared" ca="1" si="145"/>
        <v>439.31142642511765</v>
      </c>
      <c r="M372" s="306">
        <f t="shared" ca="1" si="161"/>
        <v>1.4505571603834935</v>
      </c>
      <c r="N372" s="304">
        <f t="shared" ca="1" si="162"/>
        <v>83.110803232455439</v>
      </c>
      <c r="P372" s="310">
        <f t="shared" ca="1" si="163"/>
        <v>23</v>
      </c>
      <c r="Q372" s="304">
        <f t="shared" ca="1" si="164"/>
        <v>0</v>
      </c>
      <c r="R372" s="306">
        <f t="shared" ca="1" si="165"/>
        <v>0</v>
      </c>
      <c r="S372" s="307">
        <f t="shared" ca="1" si="166"/>
        <v>7.9789999999999939</v>
      </c>
      <c r="T372" s="304">
        <f t="shared" ca="1" si="146"/>
        <v>78.273989999999941</v>
      </c>
      <c r="U372" s="311">
        <f t="shared" ca="1" si="147"/>
        <v>0</v>
      </c>
      <c r="V372" s="306">
        <f t="shared" ca="1" si="148"/>
        <v>1.1726567635341152</v>
      </c>
      <c r="W372" s="304">
        <f t="shared" ca="1" si="149"/>
        <v>113.40279657600782</v>
      </c>
      <c r="Y372" s="314" t="str">
        <f t="shared" ca="1" si="167"/>
        <v/>
      </c>
      <c r="Z372" s="315" t="str">
        <f t="shared" ca="1" si="168"/>
        <v/>
      </c>
      <c r="AA372" s="316" t="str">
        <f t="shared" ca="1" si="169"/>
        <v/>
      </c>
      <c r="AC372" s="310" t="e">
        <f t="shared" ca="1" si="170"/>
        <v>#N/A</v>
      </c>
      <c r="AD372" s="323" t="e">
        <f t="shared" ca="1" si="171"/>
        <v>#N/A</v>
      </c>
      <c r="AE372" s="324">
        <f t="shared" ca="1" si="150"/>
        <v>436.61993044185203</v>
      </c>
      <c r="AG372" s="306">
        <f t="shared" ca="1" si="172"/>
        <v>-23.992786033129232</v>
      </c>
      <c r="AH372" s="304">
        <f t="shared" ca="1" si="173"/>
        <v>-14.253536703994813</v>
      </c>
    </row>
    <row r="373" spans="1:34" x14ac:dyDescent="0.2">
      <c r="A373" s="347">
        <f t="shared" ca="1" si="151"/>
        <v>0.01</v>
      </c>
      <c r="B373" s="304">
        <f t="shared" ca="1" si="152"/>
        <v>3.6899999999999653</v>
      </c>
      <c r="D373" s="306">
        <f t="shared" ca="1" si="153"/>
        <v>-1.7048033333801664</v>
      </c>
      <c r="E373" s="307">
        <f t="shared" ca="1" si="154"/>
        <v>-23.920042072867368</v>
      </c>
      <c r="F373" s="304">
        <f t="shared" ca="1" si="155"/>
        <v>23.98071656921972</v>
      </c>
      <c r="G373" s="306">
        <f t="shared" ca="1" si="156"/>
        <v>21.323926427340762</v>
      </c>
      <c r="H373" s="307">
        <f t="shared" ca="1" si="157"/>
        <v>176.39234506027518</v>
      </c>
      <c r="I373" s="304">
        <f t="shared" ca="1" si="158"/>
        <v>177.67658606057756</v>
      </c>
      <c r="J373" s="306">
        <f t="shared" ca="1" si="159"/>
        <v>48.76809490471932</v>
      </c>
      <c r="K373" s="307">
        <f t="shared" ca="1" si="160"/>
        <v>438.38504989455845</v>
      </c>
      <c r="L373" s="304">
        <f t="shared" ca="1" si="145"/>
        <v>441.08930960939216</v>
      </c>
      <c r="M373" s="306">
        <f t="shared" ca="1" si="161"/>
        <v>1.4504909329701465</v>
      </c>
      <c r="N373" s="304">
        <f t="shared" ca="1" si="162"/>
        <v>83.107008681182592</v>
      </c>
      <c r="P373" s="310">
        <f t="shared" ca="1" si="163"/>
        <v>23</v>
      </c>
      <c r="Q373" s="304">
        <f t="shared" ca="1" si="164"/>
        <v>0</v>
      </c>
      <c r="R373" s="306">
        <f t="shared" ca="1" si="165"/>
        <v>0</v>
      </c>
      <c r="S373" s="307">
        <f t="shared" ca="1" si="166"/>
        <v>7.9789999999999939</v>
      </c>
      <c r="T373" s="304">
        <f t="shared" ca="1" si="146"/>
        <v>78.273989999999941</v>
      </c>
      <c r="U373" s="311">
        <f t="shared" ca="1" si="147"/>
        <v>0</v>
      </c>
      <c r="V373" s="306">
        <f t="shared" ca="1" si="148"/>
        <v>1.1724496947963505</v>
      </c>
      <c r="W373" s="304">
        <f t="shared" ca="1" si="149"/>
        <v>113.07769629485544</v>
      </c>
      <c r="Y373" s="314" t="str">
        <f t="shared" ca="1" si="167"/>
        <v/>
      </c>
      <c r="Z373" s="315" t="str">
        <f t="shared" ca="1" si="168"/>
        <v/>
      </c>
      <c r="AA373" s="316" t="str">
        <f t="shared" ca="1" si="169"/>
        <v/>
      </c>
      <c r="AC373" s="310" t="e">
        <f t="shared" ca="1" si="170"/>
        <v>#N/A</v>
      </c>
      <c r="AD373" s="323" t="e">
        <f t="shared" ca="1" si="171"/>
        <v>#N/A</v>
      </c>
      <c r="AE373" s="324">
        <f t="shared" ca="1" si="150"/>
        <v>438.38504989455845</v>
      </c>
      <c r="AG373" s="306">
        <f t="shared" ca="1" si="172"/>
        <v>-23.951829366426836</v>
      </c>
      <c r="AH373" s="304">
        <f t="shared" ca="1" si="173"/>
        <v>-14.212657798722635</v>
      </c>
    </row>
    <row r="374" spans="1:34" x14ac:dyDescent="0.2">
      <c r="A374" s="347">
        <f t="shared" ca="1" si="151"/>
        <v>0.01</v>
      </c>
      <c r="B374" s="304">
        <f t="shared" ca="1" si="152"/>
        <v>3.6999999999999651</v>
      </c>
      <c r="D374" s="306">
        <f t="shared" ca="1" si="153"/>
        <v>-1.7008478350602694</v>
      </c>
      <c r="E374" s="307">
        <f t="shared" ca="1" si="154"/>
        <v>-23.879479147719387</v>
      </c>
      <c r="F374" s="304">
        <f t="shared" ca="1" si="155"/>
        <v>23.939975098658607</v>
      </c>
      <c r="G374" s="306">
        <f t="shared" ca="1" si="156"/>
        <v>21.306917948990158</v>
      </c>
      <c r="H374" s="307">
        <f t="shared" ca="1" si="157"/>
        <v>176.15355026879797</v>
      </c>
      <c r="I374" s="304">
        <f t="shared" ca="1" si="158"/>
        <v>177.4374763819271</v>
      </c>
      <c r="J374" s="306">
        <f t="shared" ca="1" si="159"/>
        <v>48.981249126600972</v>
      </c>
      <c r="K374" s="307">
        <f t="shared" ca="1" si="160"/>
        <v>440.1477793712038</v>
      </c>
      <c r="L374" s="304">
        <f t="shared" ca="1" si="145"/>
        <v>442.86479929139102</v>
      </c>
      <c r="M374" s="306">
        <f t="shared" ca="1" si="161"/>
        <v>1.4504245799599322</v>
      </c>
      <c r="N374" s="304">
        <f t="shared" ca="1" si="162"/>
        <v>83.103206933739315</v>
      </c>
      <c r="P374" s="310">
        <f t="shared" ca="1" si="163"/>
        <v>23</v>
      </c>
      <c r="Q374" s="304">
        <f t="shared" ca="1" si="164"/>
        <v>0</v>
      </c>
      <c r="R374" s="306">
        <f t="shared" ca="1" si="165"/>
        <v>0</v>
      </c>
      <c r="S374" s="307">
        <f t="shared" ca="1" si="166"/>
        <v>7.9789999999999939</v>
      </c>
      <c r="T374" s="304">
        <f t="shared" ca="1" si="146"/>
        <v>78.273989999999941</v>
      </c>
      <c r="U374" s="311">
        <f t="shared" ca="1" si="147"/>
        <v>0</v>
      </c>
      <c r="V374" s="306">
        <f t="shared" ca="1" si="148"/>
        <v>1.172242942120616</v>
      </c>
      <c r="W374" s="304">
        <f t="shared" ca="1" si="149"/>
        <v>112.75366390125863</v>
      </c>
      <c r="Y374" s="314" t="str">
        <f t="shared" ca="1" si="167"/>
        <v/>
      </c>
      <c r="Z374" s="315" t="str">
        <f t="shared" ca="1" si="168"/>
        <v/>
      </c>
      <c r="AA374" s="316" t="str">
        <f t="shared" ca="1" si="169"/>
        <v/>
      </c>
      <c r="AC374" s="310" t="e">
        <f t="shared" ca="1" si="170"/>
        <v>#N/A</v>
      </c>
      <c r="AD374" s="323" t="e">
        <f t="shared" ca="1" si="171"/>
        <v>#N/A</v>
      </c>
      <c r="AE374" s="324">
        <f t="shared" ca="1" si="150"/>
        <v>440.1477793712038</v>
      </c>
      <c r="AG374" s="306">
        <f t="shared" ca="1" si="172"/>
        <v>-23.911006925440475</v>
      </c>
      <c r="AH374" s="304">
        <f t="shared" ca="1" si="173"/>
        <v>-14.171913309293837</v>
      </c>
    </row>
    <row r="375" spans="1:34" x14ac:dyDescent="0.2">
      <c r="A375" s="347">
        <f t="shared" ca="1" si="151"/>
        <v>0.01</v>
      </c>
      <c r="B375" s="304">
        <f t="shared" ca="1" si="152"/>
        <v>3.7099999999999649</v>
      </c>
      <c r="D375" s="306">
        <f t="shared" ca="1" si="153"/>
        <v>-1.6969048048213398</v>
      </c>
      <c r="E375" s="307">
        <f t="shared" ca="1" si="154"/>
        <v>-23.839049464266957</v>
      </c>
      <c r="F375" s="304">
        <f t="shared" ca="1" si="155"/>
        <v>23.89936746603124</v>
      </c>
      <c r="G375" s="306">
        <f t="shared" ca="1" si="156"/>
        <v>21.289948900941944</v>
      </c>
      <c r="H375" s="307">
        <f t="shared" ca="1" si="157"/>
        <v>175.91515977415531</v>
      </c>
      <c r="I375" s="304">
        <f t="shared" ca="1" si="158"/>
        <v>177.19877359217617</v>
      </c>
      <c r="J375" s="306">
        <f t="shared" ca="1" si="159"/>
        <v>49.194233460850633</v>
      </c>
      <c r="K375" s="307">
        <f t="shared" ca="1" si="160"/>
        <v>441.90812292141857</v>
      </c>
      <c r="L375" s="304">
        <f t="shared" ca="1" si="145"/>
        <v>444.63789954268657</v>
      </c>
      <c r="M375" s="306">
        <f t="shared" ca="1" si="161"/>
        <v>1.4503581010978057</v>
      </c>
      <c r="N375" s="304">
        <f t="shared" ca="1" si="162"/>
        <v>83.09939797551263</v>
      </c>
      <c r="P375" s="310">
        <f t="shared" ca="1" si="163"/>
        <v>23</v>
      </c>
      <c r="Q375" s="304">
        <f t="shared" ca="1" si="164"/>
        <v>0</v>
      </c>
      <c r="R375" s="306">
        <f t="shared" ca="1" si="165"/>
        <v>0</v>
      </c>
      <c r="S375" s="307">
        <f t="shared" ca="1" si="166"/>
        <v>7.9789999999999939</v>
      </c>
      <c r="T375" s="304">
        <f t="shared" ca="1" si="146"/>
        <v>78.273989999999941</v>
      </c>
      <c r="U375" s="311">
        <f t="shared" ca="1" si="147"/>
        <v>0</v>
      </c>
      <c r="V375" s="306">
        <f t="shared" ca="1" si="148"/>
        <v>1.1720365048777677</v>
      </c>
      <c r="W375" s="304">
        <f t="shared" ca="1" si="149"/>
        <v>112.43069480395035</v>
      </c>
      <c r="Y375" s="314" t="str">
        <f t="shared" ca="1" si="167"/>
        <v/>
      </c>
      <c r="Z375" s="315" t="str">
        <f t="shared" ca="1" si="168"/>
        <v/>
      </c>
      <c r="AA375" s="316" t="str">
        <f t="shared" ca="1" si="169"/>
        <v/>
      </c>
      <c r="AC375" s="310" t="e">
        <f t="shared" ca="1" si="170"/>
        <v>#N/A</v>
      </c>
      <c r="AD375" s="323" t="e">
        <f t="shared" ca="1" si="171"/>
        <v>#N/A</v>
      </c>
      <c r="AE375" s="324">
        <f t="shared" ca="1" si="150"/>
        <v>441.90812292141857</v>
      </c>
      <c r="AG375" s="306">
        <f t="shared" ca="1" si="172"/>
        <v>-23.870318131052343</v>
      </c>
      <c r="AH375" s="304">
        <f t="shared" ca="1" si="173"/>
        <v>-14.131302657132313</v>
      </c>
    </row>
    <row r="376" spans="1:34" x14ac:dyDescent="0.2">
      <c r="A376" s="347">
        <f t="shared" ca="1" si="151"/>
        <v>0.01</v>
      </c>
      <c r="B376" s="304">
        <f t="shared" ca="1" si="152"/>
        <v>3.7199999999999647</v>
      </c>
      <c r="D376" s="306">
        <f t="shared" ca="1" si="153"/>
        <v>-1.6929741883717422</v>
      </c>
      <c r="E376" s="307">
        <f t="shared" ca="1" si="154"/>
        <v>-23.798752449648163</v>
      </c>
      <c r="F376" s="304">
        <f t="shared" ca="1" si="155"/>
        <v>23.858893095911373</v>
      </c>
      <c r="G376" s="306">
        <f t="shared" ca="1" si="156"/>
        <v>21.273019159058226</v>
      </c>
      <c r="H376" s="307">
        <f t="shared" ca="1" si="157"/>
        <v>175.67717224965884</v>
      </c>
      <c r="I376" s="304">
        <f t="shared" ca="1" si="158"/>
        <v>176.96047636062116</v>
      </c>
      <c r="J376" s="306">
        <f t="shared" ca="1" si="159"/>
        <v>49.407048301150631</v>
      </c>
      <c r="K376" s="307">
        <f t="shared" ca="1" si="160"/>
        <v>443.66608458153763</v>
      </c>
      <c r="L376" s="304">
        <f t="shared" ca="1" si="145"/>
        <v>446.4086144215234</v>
      </c>
      <c r="M376" s="306">
        <f t="shared" ca="1" si="161"/>
        <v>1.4502914961279181</v>
      </c>
      <c r="N376" s="304">
        <f t="shared" ca="1" si="162"/>
        <v>83.095581791843486</v>
      </c>
      <c r="P376" s="310">
        <f t="shared" ca="1" si="163"/>
        <v>23</v>
      </c>
      <c r="Q376" s="304">
        <f t="shared" ca="1" si="164"/>
        <v>0</v>
      </c>
      <c r="R376" s="306">
        <f t="shared" ca="1" si="165"/>
        <v>0</v>
      </c>
      <c r="S376" s="307">
        <f t="shared" ca="1" si="166"/>
        <v>7.9789999999999939</v>
      </c>
      <c r="T376" s="304">
        <f t="shared" ca="1" si="146"/>
        <v>78.273989999999941</v>
      </c>
      <c r="U376" s="311">
        <f t="shared" ca="1" si="147"/>
        <v>0</v>
      </c>
      <c r="V376" s="306">
        <f t="shared" ca="1" si="148"/>
        <v>1.1718303824408207</v>
      </c>
      <c r="W376" s="304">
        <f t="shared" ca="1" si="149"/>
        <v>112.10878443668973</v>
      </c>
      <c r="Y376" s="314" t="str">
        <f t="shared" ca="1" si="167"/>
        <v/>
      </c>
      <c r="Z376" s="315" t="str">
        <f t="shared" ca="1" si="168"/>
        <v/>
      </c>
      <c r="AA376" s="316" t="str">
        <f t="shared" ca="1" si="169"/>
        <v/>
      </c>
      <c r="AC376" s="310" t="e">
        <f t="shared" ca="1" si="170"/>
        <v>#N/A</v>
      </c>
      <c r="AD376" s="323" t="e">
        <f t="shared" ca="1" si="171"/>
        <v>#N/A</v>
      </c>
      <c r="AE376" s="324">
        <f t="shared" ca="1" si="150"/>
        <v>443.66608458153763</v>
      </c>
      <c r="AG376" s="306">
        <f t="shared" ca="1" si="172"/>
        <v>-23.829762407299839</v>
      </c>
      <c r="AH376" s="304">
        <f t="shared" ca="1" si="173"/>
        <v>-14.090825266819204</v>
      </c>
    </row>
    <row r="377" spans="1:34" x14ac:dyDescent="0.2">
      <c r="A377" s="347">
        <f t="shared" ca="1" si="151"/>
        <v>0.01</v>
      </c>
      <c r="B377" s="304">
        <f t="shared" ca="1" si="152"/>
        <v>3.7299999999999645</v>
      </c>
      <c r="D377" s="306">
        <f t="shared" ca="1" si="153"/>
        <v>-1.6890559317150524</v>
      </c>
      <c r="E377" s="307">
        <f t="shared" ca="1" si="154"/>
        <v>-23.758587534123656</v>
      </c>
      <c r="F377" s="304">
        <f t="shared" ca="1" si="155"/>
        <v>23.818551416009281</v>
      </c>
      <c r="G377" s="306">
        <f t="shared" ca="1" si="156"/>
        <v>21.256128599741075</v>
      </c>
      <c r="H377" s="307">
        <f t="shared" ca="1" si="157"/>
        <v>175.4395863743176</v>
      </c>
      <c r="I377" s="304">
        <f t="shared" ca="1" si="158"/>
        <v>176.72258336228671</v>
      </c>
      <c r="J377" s="306">
        <f t="shared" ca="1" si="159"/>
        <v>49.619694039944626</v>
      </c>
      <c r="K377" s="307">
        <f t="shared" ca="1" si="160"/>
        <v>445.42166837465754</v>
      </c>
      <c r="L377" s="304">
        <f t="shared" ca="1" si="145"/>
        <v>448.17694797287498</v>
      </c>
      <c r="M377" s="306">
        <f t="shared" ca="1" si="161"/>
        <v>1.4502247647936144</v>
      </c>
      <c r="N377" s="304">
        <f t="shared" ca="1" si="162"/>
        <v>83.091758368026603</v>
      </c>
      <c r="P377" s="310">
        <f t="shared" ca="1" si="163"/>
        <v>23</v>
      </c>
      <c r="Q377" s="304">
        <f t="shared" ca="1" si="164"/>
        <v>0</v>
      </c>
      <c r="R377" s="306">
        <f t="shared" ca="1" si="165"/>
        <v>0</v>
      </c>
      <c r="S377" s="307">
        <f t="shared" ca="1" si="166"/>
        <v>7.9789999999999939</v>
      </c>
      <c r="T377" s="304">
        <f t="shared" ca="1" si="146"/>
        <v>78.273989999999941</v>
      </c>
      <c r="U377" s="311">
        <f t="shared" ca="1" si="147"/>
        <v>0</v>
      </c>
      <c r="V377" s="306">
        <f t="shared" ca="1" si="148"/>
        <v>1.1716245741849423</v>
      </c>
      <c r="W377" s="304">
        <f t="shared" ca="1" si="149"/>
        <v>111.7879282580984</v>
      </c>
      <c r="Y377" s="314" t="str">
        <f t="shared" ca="1" si="167"/>
        <v/>
      </c>
      <c r="Z377" s="315" t="str">
        <f t="shared" ca="1" si="168"/>
        <v/>
      </c>
      <c r="AA377" s="316" t="str">
        <f t="shared" ca="1" si="169"/>
        <v/>
      </c>
      <c r="AC377" s="310" t="e">
        <f t="shared" ca="1" si="170"/>
        <v>#N/A</v>
      </c>
      <c r="AD377" s="323" t="e">
        <f t="shared" ca="1" si="171"/>
        <v>#N/A</v>
      </c>
      <c r="AE377" s="324">
        <f t="shared" ca="1" si="150"/>
        <v>445.42166837465754</v>
      </c>
      <c r="AG377" s="306">
        <f t="shared" ca="1" si="172"/>
        <v>-23.789339181354798</v>
      </c>
      <c r="AH377" s="304">
        <f t="shared" ca="1" si="173"/>
        <v>-14.050480566072167</v>
      </c>
    </row>
    <row r="378" spans="1:34" x14ac:dyDescent="0.2">
      <c r="A378" s="347">
        <f t="shared" ca="1" si="151"/>
        <v>0.01</v>
      </c>
      <c r="B378" s="304">
        <f t="shared" ca="1" si="152"/>
        <v>3.7399999999999642</v>
      </c>
      <c r="D378" s="306">
        <f t="shared" ca="1" si="153"/>
        <v>-1.6851499811481094</v>
      </c>
      <c r="E378" s="307">
        <f t="shared" ca="1" si="154"/>
        <v>-23.71855415105621</v>
      </c>
      <c r="F378" s="304">
        <f t="shared" ca="1" si="155"/>
        <v>23.778341857151208</v>
      </c>
      <c r="G378" s="306">
        <f t="shared" ca="1" si="156"/>
        <v>21.239277099929595</v>
      </c>
      <c r="H378" s="307">
        <f t="shared" ca="1" si="157"/>
        <v>175.20240083280703</v>
      </c>
      <c r="I378" s="304">
        <f t="shared" ca="1" si="158"/>
        <v>176.48509327789466</v>
      </c>
      <c r="J378" s="306">
        <f t="shared" ca="1" si="159"/>
        <v>49.832171068442982</v>
      </c>
      <c r="K378" s="307">
        <f t="shared" ca="1" si="160"/>
        <v>447.17487831069315</v>
      </c>
      <c r="L378" s="304">
        <f t="shared" ca="1" si="145"/>
        <v>449.94290422850077</v>
      </c>
      <c r="M378" s="306">
        <f t="shared" ca="1" si="161"/>
        <v>1.4501579068374308</v>
      </c>
      <c r="N378" s="304">
        <f t="shared" ca="1" si="162"/>
        <v>83.087927689310419</v>
      </c>
      <c r="P378" s="310">
        <f t="shared" ca="1" si="163"/>
        <v>23</v>
      </c>
      <c r="Q378" s="304">
        <f t="shared" ca="1" si="164"/>
        <v>0</v>
      </c>
      <c r="R378" s="306">
        <f t="shared" ca="1" si="165"/>
        <v>0</v>
      </c>
      <c r="S378" s="307">
        <f t="shared" ca="1" si="166"/>
        <v>7.9789999999999939</v>
      </c>
      <c r="T378" s="304">
        <f t="shared" ca="1" si="146"/>
        <v>78.273989999999941</v>
      </c>
      <c r="U378" s="311">
        <f t="shared" ca="1" si="147"/>
        <v>0</v>
      </c>
      <c r="V378" s="306">
        <f t="shared" ca="1" si="148"/>
        <v>1.1714190794874393</v>
      </c>
      <c r="W378" s="304">
        <f t="shared" ca="1" si="149"/>
        <v>111.46812175149746</v>
      </c>
      <c r="Y378" s="314" t="str">
        <f t="shared" ca="1" si="167"/>
        <v/>
      </c>
      <c r="Z378" s="315" t="str">
        <f t="shared" ca="1" si="168"/>
        <v/>
      </c>
      <c r="AA378" s="316" t="str">
        <f t="shared" ca="1" si="169"/>
        <v/>
      </c>
      <c r="AC378" s="310" t="e">
        <f t="shared" ca="1" si="170"/>
        <v>#N/A</v>
      </c>
      <c r="AD378" s="323" t="e">
        <f t="shared" ca="1" si="171"/>
        <v>#N/A</v>
      </c>
      <c r="AE378" s="324">
        <f t="shared" ca="1" si="150"/>
        <v>447.17487831069315</v>
      </c>
      <c r="AG378" s="306">
        <f t="shared" ca="1" si="172"/>
        <v>-23.749047883502957</v>
      </c>
      <c r="AH378" s="304">
        <f t="shared" ca="1" si="173"/>
        <v>-14.010267985724839</v>
      </c>
    </row>
    <row r="379" spans="1:34" x14ac:dyDescent="0.2">
      <c r="A379" s="347">
        <f t="shared" ca="1" si="151"/>
        <v>0.01</v>
      </c>
      <c r="B379" s="304">
        <f t="shared" ca="1" si="152"/>
        <v>3.749999999999964</v>
      </c>
      <c r="D379" s="306">
        <f t="shared" ca="1" si="153"/>
        <v>-1.6812562832590945</v>
      </c>
      <c r="E379" s="307">
        <f t="shared" ca="1" si="154"/>
        <v>-23.678651736890401</v>
      </c>
      <c r="F379" s="304">
        <f t="shared" ca="1" si="155"/>
        <v>23.73826385325896</v>
      </c>
      <c r="G379" s="306">
        <f t="shared" ca="1" si="156"/>
        <v>21.222464537097004</v>
      </c>
      <c r="H379" s="307">
        <f t="shared" ca="1" si="157"/>
        <v>174.96561431543813</v>
      </c>
      <c r="I379" s="304">
        <f t="shared" ca="1" si="158"/>
        <v>176.24800479383302</v>
      </c>
      <c r="J379" s="306">
        <f t="shared" ca="1" si="159"/>
        <v>50.044479776628116</v>
      </c>
      <c r="K379" s="307">
        <f t="shared" ca="1" si="160"/>
        <v>448.92571838643437</v>
      </c>
      <c r="L379" s="304">
        <f t="shared" ca="1" si="145"/>
        <v>451.70648720700206</v>
      </c>
      <c r="M379" s="306">
        <f t="shared" ca="1" si="161"/>
        <v>1.4500909220010914</v>
      </c>
      <c r="N379" s="304">
        <f t="shared" ca="1" si="162"/>
        <v>83.084089740896786</v>
      </c>
      <c r="P379" s="310">
        <f t="shared" ca="1" si="163"/>
        <v>23</v>
      </c>
      <c r="Q379" s="304">
        <f t="shared" ca="1" si="164"/>
        <v>0</v>
      </c>
      <c r="R379" s="306">
        <f t="shared" ca="1" si="165"/>
        <v>0</v>
      </c>
      <c r="S379" s="307">
        <f t="shared" ca="1" si="166"/>
        <v>7.9789999999999939</v>
      </c>
      <c r="T379" s="304">
        <f t="shared" ca="1" si="146"/>
        <v>78.273989999999941</v>
      </c>
      <c r="U379" s="311">
        <f t="shared" ca="1" si="147"/>
        <v>0</v>
      </c>
      <c r="V379" s="306">
        <f t="shared" ca="1" si="148"/>
        <v>1.1712138977277506</v>
      </c>
      <c r="W379" s="304">
        <f t="shared" ca="1" si="149"/>
        <v>111.14936042474625</v>
      </c>
      <c r="Y379" s="314" t="str">
        <f t="shared" ca="1" si="167"/>
        <v/>
      </c>
      <c r="Z379" s="315" t="str">
        <f t="shared" ca="1" si="168"/>
        <v/>
      </c>
      <c r="AA379" s="316" t="str">
        <f t="shared" ca="1" si="169"/>
        <v/>
      </c>
      <c r="AC379" s="310" t="e">
        <f t="shared" ca="1" si="170"/>
        <v>#N/A</v>
      </c>
      <c r="AD379" s="323" t="e">
        <f t="shared" ca="1" si="171"/>
        <v>#N/A</v>
      </c>
      <c r="AE379" s="324">
        <f t="shared" ca="1" si="150"/>
        <v>448.92571838643437</v>
      </c>
      <c r="AG379" s="306">
        <f t="shared" ca="1" si="172"/>
        <v>-23.708887947123554</v>
      </c>
      <c r="AH379" s="304">
        <f t="shared" ca="1" si="173"/>
        <v>-13.970186959706423</v>
      </c>
    </row>
    <row r="380" spans="1:34" x14ac:dyDescent="0.2">
      <c r="A380" s="347">
        <f t="shared" ca="1" si="151"/>
        <v>0.01</v>
      </c>
      <c r="B380" s="304">
        <f t="shared" ca="1" si="152"/>
        <v>3.7599999999999638</v>
      </c>
      <c r="D380" s="306">
        <f t="shared" ca="1" si="153"/>
        <v>-1.677374784925632</v>
      </c>
      <c r="E380" s="307">
        <f t="shared" ca="1" si="154"/>
        <v>-23.638879731132505</v>
      </c>
      <c r="F380" s="304">
        <f t="shared" ca="1" si="155"/>
        <v>23.698316841329714</v>
      </c>
      <c r="G380" s="306">
        <f t="shared" ca="1" si="156"/>
        <v>21.205690789247747</v>
      </c>
      <c r="H380" s="307">
        <f t="shared" ca="1" si="157"/>
        <v>174.72922551812681</v>
      </c>
      <c r="I380" s="304">
        <f t="shared" ca="1" si="158"/>
        <v>176.01131660212536</v>
      </c>
      <c r="J380" s="306">
        <f t="shared" ca="1" si="159"/>
        <v>50.256620553259836</v>
      </c>
      <c r="K380" s="307">
        <f t="shared" ca="1" si="160"/>
        <v>450.67419258560221</v>
      </c>
      <c r="L380" s="304">
        <f t="shared" ca="1" si="145"/>
        <v>453.4677009138785</v>
      </c>
      <c r="M380" s="306">
        <f t="shared" ca="1" si="161"/>
        <v>1.450023810025505</v>
      </c>
      <c r="N380" s="304">
        <f t="shared" ca="1" si="162"/>
        <v>83.080244507940904</v>
      </c>
      <c r="P380" s="310">
        <f t="shared" ca="1" si="163"/>
        <v>23</v>
      </c>
      <c r="Q380" s="304">
        <f t="shared" ca="1" si="164"/>
        <v>0</v>
      </c>
      <c r="R380" s="306">
        <f t="shared" ca="1" si="165"/>
        <v>0</v>
      </c>
      <c r="S380" s="307">
        <f t="shared" ca="1" si="166"/>
        <v>7.9789999999999939</v>
      </c>
      <c r="T380" s="304">
        <f t="shared" ca="1" si="146"/>
        <v>78.273989999999941</v>
      </c>
      <c r="U380" s="311">
        <f t="shared" ca="1" si="147"/>
        <v>0</v>
      </c>
      <c r="V380" s="306">
        <f t="shared" ca="1" si="148"/>
        <v>1.1710090282874372</v>
      </c>
      <c r="W380" s="304">
        <f t="shared" ca="1" si="149"/>
        <v>110.83163981008202</v>
      </c>
      <c r="Y380" s="314" t="str">
        <f t="shared" ca="1" si="167"/>
        <v/>
      </c>
      <c r="Z380" s="315" t="str">
        <f t="shared" ca="1" si="168"/>
        <v/>
      </c>
      <c r="AA380" s="316" t="str">
        <f t="shared" ca="1" si="169"/>
        <v/>
      </c>
      <c r="AC380" s="310" t="e">
        <f t="shared" ca="1" si="170"/>
        <v>#N/A</v>
      </c>
      <c r="AD380" s="323" t="e">
        <f t="shared" ca="1" si="171"/>
        <v>#N/A</v>
      </c>
      <c r="AE380" s="324">
        <f t="shared" ca="1" si="150"/>
        <v>450.67419258560221</v>
      </c>
      <c r="AG380" s="306">
        <f t="shared" ca="1" si="172"/>
        <v>-23.668858808669064</v>
      </c>
      <c r="AH380" s="304">
        <f t="shared" ca="1" si="173"/>
        <v>-13.930236925021473</v>
      </c>
    </row>
    <row r="381" spans="1:34" x14ac:dyDescent="0.2">
      <c r="A381" s="347">
        <f t="shared" ca="1" si="151"/>
        <v>0.01</v>
      </c>
      <c r="B381" s="304">
        <f t="shared" ca="1" si="152"/>
        <v>3.7699999999999636</v>
      </c>
      <c r="D381" s="306">
        <f t="shared" ca="1" si="153"/>
        <v>-1.6735054333128947</v>
      </c>
      <c r="E381" s="307">
        <f t="shared" ca="1" si="154"/>
        <v>-23.599237576330449</v>
      </c>
      <c r="F381" s="304">
        <f t="shared" ca="1" si="155"/>
        <v>23.65850026141587</v>
      </c>
      <c r="G381" s="306">
        <f t="shared" ca="1" si="156"/>
        <v>21.188955734914618</v>
      </c>
      <c r="H381" s="307">
        <f t="shared" ca="1" si="157"/>
        <v>174.49323314236349</v>
      </c>
      <c r="I381" s="304">
        <f t="shared" ca="1" si="158"/>
        <v>175.77502740040006</v>
      </c>
      <c r="J381" s="306">
        <f t="shared" ca="1" si="159"/>
        <v>50.46859378588065</v>
      </c>
      <c r="K381" s="307">
        <f t="shared" ca="1" si="160"/>
        <v>452.42030487890469</v>
      </c>
      <c r="L381" s="304">
        <f t="shared" ca="1" si="145"/>
        <v>455.22654934158368</v>
      </c>
      <c r="M381" s="306">
        <f t="shared" ca="1" si="161"/>
        <v>1.4499565706507624</v>
      </c>
      <c r="N381" s="304">
        <f t="shared" ca="1" si="162"/>
        <v>83.076391975551061</v>
      </c>
      <c r="P381" s="310">
        <f t="shared" ca="1" si="163"/>
        <v>23</v>
      </c>
      <c r="Q381" s="304">
        <f t="shared" ca="1" si="164"/>
        <v>0</v>
      </c>
      <c r="R381" s="306">
        <f t="shared" ca="1" si="165"/>
        <v>0</v>
      </c>
      <c r="S381" s="307">
        <f t="shared" ca="1" si="166"/>
        <v>7.9789999999999939</v>
      </c>
      <c r="T381" s="304">
        <f t="shared" ca="1" si="146"/>
        <v>78.273989999999941</v>
      </c>
      <c r="U381" s="311">
        <f t="shared" ca="1" si="147"/>
        <v>0</v>
      </c>
      <c r="V381" s="306">
        <f t="shared" ca="1" si="148"/>
        <v>1.1708044705501723</v>
      </c>
      <c r="W381" s="304">
        <f t="shared" ca="1" si="149"/>
        <v>110.51495546396082</v>
      </c>
      <c r="Y381" s="314" t="str">
        <f t="shared" ca="1" si="167"/>
        <v/>
      </c>
      <c r="Z381" s="315" t="str">
        <f t="shared" ca="1" si="168"/>
        <v/>
      </c>
      <c r="AA381" s="316" t="str">
        <f t="shared" ca="1" si="169"/>
        <v/>
      </c>
      <c r="AC381" s="310" t="e">
        <f t="shared" ca="1" si="170"/>
        <v>#N/A</v>
      </c>
      <c r="AD381" s="323" t="e">
        <f t="shared" ca="1" si="171"/>
        <v>#N/A</v>
      </c>
      <c r="AE381" s="324">
        <f t="shared" ca="1" si="150"/>
        <v>452.42030487890469</v>
      </c>
      <c r="AG381" s="306">
        <f t="shared" ca="1" si="172"/>
        <v>-23.62895990764514</v>
      </c>
      <c r="AH381" s="304">
        <f t="shared" ca="1" si="173"/>
        <v>-13.890417321729805</v>
      </c>
    </row>
    <row r="382" spans="1:34" x14ac:dyDescent="0.2">
      <c r="A382" s="347">
        <f t="shared" ca="1" si="151"/>
        <v>0.01</v>
      </c>
      <c r="B382" s="304">
        <f t="shared" ca="1" si="152"/>
        <v>3.7799999999999634</v>
      </c>
      <c r="D382" s="306">
        <f t="shared" ca="1" si="153"/>
        <v>-1.6696481758717292</v>
      </c>
      <c r="E382" s="307">
        <f t="shared" ca="1" si="154"/>
        <v>-23.559724718053992</v>
      </c>
      <c r="F382" s="304">
        <f t="shared" ca="1" si="155"/>
        <v>23.618813556605168</v>
      </c>
      <c r="G382" s="306">
        <f t="shared" ca="1" si="156"/>
        <v>21.1722592531559</v>
      </c>
      <c r="H382" s="307">
        <f t="shared" ca="1" si="157"/>
        <v>174.25763589518294</v>
      </c>
      <c r="I382" s="304">
        <f t="shared" ca="1" si="158"/>
        <v>175.5391358918603</v>
      </c>
      <c r="J382" s="306">
        <f t="shared" ca="1" si="159"/>
        <v>50.680399860821005</v>
      </c>
      <c r="K382" s="307">
        <f t="shared" ca="1" si="160"/>
        <v>454.1640592240924</v>
      </c>
      <c r="L382" s="304">
        <f t="shared" ca="1" si="145"/>
        <v>456.98303646958016</v>
      </c>
      <c r="M382" s="306">
        <f t="shared" ca="1" si="161"/>
        <v>1.4498892036161346</v>
      </c>
      <c r="N382" s="304">
        <f t="shared" ca="1" si="162"/>
        <v>83.072532128788566</v>
      </c>
      <c r="P382" s="310">
        <f t="shared" ca="1" si="163"/>
        <v>23</v>
      </c>
      <c r="Q382" s="304">
        <f t="shared" ca="1" si="164"/>
        <v>0</v>
      </c>
      <c r="R382" s="306">
        <f t="shared" ca="1" si="165"/>
        <v>0</v>
      </c>
      <c r="S382" s="307">
        <f t="shared" ca="1" si="166"/>
        <v>7.9789999999999939</v>
      </c>
      <c r="T382" s="304">
        <f t="shared" ca="1" si="146"/>
        <v>78.273989999999941</v>
      </c>
      <c r="U382" s="311">
        <f t="shared" ca="1" si="147"/>
        <v>0</v>
      </c>
      <c r="V382" s="306">
        <f t="shared" ca="1" si="148"/>
        <v>1.1706002239017326</v>
      </c>
      <c r="W382" s="304">
        <f t="shared" ca="1" si="149"/>
        <v>110.19930296689991</v>
      </c>
      <c r="Y382" s="314" t="str">
        <f t="shared" ca="1" si="167"/>
        <v/>
      </c>
      <c r="Z382" s="315" t="str">
        <f t="shared" ca="1" si="168"/>
        <v/>
      </c>
      <c r="AA382" s="316" t="str">
        <f t="shared" ca="1" si="169"/>
        <v/>
      </c>
      <c r="AC382" s="310" t="e">
        <f t="shared" ca="1" si="170"/>
        <v>#N/A</v>
      </c>
      <c r="AD382" s="323" t="e">
        <f t="shared" ca="1" si="171"/>
        <v>#N/A</v>
      </c>
      <c r="AE382" s="324">
        <f t="shared" ca="1" si="150"/>
        <v>454.1640592240924</v>
      </c>
      <c r="AG382" s="306">
        <f t="shared" ca="1" si="172"/>
        <v>-23.589190686590609</v>
      </c>
      <c r="AH382" s="304">
        <f t="shared" ca="1" si="173"/>
        <v>-13.850727592926544</v>
      </c>
    </row>
    <row r="383" spans="1:34" x14ac:dyDescent="0.2">
      <c r="A383" s="347">
        <f t="shared" ca="1" si="151"/>
        <v>0.01</v>
      </c>
      <c r="B383" s="304">
        <f t="shared" ca="1" si="152"/>
        <v>3.7899999999999632</v>
      </c>
      <c r="D383" s="306">
        <f t="shared" ca="1" si="153"/>
        <v>-1.6658029603367834</v>
      </c>
      <c r="E383" s="307">
        <f t="shared" ca="1" si="154"/>
        <v>-23.520340604875067</v>
      </c>
      <c r="F383" s="304">
        <f t="shared" ca="1" si="155"/>
        <v>23.579256173000914</v>
      </c>
      <c r="G383" s="306">
        <f t="shared" ca="1" si="156"/>
        <v>21.155601223552534</v>
      </c>
      <c r="H383" s="307">
        <f t="shared" ca="1" si="157"/>
        <v>174.02243248913419</v>
      </c>
      <c r="I383" s="304">
        <f t="shared" ca="1" si="158"/>
        <v>175.30364078525363</v>
      </c>
      <c r="J383" s="306">
        <f t="shared" ca="1" si="159"/>
        <v>50.892039163204551</v>
      </c>
      <c r="K383" s="307">
        <f t="shared" ca="1" si="160"/>
        <v>455.90545956601397</v>
      </c>
      <c r="L383" s="304">
        <f t="shared" ca="1" si="145"/>
        <v>458.7371662643954</v>
      </c>
      <c r="M383" s="306">
        <f t="shared" ca="1" si="161"/>
        <v>1.4498217086600675</v>
      </c>
      <c r="N383" s="304">
        <f t="shared" ca="1" si="162"/>
        <v>83.068664952667504</v>
      </c>
      <c r="P383" s="310">
        <f t="shared" ca="1" si="163"/>
        <v>23</v>
      </c>
      <c r="Q383" s="304">
        <f t="shared" ca="1" si="164"/>
        <v>0</v>
      </c>
      <c r="R383" s="306">
        <f t="shared" ca="1" si="165"/>
        <v>0</v>
      </c>
      <c r="S383" s="307">
        <f t="shared" ca="1" si="166"/>
        <v>7.9789999999999939</v>
      </c>
      <c r="T383" s="304">
        <f t="shared" ca="1" si="146"/>
        <v>78.273989999999941</v>
      </c>
      <c r="U383" s="311">
        <f t="shared" ca="1" si="147"/>
        <v>0</v>
      </c>
      <c r="V383" s="306">
        <f t="shared" ca="1" si="148"/>
        <v>1.1703962877299872</v>
      </c>
      <c r="W383" s="304">
        <f t="shared" ca="1" si="149"/>
        <v>109.88467792332084</v>
      </c>
      <c r="Y383" s="314" t="str">
        <f t="shared" ca="1" si="167"/>
        <v/>
      </c>
      <c r="Z383" s="315" t="str">
        <f t="shared" ca="1" si="168"/>
        <v/>
      </c>
      <c r="AA383" s="316" t="str">
        <f t="shared" ca="1" si="169"/>
        <v/>
      </c>
      <c r="AC383" s="310" t="e">
        <f t="shared" ca="1" si="170"/>
        <v>#N/A</v>
      </c>
      <c r="AD383" s="323" t="e">
        <f t="shared" ca="1" si="171"/>
        <v>#N/A</v>
      </c>
      <c r="AE383" s="324">
        <f t="shared" ca="1" si="150"/>
        <v>455.90545956601397</v>
      </c>
      <c r="AG383" s="306">
        <f t="shared" ca="1" si="172"/>
        <v>-23.54955059105778</v>
      </c>
      <c r="AH383" s="304">
        <f t="shared" ca="1" si="173"/>
        <v>-13.811167184722395</v>
      </c>
    </row>
    <row r="384" spans="1:34" x14ac:dyDescent="0.2">
      <c r="A384" s="347">
        <f t="shared" ca="1" si="151"/>
        <v>0.01</v>
      </c>
      <c r="B384" s="304">
        <f t="shared" ca="1" si="152"/>
        <v>3.799999999999963</v>
      </c>
      <c r="D384" s="306">
        <f t="shared" ca="1" si="153"/>
        <v>-1.6619697347246736</v>
      </c>
      <c r="E384" s="307">
        <f t="shared" ca="1" si="154"/>
        <v>-23.481084688348162</v>
      </c>
      <c r="F384" s="304">
        <f t="shared" ca="1" si="155"/>
        <v>23.539827559702285</v>
      </c>
      <c r="G384" s="306">
        <f t="shared" ca="1" si="156"/>
        <v>21.138981526205288</v>
      </c>
      <c r="H384" s="307">
        <f t="shared" ca="1" si="157"/>
        <v>173.78762164225071</v>
      </c>
      <c r="I384" s="304">
        <f t="shared" ca="1" si="158"/>
        <v>175.06854079484222</v>
      </c>
      <c r="J384" s="306">
        <f t="shared" ca="1" si="159"/>
        <v>51.103512076953336</v>
      </c>
      <c r="K384" s="307">
        <f t="shared" ca="1" si="160"/>
        <v>457.64450983667092</v>
      </c>
      <c r="L384" s="304">
        <f t="shared" ca="1" si="145"/>
        <v>460.4889426796762</v>
      </c>
      <c r="M384" s="306">
        <f t="shared" ca="1" si="161"/>
        <v>1.4497540855201811</v>
      </c>
      <c r="N384" s="304">
        <f t="shared" ca="1" si="162"/>
        <v>83.064790432154595</v>
      </c>
      <c r="P384" s="310">
        <f t="shared" ca="1" si="163"/>
        <v>23</v>
      </c>
      <c r="Q384" s="304">
        <f t="shared" ca="1" si="164"/>
        <v>0</v>
      </c>
      <c r="R384" s="306">
        <f t="shared" ca="1" si="165"/>
        <v>0</v>
      </c>
      <c r="S384" s="307">
        <f t="shared" ca="1" si="166"/>
        <v>7.9789999999999939</v>
      </c>
      <c r="T384" s="304">
        <f t="shared" ca="1" si="146"/>
        <v>78.273989999999941</v>
      </c>
      <c r="U384" s="311">
        <f t="shared" ca="1" si="147"/>
        <v>0</v>
      </c>
      <c r="V384" s="306">
        <f t="shared" ca="1" si="148"/>
        <v>1.1701926614248908</v>
      </c>
      <c r="W384" s="304">
        <f t="shared" ca="1" si="149"/>
        <v>109.57107596139436</v>
      </c>
      <c r="Y384" s="314" t="str">
        <f t="shared" ca="1" si="167"/>
        <v/>
      </c>
      <c r="Z384" s="315" t="str">
        <f t="shared" ca="1" si="168"/>
        <v/>
      </c>
      <c r="AA384" s="316" t="str">
        <f t="shared" ca="1" si="169"/>
        <v/>
      </c>
      <c r="AC384" s="310" t="e">
        <f t="shared" ca="1" si="170"/>
        <v>#N/A</v>
      </c>
      <c r="AD384" s="323" t="e">
        <f t="shared" ca="1" si="171"/>
        <v>#N/A</v>
      </c>
      <c r="AE384" s="324">
        <f t="shared" ca="1" si="150"/>
        <v>457.64450983667092</v>
      </c>
      <c r="AG384" s="306">
        <f t="shared" ca="1" si="172"/>
        <v>-23.510039069592708</v>
      </c>
      <c r="AH384" s="304">
        <f t="shared" ca="1" si="173"/>
        <v>-13.771735546223953</v>
      </c>
    </row>
    <row r="385" spans="1:34" x14ac:dyDescent="0.2">
      <c r="A385" s="347">
        <f t="shared" ca="1" si="151"/>
        <v>0.01</v>
      </c>
      <c r="B385" s="304">
        <f t="shared" ca="1" si="152"/>
        <v>3.8099999999999627</v>
      </c>
      <c r="D385" s="306">
        <f t="shared" ca="1" si="153"/>
        <v>-1.6581484473321366</v>
      </c>
      <c r="E385" s="307">
        <f t="shared" ca="1" si="154"/>
        <v>-23.441956422991019</v>
      </c>
      <c r="F385" s="304">
        <f t="shared" ca="1" si="155"/>
        <v>23.500527168784956</v>
      </c>
      <c r="G385" s="306">
        <f t="shared" ca="1" si="156"/>
        <v>21.122400041731968</v>
      </c>
      <c r="H385" s="307">
        <f t="shared" ca="1" si="157"/>
        <v>173.5532020780208</v>
      </c>
      <c r="I385" s="304">
        <f t="shared" ca="1" si="158"/>
        <v>174.83383464037297</v>
      </c>
      <c r="J385" s="306">
        <f t="shared" ca="1" si="159"/>
        <v>51.314818984793021</v>
      </c>
      <c r="K385" s="307">
        <f t="shared" ca="1" si="160"/>
        <v>459.3812139552723</v>
      </c>
      <c r="L385" s="304">
        <f t="shared" ca="1" si="145"/>
        <v>462.23836965624321</v>
      </c>
      <c r="M385" s="306">
        <f t="shared" ca="1" si="161"/>
        <v>1.4496863339332655</v>
      </c>
      <c r="N385" s="304">
        <f t="shared" ca="1" si="162"/>
        <v>83.06090855216901</v>
      </c>
      <c r="P385" s="310">
        <f t="shared" ca="1" si="163"/>
        <v>23</v>
      </c>
      <c r="Q385" s="304">
        <f t="shared" ca="1" si="164"/>
        <v>0</v>
      </c>
      <c r="R385" s="306">
        <f t="shared" ca="1" si="165"/>
        <v>0</v>
      </c>
      <c r="S385" s="307">
        <f t="shared" ca="1" si="166"/>
        <v>7.9789999999999939</v>
      </c>
      <c r="T385" s="304">
        <f t="shared" ca="1" si="146"/>
        <v>78.273989999999941</v>
      </c>
      <c r="U385" s="311">
        <f t="shared" ca="1" si="147"/>
        <v>0</v>
      </c>
      <c r="V385" s="306">
        <f t="shared" ca="1" si="148"/>
        <v>1.1699893443784739</v>
      </c>
      <c r="W385" s="304">
        <f t="shared" ca="1" si="149"/>
        <v>109.25849273288608</v>
      </c>
      <c r="Y385" s="314" t="str">
        <f t="shared" ca="1" si="167"/>
        <v/>
      </c>
      <c r="Z385" s="315" t="str">
        <f t="shared" ca="1" si="168"/>
        <v/>
      </c>
      <c r="AA385" s="316" t="str">
        <f t="shared" ca="1" si="169"/>
        <v/>
      </c>
      <c r="AC385" s="310" t="e">
        <f t="shared" ca="1" si="170"/>
        <v>#N/A</v>
      </c>
      <c r="AD385" s="323" t="e">
        <f t="shared" ca="1" si="171"/>
        <v>#N/A</v>
      </c>
      <c r="AE385" s="324">
        <f t="shared" ca="1" si="150"/>
        <v>459.3812139552723</v>
      </c>
      <c r="AG385" s="306">
        <f t="shared" ca="1" si="172"/>
        <v>-23.470655573715781</v>
      </c>
      <c r="AH385" s="304">
        <f t="shared" ca="1" si="173"/>
        <v>-13.732432129514279</v>
      </c>
    </row>
    <row r="386" spans="1:34" x14ac:dyDescent="0.2">
      <c r="A386" s="347">
        <f t="shared" ca="1" si="151"/>
        <v>0.01</v>
      </c>
      <c r="B386" s="304">
        <f t="shared" ca="1" si="152"/>
        <v>3.8199999999999625</v>
      </c>
      <c r="D386" s="306">
        <f t="shared" ca="1" si="153"/>
        <v>-1.6543390467342165</v>
      </c>
      <c r="E386" s="307">
        <f t="shared" ca="1" si="154"/>
        <v>-23.402955266265348</v>
      </c>
      <c r="F386" s="304">
        <f t="shared" ca="1" si="155"/>
        <v>23.461354455281697</v>
      </c>
      <c r="G386" s="306">
        <f t="shared" ca="1" si="156"/>
        <v>21.105856651264627</v>
      </c>
      <c r="H386" s="307">
        <f t="shared" ca="1" si="157"/>
        <v>173.31917252535814</v>
      </c>
      <c r="I386" s="304">
        <f t="shared" ca="1" si="158"/>
        <v>174.59952104704809</v>
      </c>
      <c r="J386" s="306">
        <f t="shared" ca="1" si="159"/>
        <v>51.525960268258004</v>
      </c>
      <c r="K386" s="307">
        <f t="shared" ca="1" si="160"/>
        <v>461.1155758282892</v>
      </c>
      <c r="L386" s="304">
        <f t="shared" ca="1" si="145"/>
        <v>463.98545112214543</v>
      </c>
      <c r="M386" s="306">
        <f t="shared" ca="1" si="161"/>
        <v>1.4496184536352776</v>
      </c>
      <c r="N386" s="304">
        <f t="shared" ca="1" si="162"/>
        <v>83.057019297582215</v>
      </c>
      <c r="P386" s="310">
        <f t="shared" ca="1" si="163"/>
        <v>23</v>
      </c>
      <c r="Q386" s="304">
        <f t="shared" ca="1" si="164"/>
        <v>0</v>
      </c>
      <c r="R386" s="306">
        <f t="shared" ca="1" si="165"/>
        <v>0</v>
      </c>
      <c r="S386" s="307">
        <f t="shared" ca="1" si="166"/>
        <v>7.9789999999999939</v>
      </c>
      <c r="T386" s="304">
        <f t="shared" ca="1" si="146"/>
        <v>78.273989999999941</v>
      </c>
      <c r="U386" s="311">
        <f t="shared" ca="1" si="147"/>
        <v>0</v>
      </c>
      <c r="V386" s="306">
        <f t="shared" ca="1" si="148"/>
        <v>1.1697863359848319</v>
      </c>
      <c r="W386" s="304">
        <f t="shared" ca="1" si="149"/>
        <v>108.94692391300325</v>
      </c>
      <c r="Y386" s="314" t="str">
        <f t="shared" ca="1" si="167"/>
        <v/>
      </c>
      <c r="Z386" s="315" t="str">
        <f t="shared" ca="1" si="168"/>
        <v/>
      </c>
      <c r="AA386" s="316" t="str">
        <f t="shared" ca="1" si="169"/>
        <v/>
      </c>
      <c r="AC386" s="310" t="e">
        <f t="shared" ca="1" si="170"/>
        <v>#N/A</v>
      </c>
      <c r="AD386" s="323" t="e">
        <f t="shared" ca="1" si="171"/>
        <v>#N/A</v>
      </c>
      <c r="AE386" s="324">
        <f t="shared" ca="1" si="150"/>
        <v>461.1155758282892</v>
      </c>
      <c r="AG386" s="306">
        <f t="shared" ca="1" si="172"/>
        <v>-23.431399557902353</v>
      </c>
      <c r="AH386" s="304">
        <f t="shared" ca="1" si="173"/>
        <v>-13.693256389633559</v>
      </c>
    </row>
    <row r="387" spans="1:34" x14ac:dyDescent="0.2">
      <c r="A387" s="347">
        <f t="shared" ca="1" si="151"/>
        <v>0.01</v>
      </c>
      <c r="B387" s="304">
        <f t="shared" ca="1" si="152"/>
        <v>3.8299999999999623</v>
      </c>
      <c r="D387" s="306">
        <f t="shared" ca="1" si="153"/>
        <v>-1.6505414817824584</v>
      </c>
      <c r="E387" s="307">
        <f t="shared" ca="1" si="154"/>
        <v>-23.364080678557698</v>
      </c>
      <c r="F387" s="304">
        <f t="shared" ca="1" si="155"/>
        <v>23.422308877163193</v>
      </c>
      <c r="G387" s="306">
        <f t="shared" ca="1" si="156"/>
        <v>21.089351236446802</v>
      </c>
      <c r="H387" s="307">
        <f t="shared" ca="1" si="157"/>
        <v>173.08553171857255</v>
      </c>
      <c r="I387" s="304">
        <f t="shared" ca="1" si="158"/>
        <v>174.3655987454957</v>
      </c>
      <c r="J387" s="306">
        <f t="shared" ca="1" si="159"/>
        <v>51.73693630769656</v>
      </c>
      <c r="K387" s="307">
        <f t="shared" ca="1" si="160"/>
        <v>462.84759934950887</v>
      </c>
      <c r="L387" s="304">
        <f t="shared" ca="1" si="145"/>
        <v>465.73019099271426</v>
      </c>
      <c r="M387" s="306">
        <f t="shared" ca="1" si="161"/>
        <v>1.449550444361339</v>
      </c>
      <c r="N387" s="304">
        <f t="shared" ca="1" si="162"/>
        <v>83.053122653217784</v>
      </c>
      <c r="P387" s="310">
        <f t="shared" ca="1" si="163"/>
        <v>23</v>
      </c>
      <c r="Q387" s="304">
        <f t="shared" ca="1" si="164"/>
        <v>0</v>
      </c>
      <c r="R387" s="306">
        <f t="shared" ca="1" si="165"/>
        <v>0</v>
      </c>
      <c r="S387" s="307">
        <f t="shared" ca="1" si="166"/>
        <v>7.9789999999999939</v>
      </c>
      <c r="T387" s="304">
        <f t="shared" ca="1" si="146"/>
        <v>78.273989999999941</v>
      </c>
      <c r="U387" s="311">
        <f t="shared" ca="1" si="147"/>
        <v>0</v>
      </c>
      <c r="V387" s="306">
        <f t="shared" ca="1" si="148"/>
        <v>1.1695836356401179</v>
      </c>
      <c r="W387" s="304">
        <f t="shared" ca="1" si="149"/>
        <v>108.6363652002432</v>
      </c>
      <c r="Y387" s="314" t="str">
        <f t="shared" ca="1" si="167"/>
        <v/>
      </c>
      <c r="Z387" s="315" t="str">
        <f t="shared" ca="1" si="168"/>
        <v/>
      </c>
      <c r="AA387" s="316" t="str">
        <f t="shared" ca="1" si="169"/>
        <v/>
      </c>
      <c r="AC387" s="310" t="e">
        <f t="shared" ca="1" si="170"/>
        <v>#N/A</v>
      </c>
      <c r="AD387" s="323" t="e">
        <f t="shared" ca="1" si="171"/>
        <v>#N/A</v>
      </c>
      <c r="AE387" s="324">
        <f t="shared" ca="1" si="150"/>
        <v>462.84759934950887</v>
      </c>
      <c r="AG387" s="306">
        <f t="shared" ca="1" si="172"/>
        <v>-23.392270479563535</v>
      </c>
      <c r="AH387" s="304">
        <f t="shared" ca="1" si="173"/>
        <v>-13.654207784559887</v>
      </c>
    </row>
    <row r="388" spans="1:34" x14ac:dyDescent="0.2">
      <c r="A388" s="347">
        <f t="shared" ca="1" si="151"/>
        <v>0.01</v>
      </c>
      <c r="B388" s="304">
        <f t="shared" ca="1" si="152"/>
        <v>3.8399999999999621</v>
      </c>
      <c r="D388" s="306">
        <f t="shared" ca="1" si="153"/>
        <v>-1.6467557016031138</v>
      </c>
      <c r="E388" s="307">
        <f t="shared" ca="1" si="154"/>
        <v>-23.325332123160592</v>
      </c>
      <c r="F388" s="304">
        <f t="shared" ca="1" si="155"/>
        <v>23.383389895319066</v>
      </c>
      <c r="G388" s="306">
        <f t="shared" ca="1" si="156"/>
        <v>21.07288367943077</v>
      </c>
      <c r="H388" s="307">
        <f t="shared" ca="1" si="157"/>
        <v>172.85227839734094</v>
      </c>
      <c r="I388" s="304">
        <f t="shared" ca="1" si="158"/>
        <v>174.13206647174059</v>
      </c>
      <c r="J388" s="306">
        <f t="shared" ca="1" si="159"/>
        <v>51.94774748227595</v>
      </c>
      <c r="K388" s="307">
        <f t="shared" ca="1" si="160"/>
        <v>464.57728840008843</v>
      </c>
      <c r="L388" s="304">
        <f t="shared" ref="L388:L451" ca="1" si="174">SQRT(pos_x^2+pos_z^2)</f>
        <v>467.47259317061707</v>
      </c>
      <c r="M388" s="306">
        <f t="shared" ca="1" si="161"/>
        <v>1.4494823058457322</v>
      </c>
      <c r="N388" s="304">
        <f t="shared" ca="1" si="162"/>
        <v>83.04921860385123</v>
      </c>
      <c r="P388" s="310">
        <f t="shared" ca="1" si="163"/>
        <v>23</v>
      </c>
      <c r="Q388" s="304">
        <f t="shared" ca="1" si="164"/>
        <v>0</v>
      </c>
      <c r="R388" s="306">
        <f t="shared" ca="1" si="165"/>
        <v>0</v>
      </c>
      <c r="S388" s="307">
        <f t="shared" ca="1" si="166"/>
        <v>7.9789999999999939</v>
      </c>
      <c r="T388" s="304">
        <f t="shared" ref="T388:T451" ca="1" si="175">m*g</f>
        <v>78.273989999999941</v>
      </c>
      <c r="U388" s="311">
        <f t="shared" ref="U388:U451" ca="1" si="176">IF(pos_xz&lt;L_rampe,Poids*COS(Beta),0)</f>
        <v>0</v>
      </c>
      <c r="V388" s="306">
        <f t="shared" ref="V388:V451" ca="1" si="177">Rho_moyen*(20000-Alt_rampe-pos_z)/(20000+Alt_rampe+pos_z)</f>
        <v>1.1693812427425323</v>
      </c>
      <c r="W388" s="304">
        <f t="shared" ref="W388:W451" ca="1" si="178">1/2*Rho*Sref*Cx*vit_xz^2</f>
        <v>108.32681231624217</v>
      </c>
      <c r="Y388" s="314" t="str">
        <f t="shared" ca="1" si="167"/>
        <v/>
      </c>
      <c r="Z388" s="315" t="str">
        <f t="shared" ca="1" si="168"/>
        <v/>
      </c>
      <c r="AA388" s="316" t="str">
        <f t="shared" ca="1" si="169"/>
        <v/>
      </c>
      <c r="AC388" s="310" t="e">
        <f t="shared" ca="1" si="170"/>
        <v>#N/A</v>
      </c>
      <c r="AD388" s="323" t="e">
        <f t="shared" ca="1" si="171"/>
        <v>#N/A</v>
      </c>
      <c r="AE388" s="324">
        <f t="shared" ref="AE388:AE451" ca="1" si="179">IF(t&lt;T_para, pos_z, NA())</f>
        <v>464.57728840008843</v>
      </c>
      <c r="AG388" s="306">
        <f t="shared" ca="1" si="172"/>
        <v>-23.353267799027197</v>
      </c>
      <c r="AH388" s="304">
        <f t="shared" ca="1" si="173"/>
        <v>-13.615285775190285</v>
      </c>
    </row>
    <row r="389" spans="1:34" x14ac:dyDescent="0.2">
      <c r="A389" s="347">
        <f t="shared" ref="A389:A452" ca="1" si="180">IF(B388+0.01&lt;=T_ini+ROUNDUP(Temps_fin_propu,0), 0.01, IF(K388&gt;0, 0.1, 0.0001))</f>
        <v>0.01</v>
      </c>
      <c r="B389" s="304">
        <f t="shared" ref="B389:B452" ca="1" si="181">B388+pas</f>
        <v>3.8499999999999619</v>
      </c>
      <c r="D389" s="306">
        <f t="shared" ref="D389:D452" ca="1" si="182">IF(AND(L388&lt;L_rampe,Poussee&lt;Poids*SIN(M388)),0,(-W388+Poussee)/m*COS(M388)-U388/m*SIN(M388))</f>
        <v>-1.6429816555953556</v>
      </c>
      <c r="E389" s="307">
        <f t="shared" ref="E389:E452" ca="1" si="183">IF(AND(L388&lt;L_rampe,Poussee&lt;Poids*SIN(M388)),0,(-W388+Poussee)/m*SIN(M388)+U388/m*COS(M388)-Poids/m)</f>
        <v>-23.286709066253607</v>
      </c>
      <c r="F389" s="304">
        <f t="shared" ref="F389:F452" ca="1" si="184">SQRT(acc_x^2+acc_z^2)</f>
        <v>23.344596973538884</v>
      </c>
      <c r="G389" s="306">
        <f t="shared" ref="G389:G452" ca="1" si="185">G388+acc_x*pas</f>
        <v>21.056453862874818</v>
      </c>
      <c r="H389" s="307">
        <f t="shared" ref="H389:H452" ca="1" si="186">H388+acc_z*pas</f>
        <v>172.61941130667842</v>
      </c>
      <c r="I389" s="304">
        <f t="shared" ref="I389:I452" ca="1" si="187">SQRT(vit_x^2+vit_z^2)</f>
        <v>173.89892296717537</v>
      </c>
      <c r="J389" s="306">
        <f t="shared" ref="J389:J452" ca="1" si="188">J388+0.5*(vit_x+G388)*pas*(K388&gt;=0)</f>
        <v>52.158394169987481</v>
      </c>
      <c r="K389" s="307">
        <f t="shared" ref="K389:K452" ca="1" si="189">K388+0.5*(vit_z+H388)*pas</f>
        <v>466.30464684860851</v>
      </c>
      <c r="L389" s="304">
        <f t="shared" ca="1" si="174"/>
        <v>469.21266154591063</v>
      </c>
      <c r="M389" s="306">
        <f t="shared" ref="M389:M452" ca="1" si="190">IF(AND(L388&gt;L_rampe,G389&gt;0),ATAN2(G389,H389),$M$4)</f>
        <v>1.4494140378218985</v>
      </c>
      <c r="N389" s="304">
        <f t="shared" ref="N389:N452" ca="1" si="191">DEGREES(Beta)</f>
        <v>83.045307134209864</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7.9789999999999939</v>
      </c>
      <c r="T389" s="304">
        <f t="shared" ca="1" si="175"/>
        <v>78.273989999999941</v>
      </c>
      <c r="U389" s="311">
        <f t="shared" ca="1" si="176"/>
        <v>0</v>
      </c>
      <c r="V389" s="306">
        <f t="shared" ca="1" si="177"/>
        <v>1.1691791566923144</v>
      </c>
      <c r="W389" s="304">
        <f t="shared" ca="1" si="178"/>
        <v>108.01826100562613</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f t="shared" ca="1" si="179"/>
        <v>466.30464684860851</v>
      </c>
      <c r="AG389" s="306">
        <f t="shared" ref="AG389:AG452" ca="1" si="201">IF(AND(L388&lt;L_rampe,Poussee&lt;Poids*SIN(M388)),0,(-W388+Poussee)/m-Poids*SIN(M388)/m)</f>
        <v>-23.314390979519001</v>
      </c>
      <c r="AH389" s="304">
        <f t="shared" ref="AH389:AH452" ca="1" si="202">IF(AND(L388&lt;L_rampe,Poussee&lt;Poids*SIN(M388)), g*SIN(M388), (-W388+Poussee)/m)</f>
        <v>-13.576489825321751</v>
      </c>
    </row>
    <row r="390" spans="1:34" x14ac:dyDescent="0.2">
      <c r="A390" s="347">
        <f t="shared" ca="1" si="180"/>
        <v>0.01</v>
      </c>
      <c r="B390" s="304">
        <f t="shared" ca="1" si="181"/>
        <v>3.8599999999999617</v>
      </c>
      <c r="D390" s="306">
        <f t="shared" ca="1" si="182"/>
        <v>-1.6392192934295204</v>
      </c>
      <c r="E390" s="307">
        <f t="shared" ca="1" si="183"/>
        <v>-23.248210976884813</v>
      </c>
      <c r="F390" s="304">
        <f t="shared" ca="1" si="184"/>
        <v>23.305929578493519</v>
      </c>
      <c r="G390" s="306">
        <f t="shared" ca="1" si="185"/>
        <v>21.040061669940524</v>
      </c>
      <c r="H390" s="307">
        <f t="shared" ca="1" si="186"/>
        <v>172.38692919690956</v>
      </c>
      <c r="I390" s="304">
        <f t="shared" ca="1" si="187"/>
        <v>173.66616697853158</v>
      </c>
      <c r="J390" s="306">
        <f t="shared" ca="1" si="188"/>
        <v>52.368876747651555</v>
      </c>
      <c r="K390" s="307">
        <f t="shared" ca="1" si="189"/>
        <v>468.02967855112644</v>
      </c>
      <c r="L390" s="304">
        <f t="shared" ca="1" si="174"/>
        <v>470.95039999609457</v>
      </c>
      <c r="M390" s="306">
        <f t="shared" ca="1" si="190"/>
        <v>1.4493456400224336</v>
      </c>
      <c r="N390" s="304">
        <f t="shared" ca="1" si="191"/>
        <v>83.041388228972536</v>
      </c>
      <c r="P390" s="310">
        <f t="shared" ca="1" si="192"/>
        <v>23</v>
      </c>
      <c r="Q390" s="304">
        <f t="shared" ca="1" si="193"/>
        <v>0</v>
      </c>
      <c r="R390" s="306">
        <f t="shared" ca="1" si="194"/>
        <v>0</v>
      </c>
      <c r="S390" s="307">
        <f t="shared" ca="1" si="195"/>
        <v>7.9789999999999939</v>
      </c>
      <c r="T390" s="304">
        <f t="shared" ca="1" si="175"/>
        <v>78.273989999999941</v>
      </c>
      <c r="U390" s="311">
        <f t="shared" ca="1" si="176"/>
        <v>0</v>
      </c>
      <c r="V390" s="306">
        <f t="shared" ca="1" si="177"/>
        <v>1.1689773768917346</v>
      </c>
      <c r="W390" s="304">
        <f t="shared" ca="1" si="178"/>
        <v>107.7107070358621</v>
      </c>
      <c r="Y390" s="314" t="str">
        <f t="shared" ca="1" si="196"/>
        <v/>
      </c>
      <c r="Z390" s="315" t="str">
        <f t="shared" ca="1" si="197"/>
        <v/>
      </c>
      <c r="AA390" s="316" t="str">
        <f t="shared" ca="1" si="198"/>
        <v/>
      </c>
      <c r="AC390" s="310" t="e">
        <f t="shared" ca="1" si="199"/>
        <v>#N/A</v>
      </c>
      <c r="AD390" s="323" t="e">
        <f t="shared" ca="1" si="200"/>
        <v>#N/A</v>
      </c>
      <c r="AE390" s="324">
        <f t="shared" ca="1" si="179"/>
        <v>468.02967855112644</v>
      </c>
      <c r="AG390" s="306">
        <f t="shared" ca="1" si="201"/>
        <v>-23.275639487143707</v>
      </c>
      <c r="AH390" s="304">
        <f t="shared" ca="1" si="202"/>
        <v>-13.537819401632563</v>
      </c>
    </row>
    <row r="391" spans="1:34" x14ac:dyDescent="0.2">
      <c r="A391" s="347">
        <f t="shared" ca="1" si="180"/>
        <v>0.01</v>
      </c>
      <c r="B391" s="304">
        <f t="shared" ca="1" si="181"/>
        <v>3.8699999999999615</v>
      </c>
      <c r="D391" s="306">
        <f t="shared" ca="1" si="182"/>
        <v>-1.6354685650453555</v>
      </c>
      <c r="E391" s="307">
        <f t="shared" ca="1" si="183"/>
        <v>-23.209837326952183</v>
      </c>
      <c r="F391" s="304">
        <f t="shared" ca="1" si="184"/>
        <v>23.267387179716472</v>
      </c>
      <c r="G391" s="306">
        <f t="shared" ca="1" si="185"/>
        <v>21.023706984290069</v>
      </c>
      <c r="H391" s="307">
        <f t="shared" ca="1" si="186"/>
        <v>172.15483082364005</v>
      </c>
      <c r="I391" s="304">
        <f t="shared" ca="1" si="187"/>
        <v>173.43379725785113</v>
      </c>
      <c r="J391" s="306">
        <f t="shared" ca="1" si="188"/>
        <v>52.579195590922708</v>
      </c>
      <c r="K391" s="307">
        <f t="shared" ca="1" si="189"/>
        <v>469.75238735122917</v>
      </c>
      <c r="L391" s="304">
        <f t="shared" ca="1" si="174"/>
        <v>472.68581238616395</v>
      </c>
      <c r="M391" s="306">
        <f t="shared" ca="1" si="190"/>
        <v>1.4492771121790855</v>
      </c>
      <c r="N391" s="304">
        <f t="shared" ca="1" si="191"/>
        <v>83.037461872769555</v>
      </c>
      <c r="P391" s="310">
        <f t="shared" ca="1" si="192"/>
        <v>23</v>
      </c>
      <c r="Q391" s="304">
        <f t="shared" ca="1" si="193"/>
        <v>0</v>
      </c>
      <c r="R391" s="306">
        <f t="shared" ca="1" si="194"/>
        <v>0</v>
      </c>
      <c r="S391" s="307">
        <f t="shared" ca="1" si="195"/>
        <v>7.9789999999999939</v>
      </c>
      <c r="T391" s="304">
        <f t="shared" ca="1" si="175"/>
        <v>78.273989999999941</v>
      </c>
      <c r="U391" s="311">
        <f t="shared" ca="1" si="176"/>
        <v>0</v>
      </c>
      <c r="V391" s="306">
        <f t="shared" ca="1" si="177"/>
        <v>1.1687759027450828</v>
      </c>
      <c r="W391" s="304">
        <f t="shared" ca="1" si="178"/>
        <v>107.40414619711076</v>
      </c>
      <c r="Y391" s="314" t="str">
        <f t="shared" ca="1" si="196"/>
        <v/>
      </c>
      <c r="Z391" s="315" t="str">
        <f t="shared" ca="1" si="197"/>
        <v/>
      </c>
      <c r="AA391" s="316" t="str">
        <f t="shared" ca="1" si="198"/>
        <v/>
      </c>
      <c r="AC391" s="310" t="e">
        <f t="shared" ca="1" si="199"/>
        <v>#N/A</v>
      </c>
      <c r="AD391" s="323" t="e">
        <f t="shared" ca="1" si="200"/>
        <v>#N/A</v>
      </c>
      <c r="AE391" s="324">
        <f t="shared" ca="1" si="179"/>
        <v>469.75238735122917</v>
      </c>
      <c r="AG391" s="306">
        <f t="shared" ca="1" si="201"/>
        <v>-23.237012790866515</v>
      </c>
      <c r="AH391" s="304">
        <f t="shared" ca="1" si="202"/>
        <v>-13.499273973663639</v>
      </c>
    </row>
    <row r="392" spans="1:34" x14ac:dyDescent="0.2">
      <c r="A392" s="347">
        <f t="shared" ca="1" si="180"/>
        <v>0.01</v>
      </c>
      <c r="B392" s="304">
        <f t="shared" ca="1" si="181"/>
        <v>3.8799999999999613</v>
      </c>
      <c r="D392" s="306">
        <f t="shared" ca="1" si="182"/>
        <v>-1.6317294206502768</v>
      </c>
      <c r="E392" s="307">
        <f t="shared" ca="1" si="183"/>
        <v>-23.171587591185229</v>
      </c>
      <c r="F392" s="304">
        <f t="shared" ca="1" si="184"/>
        <v>23.228969249585418</v>
      </c>
      <c r="G392" s="306">
        <f t="shared" ca="1" si="185"/>
        <v>21.007389690083567</v>
      </c>
      <c r="H392" s="307">
        <f t="shared" ca="1" si="186"/>
        <v>171.92311494772821</v>
      </c>
      <c r="I392" s="304">
        <f t="shared" ca="1" si="187"/>
        <v>173.20181256245789</v>
      </c>
      <c r="J392" s="306">
        <f t="shared" ca="1" si="188"/>
        <v>52.789351074294579</v>
      </c>
      <c r="K392" s="307">
        <f t="shared" ca="1" si="189"/>
        <v>471.47277708008602</v>
      </c>
      <c r="L392" s="304">
        <f t="shared" ca="1" si="174"/>
        <v>474.41890256866202</v>
      </c>
      <c r="M392" s="306">
        <f t="shared" ca="1" si="190"/>
        <v>1.4492084540227514</v>
      </c>
      <c r="N392" s="304">
        <f t="shared" ca="1" si="191"/>
        <v>83.033528050182468</v>
      </c>
      <c r="P392" s="310">
        <f t="shared" ca="1" si="192"/>
        <v>23</v>
      </c>
      <c r="Q392" s="304">
        <f t="shared" ca="1" si="193"/>
        <v>0</v>
      </c>
      <c r="R392" s="306">
        <f t="shared" ca="1" si="194"/>
        <v>0</v>
      </c>
      <c r="S392" s="307">
        <f t="shared" ca="1" si="195"/>
        <v>7.9789999999999939</v>
      </c>
      <c r="T392" s="304">
        <f t="shared" ca="1" si="175"/>
        <v>78.273989999999941</v>
      </c>
      <c r="U392" s="311">
        <f t="shared" ca="1" si="176"/>
        <v>0</v>
      </c>
      <c r="V392" s="306">
        <f t="shared" ca="1" si="177"/>
        <v>1.1685747336586612</v>
      </c>
      <c r="W392" s="304">
        <f t="shared" ca="1" si="178"/>
        <v>107.09857430208028</v>
      </c>
      <c r="Y392" s="314" t="str">
        <f t="shared" ca="1" si="196"/>
        <v/>
      </c>
      <c r="Z392" s="315" t="str">
        <f t="shared" ca="1" si="197"/>
        <v/>
      </c>
      <c r="AA392" s="316" t="str">
        <f t="shared" ca="1" si="198"/>
        <v/>
      </c>
      <c r="AC392" s="310" t="e">
        <f t="shared" ca="1" si="199"/>
        <v>#N/A</v>
      </c>
      <c r="AD392" s="323" t="e">
        <f t="shared" ca="1" si="200"/>
        <v>#N/A</v>
      </c>
      <c r="AE392" s="324">
        <f t="shared" ca="1" si="179"/>
        <v>471.47277708008602</v>
      </c>
      <c r="AG392" s="306">
        <f t="shared" ca="1" si="201"/>
        <v>-23.198510362494595</v>
      </c>
      <c r="AH392" s="304">
        <f t="shared" ca="1" si="202"/>
        <v>-13.460853013800081</v>
      </c>
    </row>
    <row r="393" spans="1:34" x14ac:dyDescent="0.2">
      <c r="A393" s="347">
        <f t="shared" ca="1" si="180"/>
        <v>0.01</v>
      </c>
      <c r="B393" s="304">
        <f t="shared" ca="1" si="181"/>
        <v>3.889999999999961</v>
      </c>
      <c r="D393" s="306">
        <f t="shared" ca="1" si="182"/>
        <v>-1.6280018107176386</v>
      </c>
      <c r="E393" s="307">
        <f t="shared" ca="1" si="183"/>
        <v>-23.133461247126746</v>
      </c>
      <c r="F393" s="304">
        <f t="shared" ca="1" si="184"/>
        <v>23.190675263303888</v>
      </c>
      <c r="G393" s="306">
        <f t="shared" ca="1" si="185"/>
        <v>20.991109671976389</v>
      </c>
      <c r="H393" s="307">
        <f t="shared" ca="1" si="186"/>
        <v>171.69178033525694</v>
      </c>
      <c r="I393" s="304">
        <f t="shared" ca="1" si="187"/>
        <v>172.97021165492936</v>
      </c>
      <c r="J393" s="306">
        <f t="shared" ca="1" si="188"/>
        <v>52.99934357110488</v>
      </c>
      <c r="K393" s="307">
        <f t="shared" ca="1" si="189"/>
        <v>473.19085155650095</v>
      </c>
      <c r="L393" s="304">
        <f t="shared" ca="1" si="174"/>
        <v>476.14967438373253</v>
      </c>
      <c r="M393" s="306">
        <f t="shared" ca="1" si="190"/>
        <v>1.449139665283474</v>
      </c>
      <c r="N393" s="304">
        <f t="shared" ca="1" si="191"/>
        <v>83.029586745743842</v>
      </c>
      <c r="P393" s="310">
        <f t="shared" ca="1" si="192"/>
        <v>23</v>
      </c>
      <c r="Q393" s="304">
        <f t="shared" ca="1" si="193"/>
        <v>0</v>
      </c>
      <c r="R393" s="306">
        <f t="shared" ca="1" si="194"/>
        <v>0</v>
      </c>
      <c r="S393" s="307">
        <f t="shared" ca="1" si="195"/>
        <v>7.9789999999999939</v>
      </c>
      <c r="T393" s="304">
        <f t="shared" ca="1" si="175"/>
        <v>78.273989999999941</v>
      </c>
      <c r="U393" s="311">
        <f t="shared" ca="1" si="176"/>
        <v>0</v>
      </c>
      <c r="V393" s="306">
        <f t="shared" ca="1" si="177"/>
        <v>1.1683738690407759</v>
      </c>
      <c r="W393" s="304">
        <f t="shared" ca="1" si="178"/>
        <v>106.79398718588122</v>
      </c>
      <c r="Y393" s="314" t="str">
        <f t="shared" ca="1" si="196"/>
        <v/>
      </c>
      <c r="Z393" s="315" t="str">
        <f t="shared" ca="1" si="197"/>
        <v/>
      </c>
      <c r="AA393" s="316" t="str">
        <f t="shared" ca="1" si="198"/>
        <v/>
      </c>
      <c r="AC393" s="310" t="e">
        <f t="shared" ca="1" si="199"/>
        <v>#N/A</v>
      </c>
      <c r="AD393" s="323" t="e">
        <f t="shared" ca="1" si="200"/>
        <v>#N/A</v>
      </c>
      <c r="AE393" s="324">
        <f t="shared" ca="1" si="179"/>
        <v>473.19085155650095</v>
      </c>
      <c r="AG393" s="306">
        <f t="shared" ca="1" si="201"/>
        <v>-23.160131676658761</v>
      </c>
      <c r="AH393" s="304">
        <f t="shared" ca="1" si="202"/>
        <v>-13.422555997252834</v>
      </c>
    </row>
    <row r="394" spans="1:34" x14ac:dyDescent="0.2">
      <c r="A394" s="347">
        <f t="shared" ca="1" si="180"/>
        <v>0.01</v>
      </c>
      <c r="B394" s="304">
        <f t="shared" ca="1" si="181"/>
        <v>3.8999999999999608</v>
      </c>
      <c r="D394" s="306">
        <f t="shared" ca="1" si="182"/>
        <v>-1.624285685985033</v>
      </c>
      <c r="E394" s="307">
        <f t="shared" ca="1" si="183"/>
        <v>-23.095457775114717</v>
      </c>
      <c r="F394" s="304">
        <f t="shared" ca="1" si="184"/>
        <v>23.152504698883071</v>
      </c>
      <c r="G394" s="306">
        <f t="shared" ca="1" si="185"/>
        <v>20.974866815116538</v>
      </c>
      <c r="H394" s="307">
        <f t="shared" ca="1" si="186"/>
        <v>171.4608257575058</v>
      </c>
      <c r="I394" s="304">
        <f t="shared" ca="1" si="187"/>
        <v>172.73899330306878</v>
      </c>
      <c r="J394" s="306">
        <f t="shared" ca="1" si="188"/>
        <v>53.209173453540345</v>
      </c>
      <c r="K394" s="307">
        <f t="shared" ca="1" si="189"/>
        <v>474.90661458696474</v>
      </c>
      <c r="L394" s="304">
        <f t="shared" ca="1" si="174"/>
        <v>477.87813165917186</v>
      </c>
      <c r="M394" s="306">
        <f t="shared" ca="1" si="190"/>
        <v>1.449070745690439</v>
      </c>
      <c r="N394" s="304">
        <f t="shared" ca="1" si="191"/>
        <v>83.025637943937184</v>
      </c>
      <c r="P394" s="310">
        <f t="shared" ca="1" si="192"/>
        <v>23</v>
      </c>
      <c r="Q394" s="304">
        <f t="shared" ca="1" si="193"/>
        <v>0</v>
      </c>
      <c r="R394" s="306">
        <f t="shared" ca="1" si="194"/>
        <v>0</v>
      </c>
      <c r="S394" s="307">
        <f t="shared" ca="1" si="195"/>
        <v>7.9789999999999939</v>
      </c>
      <c r="T394" s="304">
        <f t="shared" ca="1" si="175"/>
        <v>78.273989999999941</v>
      </c>
      <c r="U394" s="311">
        <f t="shared" ca="1" si="176"/>
        <v>0</v>
      </c>
      <c r="V394" s="306">
        <f t="shared" ca="1" si="177"/>
        <v>1.1681733083017269</v>
      </c>
      <c r="W394" s="304">
        <f t="shared" ca="1" si="178"/>
        <v>106.49038070588249</v>
      </c>
      <c r="Y394" s="314" t="str">
        <f t="shared" ca="1" si="196"/>
        <v/>
      </c>
      <c r="Z394" s="315" t="str">
        <f t="shared" ca="1" si="197"/>
        <v/>
      </c>
      <c r="AA394" s="316" t="str">
        <f t="shared" ca="1" si="198"/>
        <v/>
      </c>
      <c r="AC394" s="310" t="e">
        <f t="shared" ca="1" si="199"/>
        <v>#N/A</v>
      </c>
      <c r="AD394" s="323" t="e">
        <f t="shared" ca="1" si="200"/>
        <v>#N/A</v>
      </c>
      <c r="AE394" s="324">
        <f t="shared" ca="1" si="179"/>
        <v>474.90661458696474</v>
      </c>
      <c r="AG394" s="306">
        <f t="shared" ca="1" si="201"/>
        <v>-23.121876210795254</v>
      </c>
      <c r="AH394" s="304">
        <f t="shared" ca="1" si="202"/>
        <v>-13.384382402040519</v>
      </c>
    </row>
    <row r="395" spans="1:34" x14ac:dyDescent="0.2">
      <c r="A395" s="347">
        <f t="shared" ca="1" si="180"/>
        <v>0.01</v>
      </c>
      <c r="B395" s="304">
        <f t="shared" ca="1" si="181"/>
        <v>3.9099999999999606</v>
      </c>
      <c r="D395" s="306">
        <f t="shared" ca="1" si="182"/>
        <v>-1.6205809974525776</v>
      </c>
      <c r="E395" s="307">
        <f t="shared" ca="1" si="183"/>
        <v>-23.057576658264345</v>
      </c>
      <c r="F395" s="304">
        <f t="shared" ca="1" si="184"/>
        <v>23.114457037123781</v>
      </c>
      <c r="G395" s="306">
        <f t="shared" ca="1" si="185"/>
        <v>20.958661005142012</v>
      </c>
      <c r="H395" s="307">
        <f t="shared" ca="1" si="186"/>
        <v>171.23024999092317</v>
      </c>
      <c r="I395" s="304">
        <f t="shared" ca="1" si="187"/>
        <v>172.50815627987711</v>
      </c>
      <c r="J395" s="306">
        <f t="shared" ca="1" si="188"/>
        <v>53.418841092641635</v>
      </c>
      <c r="K395" s="307">
        <f t="shared" ca="1" si="189"/>
        <v>476.62006996570688</v>
      </c>
      <c r="L395" s="304">
        <f t="shared" ca="1" si="174"/>
        <v>479.60427821048074</v>
      </c>
      <c r="M395" s="306">
        <f t="shared" ca="1" si="190"/>
        <v>1.449001694971972</v>
      </c>
      <c r="N395" s="304">
        <f t="shared" ca="1" si="191"/>
        <v>83.021681629196678</v>
      </c>
      <c r="P395" s="310">
        <f t="shared" ca="1" si="192"/>
        <v>23</v>
      </c>
      <c r="Q395" s="304">
        <f t="shared" ca="1" si="193"/>
        <v>0</v>
      </c>
      <c r="R395" s="306">
        <f t="shared" ca="1" si="194"/>
        <v>0</v>
      </c>
      <c r="S395" s="307">
        <f t="shared" ca="1" si="195"/>
        <v>7.9789999999999939</v>
      </c>
      <c r="T395" s="304">
        <f t="shared" ca="1" si="175"/>
        <v>78.273989999999941</v>
      </c>
      <c r="U395" s="311">
        <f t="shared" ca="1" si="176"/>
        <v>0</v>
      </c>
      <c r="V395" s="306">
        <f t="shared" ca="1" si="177"/>
        <v>1.1679730508538007</v>
      </c>
      <c r="W395" s="304">
        <f t="shared" ca="1" si="178"/>
        <v>106.18775074156825</v>
      </c>
      <c r="Y395" s="314" t="str">
        <f t="shared" ca="1" si="196"/>
        <v/>
      </c>
      <c r="Z395" s="315" t="str">
        <f t="shared" ca="1" si="197"/>
        <v/>
      </c>
      <c r="AA395" s="316" t="str">
        <f t="shared" ca="1" si="198"/>
        <v/>
      </c>
      <c r="AC395" s="310" t="e">
        <f t="shared" ca="1" si="199"/>
        <v>#N/A</v>
      </c>
      <c r="AD395" s="323" t="e">
        <f t="shared" ca="1" si="200"/>
        <v>#N/A</v>
      </c>
      <c r="AE395" s="324">
        <f t="shared" ca="1" si="179"/>
        <v>476.62006996570688</v>
      </c>
      <c r="AG395" s="306">
        <f t="shared" ca="1" si="201"/>
        <v>-23.083743445127702</v>
      </c>
      <c r="AH395" s="304">
        <f t="shared" ca="1" si="202"/>
        <v>-13.346331708971372</v>
      </c>
    </row>
    <row r="396" spans="1:34" x14ac:dyDescent="0.2">
      <c r="A396" s="347">
        <f t="shared" ca="1" si="180"/>
        <v>0.01</v>
      </c>
      <c r="B396" s="304">
        <f t="shared" ca="1" si="181"/>
        <v>3.9199999999999604</v>
      </c>
      <c r="D396" s="306">
        <f t="shared" ca="1" si="182"/>
        <v>-1.616887696381228</v>
      </c>
      <c r="E396" s="307">
        <f t="shared" ca="1" si="183"/>
        <v>-23.019817382450185</v>
      </c>
      <c r="F396" s="304">
        <f t="shared" ca="1" si="184"/>
        <v>23.076531761598506</v>
      </c>
      <c r="G396" s="306">
        <f t="shared" ca="1" si="185"/>
        <v>20.942492128178198</v>
      </c>
      <c r="H396" s="307">
        <f t="shared" ca="1" si="186"/>
        <v>171.00005181709867</v>
      </c>
      <c r="I396" s="304">
        <f t="shared" ca="1" si="187"/>
        <v>172.27769936352539</v>
      </c>
      <c r="J396" s="306">
        <f t="shared" ca="1" si="188"/>
        <v>53.628346858308234</v>
      </c>
      <c r="K396" s="307">
        <f t="shared" ca="1" si="189"/>
        <v>478.331221474747</v>
      </c>
      <c r="L396" s="304">
        <f t="shared" ca="1" si="174"/>
        <v>481.32811784091575</v>
      </c>
      <c r="M396" s="306">
        <f t="shared" ca="1" si="190"/>
        <v>1.4489325128555341</v>
      </c>
      <c r="N396" s="304">
        <f t="shared" ca="1" si="191"/>
        <v>83.01771778590701</v>
      </c>
      <c r="P396" s="310">
        <f t="shared" ca="1" si="192"/>
        <v>23</v>
      </c>
      <c r="Q396" s="304">
        <f t="shared" ca="1" si="193"/>
        <v>0</v>
      </c>
      <c r="R396" s="306">
        <f t="shared" ca="1" si="194"/>
        <v>0</v>
      </c>
      <c r="S396" s="307">
        <f t="shared" ca="1" si="195"/>
        <v>7.9789999999999939</v>
      </c>
      <c r="T396" s="304">
        <f t="shared" ca="1" si="175"/>
        <v>78.273989999999941</v>
      </c>
      <c r="U396" s="311">
        <f t="shared" ca="1" si="176"/>
        <v>0</v>
      </c>
      <c r="V396" s="306">
        <f t="shared" ca="1" si="177"/>
        <v>1.1677730961112598</v>
      </c>
      <c r="W396" s="304">
        <f t="shared" ca="1" si="178"/>
        <v>105.88609319439618</v>
      </c>
      <c r="Y396" s="314" t="str">
        <f t="shared" ca="1" si="196"/>
        <v/>
      </c>
      <c r="Z396" s="315" t="str">
        <f t="shared" ca="1" si="197"/>
        <v/>
      </c>
      <c r="AA396" s="316" t="str">
        <f t="shared" ca="1" si="198"/>
        <v/>
      </c>
      <c r="AC396" s="310" t="e">
        <f t="shared" ca="1" si="199"/>
        <v>#N/A</v>
      </c>
      <c r="AD396" s="323" t="e">
        <f t="shared" ca="1" si="200"/>
        <v>#N/A</v>
      </c>
      <c r="AE396" s="324">
        <f t="shared" ca="1" si="179"/>
        <v>478.331221474747</v>
      </c>
      <c r="AG396" s="306">
        <f t="shared" ca="1" si="201"/>
        <v>-23.045732862649174</v>
      </c>
      <c r="AH396" s="304">
        <f t="shared" ca="1" si="202"/>
        <v>-13.308403401625307</v>
      </c>
    </row>
    <row r="397" spans="1:34" x14ac:dyDescent="0.2">
      <c r="A397" s="347">
        <f t="shared" ca="1" si="180"/>
        <v>0.01</v>
      </c>
      <c r="B397" s="304">
        <f t="shared" ca="1" si="181"/>
        <v>3.9299999999999602</v>
      </c>
      <c r="D397" s="306">
        <f t="shared" ca="1" si="182"/>
        <v>-1.613205734291119</v>
      </c>
      <c r="E397" s="307">
        <f t="shared" ca="1" si="183"/>
        <v>-22.982179436288472</v>
      </c>
      <c r="F397" s="304">
        <f t="shared" ca="1" si="184"/>
        <v>23.038728358633652</v>
      </c>
      <c r="G397" s="306">
        <f t="shared" ca="1" si="185"/>
        <v>20.926360070835287</v>
      </c>
      <c r="H397" s="307">
        <f t="shared" ca="1" si="186"/>
        <v>170.77023002273577</v>
      </c>
      <c r="I397" s="304">
        <f t="shared" ca="1" si="187"/>
        <v>172.04762133732723</v>
      </c>
      <c r="J397" s="306">
        <f t="shared" ca="1" si="188"/>
        <v>53.837691119303301</v>
      </c>
      <c r="K397" s="307">
        <f t="shared" ca="1" si="189"/>
        <v>480.04007288394615</v>
      </c>
      <c r="L397" s="304">
        <f t="shared" ca="1" si="174"/>
        <v>483.04965434154059</v>
      </c>
      <c r="M397" s="306">
        <f t="shared" ca="1" si="190"/>
        <v>1.4488631990677212</v>
      </c>
      <c r="N397" s="304">
        <f t="shared" ca="1" si="191"/>
        <v>83.013746398403256</v>
      </c>
      <c r="P397" s="310">
        <f t="shared" ca="1" si="192"/>
        <v>23</v>
      </c>
      <c r="Q397" s="304">
        <f t="shared" ca="1" si="193"/>
        <v>0</v>
      </c>
      <c r="R397" s="306">
        <f t="shared" ca="1" si="194"/>
        <v>0</v>
      </c>
      <c r="S397" s="307">
        <f t="shared" ca="1" si="195"/>
        <v>7.9789999999999939</v>
      </c>
      <c r="T397" s="304">
        <f t="shared" ca="1" si="175"/>
        <v>78.273989999999941</v>
      </c>
      <c r="U397" s="311">
        <f t="shared" ca="1" si="176"/>
        <v>0</v>
      </c>
      <c r="V397" s="306">
        <f t="shared" ca="1" si="177"/>
        <v>1.1675734434903355</v>
      </c>
      <c r="W397" s="304">
        <f t="shared" ca="1" si="178"/>
        <v>105.58540398765662</v>
      </c>
      <c r="Y397" s="314" t="str">
        <f t="shared" ca="1" si="196"/>
        <v/>
      </c>
      <c r="Z397" s="315" t="str">
        <f t="shared" ca="1" si="197"/>
        <v/>
      </c>
      <c r="AA397" s="316" t="str">
        <f t="shared" ca="1" si="198"/>
        <v/>
      </c>
      <c r="AC397" s="310" t="e">
        <f t="shared" ca="1" si="199"/>
        <v>#N/A</v>
      </c>
      <c r="AD397" s="323" t="e">
        <f t="shared" ca="1" si="200"/>
        <v>#N/A</v>
      </c>
      <c r="AE397" s="324">
        <f t="shared" ca="1" si="179"/>
        <v>480.04007288394615</v>
      </c>
      <c r="AG397" s="306">
        <f t="shared" ca="1" si="201"/>
        <v>-23.007843949104384</v>
      </c>
      <c r="AH397" s="304">
        <f t="shared" ca="1" si="202"/>
        <v>-13.270596966336166</v>
      </c>
    </row>
    <row r="398" spans="1:34" x14ac:dyDescent="0.2">
      <c r="A398" s="347">
        <f t="shared" ca="1" si="180"/>
        <v>0.01</v>
      </c>
      <c r="B398" s="304">
        <f t="shared" ca="1" si="181"/>
        <v>3.93999999999996</v>
      </c>
      <c r="D398" s="306">
        <f t="shared" ca="1" si="182"/>
        <v>-1.6095350629598779</v>
      </c>
      <c r="E398" s="307">
        <f t="shared" ca="1" si="183"/>
        <v>-22.944662311119536</v>
      </c>
      <c r="F398" s="304">
        <f t="shared" ca="1" si="184"/>
        <v>23.001046317291884</v>
      </c>
      <c r="G398" s="306">
        <f t="shared" ca="1" si="185"/>
        <v>20.910264720205689</v>
      </c>
      <c r="H398" s="307">
        <f t="shared" ca="1" si="186"/>
        <v>170.54078339962459</v>
      </c>
      <c r="I398" s="304">
        <f t="shared" ca="1" si="187"/>
        <v>171.81792098971152</v>
      </c>
      <c r="J398" s="306">
        <f t="shared" ca="1" si="188"/>
        <v>54.046874243258507</v>
      </c>
      <c r="K398" s="307">
        <f t="shared" ca="1" si="189"/>
        <v>481.74662795105797</v>
      </c>
      <c r="L398" s="304">
        <f t="shared" ca="1" si="174"/>
        <v>484.7688914912772</v>
      </c>
      <c r="M398" s="306">
        <f t="shared" ca="1" si="190"/>
        <v>1.4487937533342581</v>
      </c>
      <c r="N398" s="304">
        <f t="shared" ca="1" si="191"/>
        <v>83.009767450970628</v>
      </c>
      <c r="P398" s="310">
        <f t="shared" ca="1" si="192"/>
        <v>23</v>
      </c>
      <c r="Q398" s="304">
        <f t="shared" ca="1" si="193"/>
        <v>0</v>
      </c>
      <c r="R398" s="306">
        <f t="shared" ca="1" si="194"/>
        <v>0</v>
      </c>
      <c r="S398" s="307">
        <f t="shared" ca="1" si="195"/>
        <v>7.9789999999999939</v>
      </c>
      <c r="T398" s="304">
        <f t="shared" ca="1" si="175"/>
        <v>78.273989999999941</v>
      </c>
      <c r="U398" s="311">
        <f t="shared" ca="1" si="176"/>
        <v>0</v>
      </c>
      <c r="V398" s="306">
        <f t="shared" ca="1" si="177"/>
        <v>1.1673740924092193</v>
      </c>
      <c r="W398" s="304">
        <f t="shared" ca="1" si="178"/>
        <v>105.28567906633288</v>
      </c>
      <c r="Y398" s="314" t="str">
        <f t="shared" ca="1" si="196"/>
        <v/>
      </c>
      <c r="Z398" s="315" t="str">
        <f t="shared" ca="1" si="197"/>
        <v/>
      </c>
      <c r="AA398" s="316" t="str">
        <f t="shared" ca="1" si="198"/>
        <v/>
      </c>
      <c r="AC398" s="310" t="e">
        <f t="shared" ca="1" si="199"/>
        <v>#N/A</v>
      </c>
      <c r="AD398" s="323" t="e">
        <f t="shared" ca="1" si="200"/>
        <v>#N/A</v>
      </c>
      <c r="AE398" s="324">
        <f t="shared" ca="1" si="179"/>
        <v>481.74662795105797</v>
      </c>
      <c r="AG398" s="306">
        <f t="shared" ca="1" si="201"/>
        <v>-22.970076192972062</v>
      </c>
      <c r="AH398" s="304">
        <f t="shared" ca="1" si="202"/>
        <v>-13.232911892174045</v>
      </c>
    </row>
    <row r="399" spans="1:34" x14ac:dyDescent="0.2">
      <c r="A399" s="347">
        <f t="shared" ca="1" si="180"/>
        <v>0.01</v>
      </c>
      <c r="B399" s="304">
        <f t="shared" ca="1" si="181"/>
        <v>3.9499999999999598</v>
      </c>
      <c r="D399" s="306">
        <f t="shared" ca="1" si="182"/>
        <v>-1.6058756344210001</v>
      </c>
      <c r="E399" s="307">
        <f t="shared" ca="1" si="183"/>
        <v>-22.907265500990384</v>
      </c>
      <c r="F399" s="304">
        <f t="shared" ca="1" si="184"/>
        <v>22.96348512935463</v>
      </c>
      <c r="G399" s="306">
        <f t="shared" ca="1" si="185"/>
        <v>20.894205963861477</v>
      </c>
      <c r="H399" s="307">
        <f t="shared" ca="1" si="186"/>
        <v>170.31171074461469</v>
      </c>
      <c r="I399" s="304">
        <f t="shared" ca="1" si="187"/>
        <v>171.58859711419512</v>
      </c>
      <c r="J399" s="306">
        <f t="shared" ca="1" si="188"/>
        <v>54.255896596678845</v>
      </c>
      <c r="K399" s="307">
        <f t="shared" ca="1" si="189"/>
        <v>483.45089042177915</v>
      </c>
      <c r="L399" s="304">
        <f t="shared" ca="1" si="174"/>
        <v>486.48583305695615</v>
      </c>
      <c r="M399" s="306">
        <f t="shared" ca="1" si="190"/>
        <v>1.4487241753799978</v>
      </c>
      <c r="N399" s="304">
        <f t="shared" ca="1" si="191"/>
        <v>83.005780927844356</v>
      </c>
      <c r="P399" s="310">
        <f t="shared" ca="1" si="192"/>
        <v>23</v>
      </c>
      <c r="Q399" s="304">
        <f t="shared" ca="1" si="193"/>
        <v>0</v>
      </c>
      <c r="R399" s="306">
        <f t="shared" ca="1" si="194"/>
        <v>0</v>
      </c>
      <c r="S399" s="307">
        <f t="shared" ca="1" si="195"/>
        <v>7.9789999999999939</v>
      </c>
      <c r="T399" s="304">
        <f t="shared" ca="1" si="175"/>
        <v>78.273989999999941</v>
      </c>
      <c r="U399" s="311">
        <f t="shared" ca="1" si="176"/>
        <v>0</v>
      </c>
      <c r="V399" s="306">
        <f t="shared" ca="1" si="177"/>
        <v>1.167175042288054</v>
      </c>
      <c r="W399" s="304">
        <f t="shared" ca="1" si="178"/>
        <v>104.98691439696229</v>
      </c>
      <c r="Y399" s="314" t="str">
        <f t="shared" ca="1" si="196"/>
        <v/>
      </c>
      <c r="Z399" s="315" t="str">
        <f t="shared" ca="1" si="197"/>
        <v/>
      </c>
      <c r="AA399" s="316" t="str">
        <f t="shared" ca="1" si="198"/>
        <v/>
      </c>
      <c r="AC399" s="310" t="e">
        <f t="shared" ca="1" si="199"/>
        <v>#N/A</v>
      </c>
      <c r="AD399" s="323" t="e">
        <f t="shared" ca="1" si="200"/>
        <v>#N/A</v>
      </c>
      <c r="AE399" s="324">
        <f t="shared" ca="1" si="179"/>
        <v>483.45089042177915</v>
      </c>
      <c r="AG399" s="306">
        <f t="shared" ca="1" si="201"/>
        <v>-22.932429085447406</v>
      </c>
      <c r="AH399" s="304">
        <f t="shared" ca="1" si="202"/>
        <v>-13.195347670927806</v>
      </c>
    </row>
    <row r="400" spans="1:34" x14ac:dyDescent="0.2">
      <c r="A400" s="347">
        <f t="shared" ca="1" si="180"/>
        <v>0.01</v>
      </c>
      <c r="B400" s="304">
        <f t="shared" ca="1" si="181"/>
        <v>3.9599999999999596</v>
      </c>
      <c r="D400" s="306">
        <f t="shared" ca="1" si="182"/>
        <v>-1.6022274009621842</v>
      </c>
      <c r="E400" s="307">
        <f t="shared" ca="1" si="183"/>
        <v>-22.869988502637344</v>
      </c>
      <c r="F400" s="304">
        <f t="shared" ca="1" si="184"/>
        <v>22.926044289304649</v>
      </c>
      <c r="G400" s="306">
        <f t="shared" ca="1" si="185"/>
        <v>20.878183689851856</v>
      </c>
      <c r="H400" s="307">
        <f t="shared" ca="1" si="186"/>
        <v>170.08301085958831</v>
      </c>
      <c r="I400" s="304">
        <f t="shared" ca="1" si="187"/>
        <v>171.35964850935599</v>
      </c>
      <c r="J400" s="306">
        <f t="shared" ca="1" si="188"/>
        <v>54.464758544947415</v>
      </c>
      <c r="K400" s="307">
        <f t="shared" ca="1" si="189"/>
        <v>485.15286402980018</v>
      </c>
      <c r="L400" s="304">
        <f t="shared" ca="1" si="174"/>
        <v>488.2004827933676</v>
      </c>
      <c r="M400" s="306">
        <f t="shared" ca="1" si="190"/>
        <v>1.4486544649289157</v>
      </c>
      <c r="N400" s="304">
        <f t="shared" ca="1" si="191"/>
        <v>83.001786813209407</v>
      </c>
      <c r="P400" s="310">
        <f t="shared" ca="1" si="192"/>
        <v>23</v>
      </c>
      <c r="Q400" s="304">
        <f t="shared" ca="1" si="193"/>
        <v>0</v>
      </c>
      <c r="R400" s="306">
        <f t="shared" ca="1" si="194"/>
        <v>0</v>
      </c>
      <c r="S400" s="307">
        <f t="shared" ca="1" si="195"/>
        <v>7.9789999999999939</v>
      </c>
      <c r="T400" s="304">
        <f t="shared" ca="1" si="175"/>
        <v>78.273989999999941</v>
      </c>
      <c r="U400" s="311">
        <f t="shared" ca="1" si="176"/>
        <v>0</v>
      </c>
      <c r="V400" s="306">
        <f t="shared" ca="1" si="177"/>
        <v>1.1669762925489255</v>
      </c>
      <c r="W400" s="304">
        <f t="shared" ca="1" si="178"/>
        <v>104.6891059674988</v>
      </c>
      <c r="Y400" s="314" t="str">
        <f t="shared" ca="1" si="196"/>
        <v/>
      </c>
      <c r="Z400" s="315" t="str">
        <f t="shared" ca="1" si="197"/>
        <v/>
      </c>
      <c r="AA400" s="316" t="str">
        <f t="shared" ca="1" si="198"/>
        <v/>
      </c>
      <c r="AC400" s="310" t="e">
        <f t="shared" ca="1" si="199"/>
        <v>#N/A</v>
      </c>
      <c r="AD400" s="323" t="e">
        <f t="shared" ca="1" si="200"/>
        <v>#N/A</v>
      </c>
      <c r="AE400" s="324">
        <f t="shared" ca="1" si="179"/>
        <v>485.15286402980018</v>
      </c>
      <c r="AG400" s="306">
        <f t="shared" ca="1" si="201"/>
        <v>-22.894902120424675</v>
      </c>
      <c r="AH400" s="304">
        <f t="shared" ca="1" si="202"/>
        <v>-13.157903797087652</v>
      </c>
    </row>
    <row r="401" spans="1:34" x14ac:dyDescent="0.2">
      <c r="A401" s="347">
        <f t="shared" ca="1" si="180"/>
        <v>0.01</v>
      </c>
      <c r="B401" s="304">
        <f t="shared" ca="1" si="181"/>
        <v>3.9699999999999593</v>
      </c>
      <c r="D401" s="306">
        <f t="shared" ca="1" si="182"/>
        <v>-1.5985903151237411</v>
      </c>
      <c r="E401" s="307">
        <f t="shared" ca="1" si="183"/>
        <v>-22.832830815468949</v>
      </c>
      <c r="F401" s="304">
        <f t="shared" ca="1" si="184"/>
        <v>22.888723294308836</v>
      </c>
      <c r="G401" s="306">
        <f t="shared" ca="1" si="185"/>
        <v>20.862197786700619</v>
      </c>
      <c r="H401" s="307">
        <f t="shared" ca="1" si="186"/>
        <v>169.85468255143363</v>
      </c>
      <c r="I401" s="304">
        <f t="shared" ca="1" si="187"/>
        <v>171.1310739788064</v>
      </c>
      <c r="J401" s="306">
        <f t="shared" ca="1" si="188"/>
        <v>54.673460452330175</v>
      </c>
      <c r="K401" s="307">
        <f t="shared" ca="1" si="189"/>
        <v>486.85255249685531</v>
      </c>
      <c r="L401" s="304">
        <f t="shared" ca="1" si="174"/>
        <v>489.91284444331092</v>
      </c>
      <c r="M401" s="306">
        <f t="shared" ca="1" si="190"/>
        <v>1.4485846217041092</v>
      </c>
      <c r="N401" s="304">
        <f t="shared" ca="1" si="191"/>
        <v>82.997785091200399</v>
      </c>
      <c r="P401" s="310">
        <f t="shared" ca="1" si="192"/>
        <v>23</v>
      </c>
      <c r="Q401" s="304">
        <f t="shared" ca="1" si="193"/>
        <v>0</v>
      </c>
      <c r="R401" s="306">
        <f t="shared" ca="1" si="194"/>
        <v>0</v>
      </c>
      <c r="S401" s="307">
        <f t="shared" ca="1" si="195"/>
        <v>7.9789999999999939</v>
      </c>
      <c r="T401" s="304">
        <f t="shared" ca="1" si="175"/>
        <v>78.273989999999941</v>
      </c>
      <c r="U401" s="311">
        <f t="shared" ca="1" si="176"/>
        <v>0</v>
      </c>
      <c r="V401" s="306">
        <f t="shared" ca="1" si="177"/>
        <v>1.1667778426158528</v>
      </c>
      <c r="W401" s="304">
        <f t="shared" ca="1" si="178"/>
        <v>104.3922497871762</v>
      </c>
      <c r="Y401" s="314" t="str">
        <f t="shared" ca="1" si="196"/>
        <v/>
      </c>
      <c r="Z401" s="315" t="str">
        <f t="shared" ca="1" si="197"/>
        <v/>
      </c>
      <c r="AA401" s="316" t="str">
        <f t="shared" ca="1" si="198"/>
        <v/>
      </c>
      <c r="AC401" s="310" t="e">
        <f t="shared" ca="1" si="199"/>
        <v>#N/A</v>
      </c>
      <c r="AD401" s="323" t="e">
        <f t="shared" ca="1" si="200"/>
        <v>#N/A</v>
      </c>
      <c r="AE401" s="324">
        <f t="shared" ca="1" si="179"/>
        <v>486.85255249685531</v>
      </c>
      <c r="AG401" s="306">
        <f t="shared" ca="1" si="201"/>
        <v>-22.857494794479955</v>
      </c>
      <c r="AH401" s="304">
        <f t="shared" ca="1" si="202"/>
        <v>-13.120579767827909</v>
      </c>
    </row>
    <row r="402" spans="1:34" x14ac:dyDescent="0.2">
      <c r="A402" s="347">
        <f t="shared" ca="1" si="180"/>
        <v>0.01</v>
      </c>
      <c r="B402" s="304">
        <f t="shared" ca="1" si="181"/>
        <v>3.9799999999999591</v>
      </c>
      <c r="D402" s="306">
        <f t="shared" ca="1" si="182"/>
        <v>-1.594964329696946</v>
      </c>
      <c r="E402" s="307">
        <f t="shared" ca="1" si="183"/>
        <v>-22.795791941548845</v>
      </c>
      <c r="F402" s="304">
        <f t="shared" ca="1" si="184"/>
        <v>22.851521644201046</v>
      </c>
      <c r="G402" s="306">
        <f t="shared" ca="1" si="185"/>
        <v>20.846248143403649</v>
      </c>
      <c r="H402" s="307">
        <f t="shared" ca="1" si="186"/>
        <v>169.62672463201812</v>
      </c>
      <c r="I402" s="304">
        <f t="shared" ca="1" si="187"/>
        <v>170.90287233116612</v>
      </c>
      <c r="J402" s="306">
        <f t="shared" ca="1" si="188"/>
        <v>54.882002681980694</v>
      </c>
      <c r="K402" s="307">
        <f t="shared" ca="1" si="189"/>
        <v>488.54995953277256</v>
      </c>
      <c r="L402" s="304">
        <f t="shared" ca="1" si="174"/>
        <v>491.62292173764502</v>
      </c>
      <c r="M402" s="306">
        <f t="shared" ca="1" si="190"/>
        <v>1.448514645427792</v>
      </c>
      <c r="N402" s="304">
        <f t="shared" ca="1" si="191"/>
        <v>82.993775745901388</v>
      </c>
      <c r="P402" s="310">
        <f t="shared" ca="1" si="192"/>
        <v>23</v>
      </c>
      <c r="Q402" s="304">
        <f t="shared" ca="1" si="193"/>
        <v>0</v>
      </c>
      <c r="R402" s="306">
        <f t="shared" ca="1" si="194"/>
        <v>0</v>
      </c>
      <c r="S402" s="307">
        <f t="shared" ca="1" si="195"/>
        <v>7.9789999999999939</v>
      </c>
      <c r="T402" s="304">
        <f t="shared" ca="1" si="175"/>
        <v>78.273989999999941</v>
      </c>
      <c r="U402" s="311">
        <f t="shared" ca="1" si="176"/>
        <v>0</v>
      </c>
      <c r="V402" s="306">
        <f t="shared" ca="1" si="177"/>
        <v>1.1665796919147819</v>
      </c>
      <c r="W402" s="304">
        <f t="shared" ca="1" si="178"/>
        <v>104.09634188637237</v>
      </c>
      <c r="Y402" s="314" t="str">
        <f t="shared" ca="1" si="196"/>
        <v/>
      </c>
      <c r="Z402" s="315" t="str">
        <f t="shared" ca="1" si="197"/>
        <v/>
      </c>
      <c r="AA402" s="316" t="str">
        <f t="shared" ca="1" si="198"/>
        <v/>
      </c>
      <c r="AC402" s="310" t="e">
        <f t="shared" ca="1" si="199"/>
        <v>#N/A</v>
      </c>
      <c r="AD402" s="323" t="e">
        <f t="shared" ca="1" si="200"/>
        <v>#N/A</v>
      </c>
      <c r="AE402" s="324">
        <f t="shared" ca="1" si="179"/>
        <v>488.54995953277256</v>
      </c>
      <c r="AG402" s="306">
        <f t="shared" ca="1" si="201"/>
        <v>-22.820206606853997</v>
      </c>
      <c r="AH402" s="304">
        <f t="shared" ca="1" si="202"/>
        <v>-13.083375082989884</v>
      </c>
    </row>
    <row r="403" spans="1:34" x14ac:dyDescent="0.2">
      <c r="A403" s="347">
        <f t="shared" ca="1" si="180"/>
        <v>0.01</v>
      </c>
      <c r="B403" s="304">
        <f t="shared" ca="1" si="181"/>
        <v>3.9899999999999589</v>
      </c>
      <c r="D403" s="306">
        <f t="shared" ca="1" si="182"/>
        <v>-1.5913493977224633</v>
      </c>
      <c r="E403" s="307">
        <f t="shared" ca="1" si="183"/>
        <v>-22.758871385578868</v>
      </c>
      <c r="F403" s="304">
        <f t="shared" ca="1" si="184"/>
        <v>22.814438841465119</v>
      </c>
      <c r="G403" s="306">
        <f t="shared" ca="1" si="185"/>
        <v>20.830334649426426</v>
      </c>
      <c r="H403" s="307">
        <f t="shared" ca="1" si="186"/>
        <v>169.39913591816233</v>
      </c>
      <c r="I403" s="304">
        <f t="shared" ca="1" si="187"/>
        <v>170.67504238003613</v>
      </c>
      <c r="J403" s="306">
        <f t="shared" ca="1" si="188"/>
        <v>55.090385595944845</v>
      </c>
      <c r="K403" s="307">
        <f t="shared" ca="1" si="189"/>
        <v>490.24508883552346</v>
      </c>
      <c r="L403" s="304">
        <f t="shared" ca="1" si="174"/>
        <v>493.3307183953379</v>
      </c>
      <c r="M403" s="306">
        <f t="shared" ca="1" si="190"/>
        <v>1.4484445358212927</v>
      </c>
      <c r="N403" s="304">
        <f t="shared" ca="1" si="191"/>
        <v>82.989758761345655</v>
      </c>
      <c r="P403" s="310">
        <f t="shared" ca="1" si="192"/>
        <v>23</v>
      </c>
      <c r="Q403" s="304">
        <f t="shared" ca="1" si="193"/>
        <v>0</v>
      </c>
      <c r="R403" s="306">
        <f t="shared" ca="1" si="194"/>
        <v>0</v>
      </c>
      <c r="S403" s="307">
        <f t="shared" ca="1" si="195"/>
        <v>7.9789999999999939</v>
      </c>
      <c r="T403" s="304">
        <f t="shared" ca="1" si="175"/>
        <v>78.273989999999941</v>
      </c>
      <c r="U403" s="311">
        <f t="shared" ca="1" si="176"/>
        <v>0</v>
      </c>
      <c r="V403" s="306">
        <f t="shared" ca="1" si="177"/>
        <v>1.1663818398735761</v>
      </c>
      <c r="W403" s="304">
        <f t="shared" ca="1" si="178"/>
        <v>103.80137831647497</v>
      </c>
      <c r="Y403" s="314" t="str">
        <f t="shared" ca="1" si="196"/>
        <v/>
      </c>
      <c r="Z403" s="315" t="str">
        <f t="shared" ca="1" si="197"/>
        <v/>
      </c>
      <c r="AA403" s="316" t="str">
        <f t="shared" ca="1" si="198"/>
        <v/>
      </c>
      <c r="AC403" s="310" t="e">
        <f t="shared" ca="1" si="199"/>
        <v>#N/A</v>
      </c>
      <c r="AD403" s="323" t="e">
        <f t="shared" ca="1" si="200"/>
        <v>#N/A</v>
      </c>
      <c r="AE403" s="324">
        <f t="shared" ca="1" si="179"/>
        <v>490.24508883552346</v>
      </c>
      <c r="AG403" s="306">
        <f t="shared" ca="1" si="201"/>
        <v>-22.783037059435209</v>
      </c>
      <c r="AH403" s="304">
        <f t="shared" ca="1" si="202"/>
        <v>-13.046289245064852</v>
      </c>
    </row>
    <row r="404" spans="1:34" x14ac:dyDescent="0.2">
      <c r="A404" s="347">
        <f t="shared" ca="1" si="180"/>
        <v>0.01</v>
      </c>
      <c r="B404" s="304">
        <f t="shared" ca="1" si="181"/>
        <v>3.9999999999999587</v>
      </c>
      <c r="D404" s="306">
        <f t="shared" ca="1" si="182"/>
        <v>-1.5877454724887401</v>
      </c>
      <c r="E404" s="307">
        <f t="shared" ca="1" si="183"/>
        <v>-22.722068654882278</v>
      </c>
      <c r="F404" s="304">
        <f t="shared" ca="1" si="184"/>
        <v>22.777474391218011</v>
      </c>
      <c r="G404" s="306">
        <f t="shared" ca="1" si="185"/>
        <v>20.814457194701539</v>
      </c>
      <c r="H404" s="307">
        <f t="shared" ca="1" si="186"/>
        <v>169.1719152316135</v>
      </c>
      <c r="I404" s="304">
        <f t="shared" ca="1" si="187"/>
        <v>170.44758294397221</v>
      </c>
      <c r="J404" s="306">
        <f t="shared" ca="1" si="188"/>
        <v>55.298609555165484</v>
      </c>
      <c r="K404" s="307">
        <f t="shared" ca="1" si="189"/>
        <v>491.93794409127236</v>
      </c>
      <c r="L404" s="304">
        <f t="shared" ca="1" si="174"/>
        <v>495.036238123516</v>
      </c>
      <c r="M404" s="306">
        <f t="shared" ca="1" si="190"/>
        <v>1.4483742926050502</v>
      </c>
      <c r="N404" s="304">
        <f t="shared" ca="1" si="191"/>
        <v>82.985734121515534</v>
      </c>
      <c r="P404" s="310">
        <f t="shared" ca="1" si="192"/>
        <v>23</v>
      </c>
      <c r="Q404" s="304">
        <f t="shared" ca="1" si="193"/>
        <v>0</v>
      </c>
      <c r="R404" s="306">
        <f t="shared" ca="1" si="194"/>
        <v>0</v>
      </c>
      <c r="S404" s="307">
        <f t="shared" ca="1" si="195"/>
        <v>7.9789999999999939</v>
      </c>
      <c r="T404" s="304">
        <f t="shared" ca="1" si="175"/>
        <v>78.273989999999941</v>
      </c>
      <c r="U404" s="311">
        <f t="shared" ca="1" si="176"/>
        <v>0</v>
      </c>
      <c r="V404" s="306">
        <f t="shared" ca="1" si="177"/>
        <v>1.1661842859220086</v>
      </c>
      <c r="W404" s="304">
        <f t="shared" ca="1" si="178"/>
        <v>103.50735514974754</v>
      </c>
      <c r="Y404" s="314" t="str">
        <f t="shared" ca="1" si="196"/>
        <v/>
      </c>
      <c r="Z404" s="315" t="str">
        <f t="shared" ca="1" si="197"/>
        <v/>
      </c>
      <c r="AA404" s="316" t="str">
        <f t="shared" ca="1" si="198"/>
        <v/>
      </c>
      <c r="AC404" s="310">
        <f t="shared" ca="1" si="199"/>
        <v>3.9999999999999587</v>
      </c>
      <c r="AD404" s="323">
        <f t="shared" ca="1" si="200"/>
        <v>55.298609555165484</v>
      </c>
      <c r="AE404" s="324">
        <f t="shared" ca="1" si="179"/>
        <v>491.93794409127236</v>
      </c>
      <c r="AG404" s="306">
        <f t="shared" ca="1" si="201"/>
        <v>-22.745985656742796</v>
      </c>
      <c r="AH404" s="304">
        <f t="shared" ca="1" si="202"/>
        <v>-13.009321759177221</v>
      </c>
    </row>
    <row r="405" spans="1:34" x14ac:dyDescent="0.2">
      <c r="A405" s="347">
        <f t="shared" ca="1" si="180"/>
        <v>0.1</v>
      </c>
      <c r="B405" s="304">
        <f t="shared" ca="1" si="181"/>
        <v>4.0999999999999588</v>
      </c>
      <c r="D405" s="306">
        <f t="shared" ca="1" si="182"/>
        <v>-1.5841525075304466</v>
      </c>
      <c r="E405" s="307">
        <f t="shared" ca="1" si="183"/>
        <v>-22.685383259387059</v>
      </c>
      <c r="F405" s="304">
        <f t="shared" ca="1" si="184"/>
        <v>22.740627801193035</v>
      </c>
      <c r="G405" s="306">
        <f t="shared" ca="1" si="185"/>
        <v>20.656041943948495</v>
      </c>
      <c r="H405" s="307">
        <f t="shared" ca="1" si="186"/>
        <v>166.9033769056748</v>
      </c>
      <c r="I405" s="304">
        <f t="shared" ca="1" si="187"/>
        <v>168.17672042024097</v>
      </c>
      <c r="J405" s="306">
        <f t="shared" ca="1" si="188"/>
        <v>57.372134512097986</v>
      </c>
      <c r="K405" s="307">
        <f t="shared" ca="1" si="189"/>
        <v>508.74170869813679</v>
      </c>
      <c r="L405" s="304">
        <f t="shared" ca="1" si="174"/>
        <v>511.96649107883434</v>
      </c>
      <c r="M405" s="306">
        <f t="shared" ca="1" si="190"/>
        <v>1.447661968882934</v>
      </c>
      <c r="N405" s="304">
        <f t="shared" ca="1" si="191"/>
        <v>82.944920978591227</v>
      </c>
      <c r="P405" s="310">
        <f t="shared" ca="1" si="192"/>
        <v>23</v>
      </c>
      <c r="Q405" s="304">
        <f t="shared" ca="1" si="193"/>
        <v>0</v>
      </c>
      <c r="R405" s="306">
        <f t="shared" ca="1" si="194"/>
        <v>0</v>
      </c>
      <c r="S405" s="307">
        <f t="shared" ca="1" si="195"/>
        <v>7.9789999999999939</v>
      </c>
      <c r="T405" s="304">
        <f t="shared" ca="1" si="175"/>
        <v>78.273989999999941</v>
      </c>
      <c r="U405" s="311">
        <f t="shared" ca="1" si="176"/>
        <v>0</v>
      </c>
      <c r="V405" s="306">
        <f t="shared" ca="1" si="177"/>
        <v>1.164225077578416</v>
      </c>
      <c r="W405" s="304">
        <f t="shared" ca="1" si="178"/>
        <v>100.59839236398359</v>
      </c>
      <c r="Y405" s="314" t="str">
        <f t="shared" ca="1" si="196"/>
        <v/>
      </c>
      <c r="Z405" s="315" t="str">
        <f t="shared" ca="1" si="197"/>
        <v/>
      </c>
      <c r="AA405" s="316" t="str">
        <f t="shared" ca="1" si="198"/>
        <v/>
      </c>
      <c r="AC405" s="310" t="e">
        <f t="shared" ca="1" si="199"/>
        <v>#N/A</v>
      </c>
      <c r="AD405" s="323" t="e">
        <f t="shared" ca="1" si="200"/>
        <v>#N/A</v>
      </c>
      <c r="AE405" s="324">
        <f t="shared" ca="1" si="179"/>
        <v>508.74170869813679</v>
      </c>
      <c r="AG405" s="306">
        <f t="shared" ca="1" si="201"/>
        <v>-22.709051905909988</v>
      </c>
      <c r="AH405" s="304">
        <f t="shared" ca="1" si="202"/>
        <v>-12.972472133067756</v>
      </c>
    </row>
    <row r="406" spans="1:34" x14ac:dyDescent="0.2">
      <c r="A406" s="347">
        <f t="shared" ca="1" si="180"/>
        <v>0.1</v>
      </c>
      <c r="B406" s="304">
        <f t="shared" ca="1" si="181"/>
        <v>4.1999999999999584</v>
      </c>
      <c r="D406" s="306">
        <f t="shared" ca="1" si="182"/>
        <v>-1.5485449028148008</v>
      </c>
      <c r="E406" s="307">
        <f t="shared" ca="1" si="183"/>
        <v>-22.322434583121051</v>
      </c>
      <c r="F406" s="304">
        <f t="shared" ca="1" si="184"/>
        <v>22.376082700815896</v>
      </c>
      <c r="G406" s="306">
        <f t="shared" ca="1" si="185"/>
        <v>20.501187453667015</v>
      </c>
      <c r="H406" s="307">
        <f t="shared" ca="1" si="186"/>
        <v>164.67113344736271</v>
      </c>
      <c r="I406" s="304">
        <f t="shared" ca="1" si="187"/>
        <v>165.94240229022097</v>
      </c>
      <c r="J406" s="306">
        <f t="shared" ca="1" si="188"/>
        <v>59.429995981978763</v>
      </c>
      <c r="K406" s="307">
        <f t="shared" ca="1" si="189"/>
        <v>525.32043421578862</v>
      </c>
      <c r="L406" s="304">
        <f t="shared" ca="1" si="174"/>
        <v>528.67143201338456</v>
      </c>
      <c r="M406" s="306">
        <f t="shared" ca="1" si="190"/>
        <v>1.4469358747955898</v>
      </c>
      <c r="N406" s="304">
        <f t="shared" ca="1" si="191"/>
        <v>82.903318851857009</v>
      </c>
      <c r="P406" s="310">
        <f t="shared" ca="1" si="192"/>
        <v>23</v>
      </c>
      <c r="Q406" s="304">
        <f t="shared" ca="1" si="193"/>
        <v>0</v>
      </c>
      <c r="R406" s="306">
        <f t="shared" ca="1" si="194"/>
        <v>0</v>
      </c>
      <c r="S406" s="307">
        <f t="shared" ca="1" si="195"/>
        <v>7.9789999999999939</v>
      </c>
      <c r="T406" s="304">
        <f t="shared" ca="1" si="175"/>
        <v>78.273989999999941</v>
      </c>
      <c r="U406" s="311">
        <f t="shared" ca="1" si="176"/>
        <v>0</v>
      </c>
      <c r="V406" s="306">
        <f t="shared" ca="1" si="177"/>
        <v>1.1622952511044269</v>
      </c>
      <c r="W406" s="304">
        <f t="shared" ca="1" si="178"/>
        <v>97.780789962446491</v>
      </c>
      <c r="Y406" s="314" t="str">
        <f t="shared" ca="1" si="196"/>
        <v/>
      </c>
      <c r="Z406" s="315" t="str">
        <f t="shared" ca="1" si="197"/>
        <v/>
      </c>
      <c r="AA406" s="316" t="str">
        <f t="shared" ca="1" si="198"/>
        <v/>
      </c>
      <c r="AC406" s="310" t="e">
        <f t="shared" ca="1" si="199"/>
        <v>#N/A</v>
      </c>
      <c r="AD406" s="323" t="e">
        <f t="shared" ca="1" si="200"/>
        <v>#N/A</v>
      </c>
      <c r="AE406" s="324">
        <f t="shared" ca="1" si="179"/>
        <v>525.32043421578862</v>
      </c>
      <c r="AG406" s="306">
        <f t="shared" ca="1" si="201"/>
        <v>-22.343618734827558</v>
      </c>
      <c r="AH406" s="304">
        <f t="shared" ca="1" si="202"/>
        <v>-12.607894769267284</v>
      </c>
    </row>
    <row r="407" spans="1:34" x14ac:dyDescent="0.2">
      <c r="A407" s="347">
        <f t="shared" ca="1" si="180"/>
        <v>0.1</v>
      </c>
      <c r="B407" s="304">
        <f t="shared" ca="1" si="181"/>
        <v>4.2999999999999581</v>
      </c>
      <c r="D407" s="306">
        <f t="shared" ca="1" si="182"/>
        <v>-1.5140029459415978</v>
      </c>
      <c r="E407" s="307">
        <f t="shared" ca="1" si="183"/>
        <v>-21.970884910413087</v>
      </c>
      <c r="F407" s="304">
        <f t="shared" ca="1" si="184"/>
        <v>22.02298773252479</v>
      </c>
      <c r="G407" s="306">
        <f t="shared" ca="1" si="185"/>
        <v>20.349787159072854</v>
      </c>
      <c r="H407" s="307">
        <f t="shared" ca="1" si="186"/>
        <v>162.47404495632139</v>
      </c>
      <c r="I407" s="304">
        <f t="shared" ca="1" si="187"/>
        <v>163.74348573878692</v>
      </c>
      <c r="J407" s="306">
        <f t="shared" ca="1" si="188"/>
        <v>61.472544712615758</v>
      </c>
      <c r="K407" s="307">
        <f t="shared" ca="1" si="189"/>
        <v>541.67769313597285</v>
      </c>
      <c r="L407" s="304">
        <f t="shared" ca="1" si="174"/>
        <v>545.15465419874545</v>
      </c>
      <c r="M407" s="306">
        <f t="shared" ca="1" si="190"/>
        <v>1.4461957130089309</v>
      </c>
      <c r="N407" s="304">
        <f t="shared" ca="1" si="191"/>
        <v>82.860910705324585</v>
      </c>
      <c r="P407" s="310">
        <f t="shared" ca="1" si="192"/>
        <v>23</v>
      </c>
      <c r="Q407" s="304">
        <f t="shared" ca="1" si="193"/>
        <v>0</v>
      </c>
      <c r="R407" s="306">
        <f t="shared" ca="1" si="194"/>
        <v>0</v>
      </c>
      <c r="S407" s="307">
        <f t="shared" ca="1" si="195"/>
        <v>7.9789999999999939</v>
      </c>
      <c r="T407" s="304">
        <f t="shared" ca="1" si="175"/>
        <v>78.273989999999941</v>
      </c>
      <c r="U407" s="311">
        <f t="shared" ca="1" si="176"/>
        <v>0</v>
      </c>
      <c r="V407" s="306">
        <f t="shared" ca="1" si="177"/>
        <v>1.1603942570802483</v>
      </c>
      <c r="W407" s="304">
        <f t="shared" ca="1" si="178"/>
        <v>95.050841425461329</v>
      </c>
      <c r="Y407" s="314" t="str">
        <f t="shared" ca="1" si="196"/>
        <v/>
      </c>
      <c r="Z407" s="315" t="str">
        <f t="shared" ca="1" si="197"/>
        <v/>
      </c>
      <c r="AA407" s="316" t="str">
        <f t="shared" ca="1" si="198"/>
        <v/>
      </c>
      <c r="AC407" s="310" t="e">
        <f t="shared" ca="1" si="199"/>
        <v>#N/A</v>
      </c>
      <c r="AD407" s="323" t="e">
        <f t="shared" ca="1" si="200"/>
        <v>#N/A</v>
      </c>
      <c r="AE407" s="324">
        <f t="shared" ca="1" si="179"/>
        <v>541.67769313597285</v>
      </c>
      <c r="AG407" s="306">
        <f t="shared" ca="1" si="201"/>
        <v>-21.989614040042561</v>
      </c>
      <c r="AH407" s="304">
        <f t="shared" ca="1" si="202"/>
        <v>-12.254767510019622</v>
      </c>
    </row>
    <row r="408" spans="1:34" x14ac:dyDescent="0.2">
      <c r="A408" s="347">
        <f t="shared" ca="1" si="180"/>
        <v>0.1</v>
      </c>
      <c r="B408" s="304">
        <f t="shared" ca="1" si="181"/>
        <v>4.3999999999999577</v>
      </c>
      <c r="D408" s="306">
        <f t="shared" ca="1" si="182"/>
        <v>-1.480482712753459</v>
      </c>
      <c r="E408" s="307">
        <f t="shared" ca="1" si="183"/>
        <v>-21.630271777226845</v>
      </c>
      <c r="F408" s="304">
        <f t="shared" ca="1" si="184"/>
        <v>21.680878354426927</v>
      </c>
      <c r="G408" s="306">
        <f t="shared" ca="1" si="185"/>
        <v>20.201738887797507</v>
      </c>
      <c r="H408" s="307">
        <f t="shared" ca="1" si="186"/>
        <v>160.31101777859871</v>
      </c>
      <c r="I408" s="304">
        <f t="shared" ca="1" si="187"/>
        <v>161.57887447095595</v>
      </c>
      <c r="J408" s="306">
        <f t="shared" ca="1" si="188"/>
        <v>63.500121014959277</v>
      </c>
      <c r="K408" s="307">
        <f t="shared" ca="1" si="189"/>
        <v>557.81694627271884</v>
      </c>
      <c r="L408" s="304">
        <f t="shared" ca="1" si="174"/>
        <v>561.41963887802831</v>
      </c>
      <c r="M408" s="306">
        <f t="shared" ca="1" si="190"/>
        <v>1.4454411764104069</v>
      </c>
      <c r="N408" s="304">
        <f t="shared" ca="1" si="191"/>
        <v>82.817678942741011</v>
      </c>
      <c r="P408" s="310">
        <f t="shared" ca="1" si="192"/>
        <v>23</v>
      </c>
      <c r="Q408" s="304">
        <f t="shared" ca="1" si="193"/>
        <v>0</v>
      </c>
      <c r="R408" s="306">
        <f t="shared" ca="1" si="194"/>
        <v>0</v>
      </c>
      <c r="S408" s="307">
        <f t="shared" ca="1" si="195"/>
        <v>7.9789999999999939</v>
      </c>
      <c r="T408" s="304">
        <f t="shared" ca="1" si="175"/>
        <v>78.273989999999941</v>
      </c>
      <c r="U408" s="311">
        <f t="shared" ca="1" si="176"/>
        <v>0</v>
      </c>
      <c r="V408" s="306">
        <f t="shared" ca="1" si="177"/>
        <v>1.1585215639899962</v>
      </c>
      <c r="W408" s="304">
        <f t="shared" ca="1" si="178"/>
        <v>92.405029794899519</v>
      </c>
      <c r="Y408" s="314" t="str">
        <f t="shared" ca="1" si="196"/>
        <v/>
      </c>
      <c r="Z408" s="315" t="str">
        <f t="shared" ca="1" si="197"/>
        <v/>
      </c>
      <c r="AA408" s="316" t="str">
        <f t="shared" ca="1" si="198"/>
        <v/>
      </c>
      <c r="AC408" s="310" t="e">
        <f t="shared" ca="1" si="199"/>
        <v>#N/A</v>
      </c>
      <c r="AD408" s="323" t="e">
        <f t="shared" ca="1" si="200"/>
        <v>#N/A</v>
      </c>
      <c r="AE408" s="324">
        <f t="shared" ca="1" si="179"/>
        <v>557.81694627271884</v>
      </c>
      <c r="AG408" s="306">
        <f t="shared" ca="1" si="201"/>
        <v>-21.646572633137858</v>
      </c>
      <c r="AH408" s="304">
        <f t="shared" ca="1" si="202"/>
        <v>-11.912625820962703</v>
      </c>
    </row>
    <row r="409" spans="1:34" x14ac:dyDescent="0.2">
      <c r="A409" s="347">
        <f t="shared" ca="1" si="180"/>
        <v>0.1</v>
      </c>
      <c r="B409" s="304">
        <f t="shared" ca="1" si="181"/>
        <v>4.4999999999999574</v>
      </c>
      <c r="D409" s="306">
        <f t="shared" ca="1" si="182"/>
        <v>-1.4479425182703576</v>
      </c>
      <c r="E409" s="307">
        <f t="shared" ca="1" si="183"/>
        <v>-21.300156371095198</v>
      </c>
      <c r="F409" s="304">
        <f t="shared" ca="1" si="184"/>
        <v>21.349313782164579</v>
      </c>
      <c r="G409" s="306">
        <f t="shared" ca="1" si="185"/>
        <v>20.056944635970471</v>
      </c>
      <c r="H409" s="307">
        <f t="shared" ca="1" si="186"/>
        <v>158.18100214148919</v>
      </c>
      <c r="I409" s="304">
        <f t="shared" ca="1" si="187"/>
        <v>159.44751633881347</v>
      </c>
      <c r="J409" s="306">
        <f t="shared" ca="1" si="188"/>
        <v>65.513055191147672</v>
      </c>
      <c r="K409" s="307">
        <f t="shared" ca="1" si="189"/>
        <v>573.74154726872325</v>
      </c>
      <c r="L409" s="304">
        <f t="shared" ca="1" si="174"/>
        <v>577.46975978209184</v>
      </c>
      <c r="M409" s="306">
        <f t="shared" ca="1" si="190"/>
        <v>1.4446719477336796</v>
      </c>
      <c r="N409" s="304">
        <f t="shared" ca="1" si="191"/>
        <v>82.7736053860841</v>
      </c>
      <c r="P409" s="310">
        <f t="shared" ca="1" si="192"/>
        <v>23</v>
      </c>
      <c r="Q409" s="304">
        <f t="shared" ca="1" si="193"/>
        <v>0</v>
      </c>
      <c r="R409" s="306">
        <f t="shared" ca="1" si="194"/>
        <v>0</v>
      </c>
      <c r="S409" s="307">
        <f t="shared" ca="1" si="195"/>
        <v>7.9789999999999939</v>
      </c>
      <c r="T409" s="304">
        <f t="shared" ca="1" si="175"/>
        <v>78.273989999999941</v>
      </c>
      <c r="U409" s="311">
        <f t="shared" ca="1" si="176"/>
        <v>0</v>
      </c>
      <c r="V409" s="306">
        <f t="shared" ca="1" si="177"/>
        <v>1.1566766574723992</v>
      </c>
      <c r="W409" s="304">
        <f t="shared" ca="1" si="178"/>
        <v>89.840016121914147</v>
      </c>
      <c r="Y409" s="314" t="str">
        <f t="shared" ca="1" si="196"/>
        <v/>
      </c>
      <c r="Z409" s="315" t="str">
        <f t="shared" ca="1" si="197"/>
        <v/>
      </c>
      <c r="AA409" s="316" t="str">
        <f t="shared" ca="1" si="198"/>
        <v/>
      </c>
      <c r="AC409" s="310" t="e">
        <f t="shared" ca="1" si="199"/>
        <v>#N/A</v>
      </c>
      <c r="AD409" s="323" t="e">
        <f t="shared" ca="1" si="200"/>
        <v>#N/A</v>
      </c>
      <c r="AE409" s="324">
        <f t="shared" ca="1" si="179"/>
        <v>573.74154726872325</v>
      </c>
      <c r="AG409" s="306">
        <f t="shared" ca="1" si="201"/>
        <v>-21.31405305704898</v>
      </c>
      <c r="AH409" s="304">
        <f t="shared" ca="1" si="202"/>
        <v>-11.581028925291339</v>
      </c>
    </row>
    <row r="410" spans="1:34" x14ac:dyDescent="0.2">
      <c r="A410" s="347">
        <f t="shared" ca="1" si="180"/>
        <v>0.1</v>
      </c>
      <c r="B410" s="304">
        <f t="shared" ca="1" si="181"/>
        <v>4.599999999999957</v>
      </c>
      <c r="D410" s="306">
        <f t="shared" ca="1" si="182"/>
        <v>-1.4163427800929917</v>
      </c>
      <c r="E410" s="307">
        <f t="shared" ca="1" si="183"/>
        <v>-20.980122089741315</v>
      </c>
      <c r="F410" s="304">
        <f t="shared" ca="1" si="184"/>
        <v>21.027875541080533</v>
      </c>
      <c r="G410" s="306">
        <f t="shared" ca="1" si="185"/>
        <v>19.915310357961172</v>
      </c>
      <c r="H410" s="307">
        <f t="shared" ca="1" si="186"/>
        <v>156.08298993251506</v>
      </c>
      <c r="I410" s="304">
        <f t="shared" ca="1" si="187"/>
        <v>157.34840111334947</v>
      </c>
      <c r="J410" s="306">
        <f t="shared" ca="1" si="188"/>
        <v>67.511667940844248</v>
      </c>
      <c r="K410" s="307">
        <f t="shared" ca="1" si="189"/>
        <v>589.45474687242347</v>
      </c>
      <c r="L410" s="304">
        <f t="shared" ca="1" si="174"/>
        <v>593.30828741775349</v>
      </c>
      <c r="M410" s="306">
        <f t="shared" ca="1" si="190"/>
        <v>1.4438876991652314</v>
      </c>
      <c r="N410" s="304">
        <f t="shared" ca="1" si="191"/>
        <v>82.728671253022839</v>
      </c>
      <c r="P410" s="310">
        <f t="shared" ca="1" si="192"/>
        <v>23</v>
      </c>
      <c r="Q410" s="304">
        <f t="shared" ca="1" si="193"/>
        <v>0</v>
      </c>
      <c r="R410" s="306">
        <f t="shared" ca="1" si="194"/>
        <v>0</v>
      </c>
      <c r="S410" s="307">
        <f t="shared" ca="1" si="195"/>
        <v>7.9789999999999939</v>
      </c>
      <c r="T410" s="304">
        <f t="shared" ca="1" si="175"/>
        <v>78.273989999999941</v>
      </c>
      <c r="U410" s="311">
        <f t="shared" ca="1" si="176"/>
        <v>0</v>
      </c>
      <c r="V410" s="306">
        <f t="shared" ca="1" si="177"/>
        <v>1.1548590396107112</v>
      </c>
      <c r="W410" s="304">
        <f t="shared" ca="1" si="178"/>
        <v>87.352628731765051</v>
      </c>
      <c r="Y410" s="314" t="str">
        <f t="shared" ca="1" si="196"/>
        <v/>
      </c>
      <c r="Z410" s="315" t="str">
        <f t="shared" ca="1" si="197"/>
        <v/>
      </c>
      <c r="AA410" s="316" t="str">
        <f t="shared" ca="1" si="198"/>
        <v/>
      </c>
      <c r="AC410" s="310" t="e">
        <f t="shared" ca="1" si="199"/>
        <v>#N/A</v>
      </c>
      <c r="AD410" s="323" t="e">
        <f t="shared" ca="1" si="200"/>
        <v>#N/A</v>
      </c>
      <c r="AE410" s="324">
        <f t="shared" ca="1" si="179"/>
        <v>589.45474687242347</v>
      </c>
      <c r="AG410" s="306">
        <f t="shared" ca="1" si="201"/>
        <v>-20.991636136995126</v>
      </c>
      <c r="AH410" s="304">
        <f t="shared" ca="1" si="202"/>
        <v>-11.259558355923577</v>
      </c>
    </row>
    <row r="411" spans="1:34" x14ac:dyDescent="0.2">
      <c r="A411" s="347">
        <f t="shared" ca="1" si="180"/>
        <v>0.1</v>
      </c>
      <c r="B411" s="304">
        <f t="shared" ca="1" si="181"/>
        <v>4.6999999999999567</v>
      </c>
      <c r="D411" s="306">
        <f t="shared" ca="1" si="182"/>
        <v>-1.3856458914670855</v>
      </c>
      <c r="E411" s="307">
        <f t="shared" ca="1" si="183"/>
        <v>-20.669773201647928</v>
      </c>
      <c r="F411" s="304">
        <f t="shared" ca="1" si="184"/>
        <v>20.716166120788433</v>
      </c>
      <c r="G411" s="306">
        <f t="shared" ca="1" si="185"/>
        <v>19.776745768814465</v>
      </c>
      <c r="H411" s="307">
        <f t="shared" ca="1" si="186"/>
        <v>154.01601261235027</v>
      </c>
      <c r="I411" s="304">
        <f t="shared" ca="1" si="187"/>
        <v>155.28055839097166</v>
      </c>
      <c r="J411" s="306">
        <f t="shared" ca="1" si="188"/>
        <v>69.496270747183033</v>
      </c>
      <c r="K411" s="307">
        <f t="shared" ca="1" si="189"/>
        <v>604.95969699966679</v>
      </c>
      <c r="L411" s="304">
        <f t="shared" ca="1" si="174"/>
        <v>608.93839314145271</v>
      </c>
      <c r="M411" s="306">
        <f t="shared" ca="1" si="190"/>
        <v>1.4430880919319167</v>
      </c>
      <c r="N411" s="304">
        <f t="shared" ca="1" si="191"/>
        <v>82.682857133285765</v>
      </c>
      <c r="P411" s="310">
        <f t="shared" ca="1" si="192"/>
        <v>23</v>
      </c>
      <c r="Q411" s="304">
        <f t="shared" ca="1" si="193"/>
        <v>0</v>
      </c>
      <c r="R411" s="306">
        <f t="shared" ca="1" si="194"/>
        <v>0</v>
      </c>
      <c r="S411" s="307">
        <f t="shared" ca="1" si="195"/>
        <v>7.9789999999999939</v>
      </c>
      <c r="T411" s="304">
        <f t="shared" ca="1" si="175"/>
        <v>78.273989999999941</v>
      </c>
      <c r="U411" s="311">
        <f t="shared" ca="1" si="176"/>
        <v>0</v>
      </c>
      <c r="V411" s="306">
        <f t="shared" ca="1" si="177"/>
        <v>1.1530682282593836</v>
      </c>
      <c r="W411" s="304">
        <f t="shared" ca="1" si="178"/>
        <v>84.939853240149858</v>
      </c>
      <c r="Y411" s="314" t="str">
        <f t="shared" ca="1" si="196"/>
        <v/>
      </c>
      <c r="Z411" s="315" t="str">
        <f t="shared" ca="1" si="197"/>
        <v/>
      </c>
      <c r="AA411" s="316" t="str">
        <f t="shared" ca="1" si="198"/>
        <v/>
      </c>
      <c r="AC411" s="310" t="e">
        <f t="shared" ca="1" si="199"/>
        <v>#N/A</v>
      </c>
      <c r="AD411" s="323" t="e">
        <f t="shared" ca="1" si="200"/>
        <v>#N/A</v>
      </c>
      <c r="AE411" s="324">
        <f t="shared" ca="1" si="179"/>
        <v>604.95969699966679</v>
      </c>
      <c r="AG411" s="306">
        <f t="shared" ca="1" si="201"/>
        <v>-20.678923633745978</v>
      </c>
      <c r="AH411" s="304">
        <f t="shared" ca="1" si="202"/>
        <v>-10.94781661007208</v>
      </c>
    </row>
    <row r="412" spans="1:34" x14ac:dyDescent="0.2">
      <c r="A412" s="347">
        <f t="shared" ca="1" si="180"/>
        <v>0.1</v>
      </c>
      <c r="B412" s="304">
        <f t="shared" ca="1" si="181"/>
        <v>4.7999999999999563</v>
      </c>
      <c r="D412" s="306">
        <f t="shared" ca="1" si="182"/>
        <v>-1.3558161032331788</v>
      </c>
      <c r="E412" s="307">
        <f t="shared" ca="1" si="183"/>
        <v>-20.368733600391852</v>
      </c>
      <c r="F412" s="304">
        <f t="shared" ca="1" si="184"/>
        <v>20.413807723928389</v>
      </c>
      <c r="G412" s="306">
        <f t="shared" ca="1" si="185"/>
        <v>19.641164158491147</v>
      </c>
      <c r="H412" s="307">
        <f t="shared" ca="1" si="186"/>
        <v>151.97913925231109</v>
      </c>
      <c r="I412" s="304">
        <f t="shared" ca="1" si="187"/>
        <v>153.24305562528488</v>
      </c>
      <c r="J412" s="306">
        <f t="shared" ca="1" si="188"/>
        <v>71.46716624354832</v>
      </c>
      <c r="K412" s="307">
        <f t="shared" ca="1" si="189"/>
        <v>620.25945459289983</v>
      </c>
      <c r="L412" s="304">
        <f t="shared" ca="1" si="174"/>
        <v>624.36315303096205</v>
      </c>
      <c r="M412" s="306">
        <f t="shared" ca="1" si="190"/>
        <v>1.4422727758683984</v>
      </c>
      <c r="N412" s="304">
        <f t="shared" ca="1" si="191"/>
        <v>82.636142963876949</v>
      </c>
      <c r="P412" s="310">
        <f t="shared" ca="1" si="192"/>
        <v>23</v>
      </c>
      <c r="Q412" s="304">
        <f t="shared" ca="1" si="193"/>
        <v>0</v>
      </c>
      <c r="R412" s="306">
        <f t="shared" ca="1" si="194"/>
        <v>0</v>
      </c>
      <c r="S412" s="307">
        <f t="shared" ca="1" si="195"/>
        <v>7.9789999999999939</v>
      </c>
      <c r="T412" s="304">
        <f t="shared" ca="1" si="175"/>
        <v>78.273989999999941</v>
      </c>
      <c r="U412" s="311">
        <f t="shared" ca="1" si="176"/>
        <v>0</v>
      </c>
      <c r="V412" s="306">
        <f t="shared" ca="1" si="177"/>
        <v>1.1513037564052513</v>
      </c>
      <c r="W412" s="304">
        <f t="shared" ca="1" si="178"/>
        <v>82.59882326133652</v>
      </c>
      <c r="Y412" s="314" t="str">
        <f t="shared" ca="1" si="196"/>
        <v/>
      </c>
      <c r="Z412" s="315" t="str">
        <f t="shared" ca="1" si="197"/>
        <v/>
      </c>
      <c r="AA412" s="316" t="str">
        <f t="shared" ca="1" si="198"/>
        <v/>
      </c>
      <c r="AC412" s="310" t="e">
        <f t="shared" ca="1" si="199"/>
        <v>#N/A</v>
      </c>
      <c r="AD412" s="323" t="e">
        <f t="shared" ca="1" si="200"/>
        <v>#N/A</v>
      </c>
      <c r="AE412" s="324">
        <f t="shared" ca="1" si="179"/>
        <v>620.25945459289983</v>
      </c>
      <c r="AG412" s="306">
        <f t="shared" ca="1" si="201"/>
        <v>-20.375536991000534</v>
      </c>
      <c r="AH412" s="304">
        <f t="shared" ca="1" si="202"/>
        <v>-10.645425898000994</v>
      </c>
    </row>
    <row r="413" spans="1:34" x14ac:dyDescent="0.2">
      <c r="A413" s="347">
        <f t="shared" ca="1" si="180"/>
        <v>0.1</v>
      </c>
      <c r="B413" s="304">
        <f t="shared" ca="1" si="181"/>
        <v>4.8999999999999559</v>
      </c>
      <c r="D413" s="306">
        <f t="shared" ca="1" si="182"/>
        <v>-1.3268194139559837</v>
      </c>
      <c r="E413" s="307">
        <f t="shared" ca="1" si="183"/>
        <v>-20.076645645294434</v>
      </c>
      <c r="F413" s="304">
        <f t="shared" ca="1" si="184"/>
        <v>20.120441101625243</v>
      </c>
      <c r="G413" s="306">
        <f t="shared" ca="1" si="185"/>
        <v>19.508482217095548</v>
      </c>
      <c r="H413" s="307">
        <f t="shared" ca="1" si="186"/>
        <v>149.97147468778164</v>
      </c>
      <c r="I413" s="304">
        <f t="shared" ca="1" si="187"/>
        <v>151.23499627547409</v>
      </c>
      <c r="J413" s="306">
        <f t="shared" ca="1" si="188"/>
        <v>73.424648562327661</v>
      </c>
      <c r="K413" s="307">
        <f t="shared" ca="1" si="189"/>
        <v>635.35698528990451</v>
      </c>
      <c r="L413" s="304">
        <f t="shared" ca="1" si="174"/>
        <v>639.58555156693251</v>
      </c>
      <c r="M413" s="306">
        <f t="shared" ca="1" si="190"/>
        <v>1.4414413889633462</v>
      </c>
      <c r="N413" s="304">
        <f t="shared" ca="1" si="191"/>
        <v>82.58850800307502</v>
      </c>
      <c r="P413" s="310">
        <f t="shared" ca="1" si="192"/>
        <v>23</v>
      </c>
      <c r="Q413" s="304">
        <f t="shared" ca="1" si="193"/>
        <v>0</v>
      </c>
      <c r="R413" s="306">
        <f t="shared" ca="1" si="194"/>
        <v>0</v>
      </c>
      <c r="S413" s="307">
        <f t="shared" ca="1" si="195"/>
        <v>7.9789999999999939</v>
      </c>
      <c r="T413" s="304">
        <f t="shared" ca="1" si="175"/>
        <v>78.273989999999941</v>
      </c>
      <c r="U413" s="311">
        <f t="shared" ca="1" si="176"/>
        <v>0</v>
      </c>
      <c r="V413" s="306">
        <f t="shared" ca="1" si="177"/>
        <v>1.1495651715611259</v>
      </c>
      <c r="W413" s="304">
        <f t="shared" ca="1" si="178"/>
        <v>80.326811753689682</v>
      </c>
      <c r="Y413" s="314" t="str">
        <f t="shared" ca="1" si="196"/>
        <v/>
      </c>
      <c r="Z413" s="315" t="str">
        <f t="shared" ca="1" si="197"/>
        <v/>
      </c>
      <c r="AA413" s="316" t="str">
        <f t="shared" ca="1" si="198"/>
        <v/>
      </c>
      <c r="AC413" s="310" t="e">
        <f t="shared" ca="1" si="199"/>
        <v>#N/A</v>
      </c>
      <c r="AD413" s="323" t="e">
        <f t="shared" ca="1" si="200"/>
        <v>#N/A</v>
      </c>
      <c r="AE413" s="324">
        <f t="shared" ca="1" si="179"/>
        <v>635.35698528990451</v>
      </c>
      <c r="AG413" s="306">
        <f t="shared" ca="1" si="201"/>
        <v>-20.081116169390327</v>
      </c>
      <c r="AH413" s="304">
        <f t="shared" ca="1" si="202"/>
        <v>-10.352026978485597</v>
      </c>
    </row>
    <row r="414" spans="1:34" x14ac:dyDescent="0.2">
      <c r="A414" s="347">
        <f t="shared" ca="1" si="180"/>
        <v>0.1</v>
      </c>
      <c r="B414" s="304">
        <f t="shared" ca="1" si="181"/>
        <v>4.9999999999999556</v>
      </c>
      <c r="D414" s="306">
        <f t="shared" ca="1" si="182"/>
        <v>-1.2986234675900585</v>
      </c>
      <c r="E414" s="307">
        <f t="shared" ca="1" si="183"/>
        <v>-19.793169081599494</v>
      </c>
      <c r="F414" s="304">
        <f t="shared" ca="1" si="184"/>
        <v>19.83572446883052</v>
      </c>
      <c r="G414" s="306">
        <f t="shared" ca="1" si="185"/>
        <v>19.378619870336543</v>
      </c>
      <c r="H414" s="307">
        <f t="shared" ca="1" si="186"/>
        <v>147.99215777962169</v>
      </c>
      <c r="I414" s="304">
        <f t="shared" ca="1" si="187"/>
        <v>149.25551806331131</v>
      </c>
      <c r="J414" s="306">
        <f t="shared" ca="1" si="188"/>
        <v>75.369003666699271</v>
      </c>
      <c r="K414" s="307">
        <f t="shared" ca="1" si="189"/>
        <v>650.25516691327471</v>
      </c>
      <c r="L414" s="304">
        <f t="shared" ca="1" si="174"/>
        <v>654.60848513529197</v>
      </c>
      <c r="M414" s="306">
        <f t="shared" ca="1" si="190"/>
        <v>1.4405935568832031</v>
      </c>
      <c r="N414" s="304">
        <f t="shared" ca="1" si="191"/>
        <v>82.53993080314703</v>
      </c>
      <c r="P414" s="310">
        <f t="shared" ca="1" si="192"/>
        <v>23</v>
      </c>
      <c r="Q414" s="304">
        <f t="shared" ca="1" si="193"/>
        <v>0</v>
      </c>
      <c r="R414" s="306">
        <f t="shared" ca="1" si="194"/>
        <v>0</v>
      </c>
      <c r="S414" s="307">
        <f t="shared" ca="1" si="195"/>
        <v>7.9789999999999939</v>
      </c>
      <c r="T414" s="304">
        <f t="shared" ca="1" si="175"/>
        <v>78.273989999999941</v>
      </c>
      <c r="U414" s="311">
        <f t="shared" ca="1" si="176"/>
        <v>0</v>
      </c>
      <c r="V414" s="306">
        <f t="shared" ca="1" si="177"/>
        <v>1.147852035189856</v>
      </c>
      <c r="W414" s="304">
        <f t="shared" ca="1" si="178"/>
        <v>78.121222952963024</v>
      </c>
      <c r="Y414" s="314" t="str">
        <f t="shared" ca="1" si="196"/>
        <v/>
      </c>
      <c r="Z414" s="315" t="str">
        <f t="shared" ca="1" si="197"/>
        <v/>
      </c>
      <c r="AA414" s="316" t="str">
        <f t="shared" ca="1" si="198"/>
        <v/>
      </c>
      <c r="AC414" s="310">
        <f t="shared" ca="1" si="199"/>
        <v>4.9999999999999556</v>
      </c>
      <c r="AD414" s="323">
        <f t="shared" ca="1" si="200"/>
        <v>75.369003666699271</v>
      </c>
      <c r="AE414" s="324">
        <f t="shared" ca="1" si="179"/>
        <v>650.25516691327471</v>
      </c>
      <c r="AG414" s="306">
        <f t="shared" ca="1" si="201"/>
        <v>-19.795318560283278</v>
      </c>
      <c r="AH414" s="304">
        <f t="shared" ca="1" si="202"/>
        <v>-10.067278074155878</v>
      </c>
    </row>
    <row r="415" spans="1:34" x14ac:dyDescent="0.2">
      <c r="A415" s="347">
        <f t="shared" ca="1" si="180"/>
        <v>0.1</v>
      </c>
      <c r="B415" s="304">
        <f t="shared" ca="1" si="181"/>
        <v>5.0999999999999552</v>
      </c>
      <c r="D415" s="306">
        <f t="shared" ca="1" si="182"/>
        <v>-1.2711974580949637</v>
      </c>
      <c r="E415" s="307">
        <f t="shared" ca="1" si="183"/>
        <v>-19.517980033986632</v>
      </c>
      <c r="F415" s="304">
        <f t="shared" ca="1" si="184"/>
        <v>19.559332493328291</v>
      </c>
      <c r="G415" s="306">
        <f t="shared" ca="1" si="185"/>
        <v>19.251500124527048</v>
      </c>
      <c r="H415" s="307">
        <f t="shared" ca="1" si="186"/>
        <v>146.04035977622303</v>
      </c>
      <c r="I415" s="304">
        <f t="shared" ca="1" si="187"/>
        <v>147.30379133142952</v>
      </c>
      <c r="J415" s="306">
        <f t="shared" ca="1" si="188"/>
        <v>77.300509666442451</v>
      </c>
      <c r="K415" s="307">
        <f t="shared" ca="1" si="189"/>
        <v>664.95679279106696</v>
      </c>
      <c r="L415" s="304">
        <f t="shared" ca="1" si="174"/>
        <v>669.43476536080323</v>
      </c>
      <c r="M415" s="306">
        <f t="shared" ca="1" si="190"/>
        <v>1.4397288924722453</v>
      </c>
      <c r="N415" s="304">
        <f t="shared" ca="1" si="191"/>
        <v>82.490389181703975</v>
      </c>
      <c r="P415" s="310">
        <f t="shared" ca="1" si="192"/>
        <v>23</v>
      </c>
      <c r="Q415" s="304">
        <f t="shared" ca="1" si="193"/>
        <v>0</v>
      </c>
      <c r="R415" s="306">
        <f t="shared" ca="1" si="194"/>
        <v>0</v>
      </c>
      <c r="S415" s="307">
        <f t="shared" ca="1" si="195"/>
        <v>7.9789999999999939</v>
      </c>
      <c r="T415" s="304">
        <f t="shared" ca="1" si="175"/>
        <v>78.273989999999941</v>
      </c>
      <c r="U415" s="311">
        <f t="shared" ca="1" si="176"/>
        <v>0</v>
      </c>
      <c r="V415" s="306">
        <f t="shared" ca="1" si="177"/>
        <v>1.1461639221570288</v>
      </c>
      <c r="W415" s="304">
        <f t="shared" ca="1" si="178"/>
        <v>75.979584848045917</v>
      </c>
      <c r="Y415" s="314" t="str">
        <f t="shared" ca="1" si="196"/>
        <v/>
      </c>
      <c r="Z415" s="315" t="str">
        <f t="shared" ca="1" si="197"/>
        <v/>
      </c>
      <c r="AA415" s="316" t="str">
        <f t="shared" ca="1" si="198"/>
        <v/>
      </c>
      <c r="AC415" s="310" t="e">
        <f t="shared" ca="1" si="199"/>
        <v>#N/A</v>
      </c>
      <c r="AD415" s="323" t="e">
        <f t="shared" ca="1" si="200"/>
        <v>#N/A</v>
      </c>
      <c r="AE415" s="324">
        <f t="shared" ca="1" si="179"/>
        <v>664.95679279106696</v>
      </c>
      <c r="AG415" s="306">
        <f t="shared" ca="1" si="201"/>
        <v>-19.517817973162757</v>
      </c>
      <c r="AH415" s="304">
        <f t="shared" ca="1" si="202"/>
        <v>-9.7908538605042086</v>
      </c>
    </row>
    <row r="416" spans="1:34" x14ac:dyDescent="0.2">
      <c r="A416" s="347">
        <f t="shared" ca="1" si="180"/>
        <v>0.1</v>
      </c>
      <c r="B416" s="304">
        <f t="shared" ca="1" si="181"/>
        <v>5.1999999999999549</v>
      </c>
      <c r="D416" s="306">
        <f t="shared" ca="1" si="182"/>
        <v>-1.2445120404642243</v>
      </c>
      <c r="E416" s="307">
        <f t="shared" ca="1" si="183"/>
        <v>-19.250770067766432</v>
      </c>
      <c r="F416" s="304">
        <f t="shared" ca="1" si="184"/>
        <v>19.290955352726115</v>
      </c>
      <c r="G416" s="306">
        <f t="shared" ca="1" si="185"/>
        <v>19.127048920480625</v>
      </c>
      <c r="H416" s="307">
        <f t="shared" ca="1" si="186"/>
        <v>144.1152827694464</v>
      </c>
      <c r="I416" s="304">
        <f t="shared" ca="1" si="187"/>
        <v>145.37901749607454</v>
      </c>
      <c r="J416" s="306">
        <f t="shared" ca="1" si="188"/>
        <v>79.219437118692838</v>
      </c>
      <c r="K416" s="307">
        <f t="shared" ca="1" si="189"/>
        <v>679.46457491835042</v>
      </c>
      <c r="L416" s="304">
        <f t="shared" ca="1" si="174"/>
        <v>684.06712228141555</v>
      </c>
      <c r="M416" s="306">
        <f t="shared" ca="1" si="190"/>
        <v>1.4388469952275731</v>
      </c>
      <c r="N416" s="304">
        <f t="shared" ca="1" si="191"/>
        <v>82.439860191620042</v>
      </c>
      <c r="P416" s="310">
        <f t="shared" ca="1" si="192"/>
        <v>23</v>
      </c>
      <c r="Q416" s="304">
        <f t="shared" ca="1" si="193"/>
        <v>0</v>
      </c>
      <c r="R416" s="306">
        <f t="shared" ca="1" si="194"/>
        <v>0</v>
      </c>
      <c r="S416" s="307">
        <f t="shared" ca="1" si="195"/>
        <v>7.9789999999999939</v>
      </c>
      <c r="T416" s="304">
        <f t="shared" ca="1" si="175"/>
        <v>78.273989999999941</v>
      </c>
      <c r="U416" s="311">
        <f t="shared" ca="1" si="176"/>
        <v>0</v>
      </c>
      <c r="V416" s="306">
        <f t="shared" ca="1" si="177"/>
        <v>1.1445004202106364</v>
      </c>
      <c r="W416" s="304">
        <f t="shared" ca="1" si="178"/>
        <v>73.899542157755633</v>
      </c>
      <c r="Y416" s="314" t="str">
        <f t="shared" ca="1" si="196"/>
        <v/>
      </c>
      <c r="Z416" s="315" t="str">
        <f t="shared" ca="1" si="197"/>
        <v/>
      </c>
      <c r="AA416" s="316" t="str">
        <f t="shared" ca="1" si="198"/>
        <v/>
      </c>
      <c r="AC416" s="310" t="e">
        <f t="shared" ca="1" si="199"/>
        <v>#N/A</v>
      </c>
      <c r="AD416" s="323" t="e">
        <f t="shared" ca="1" si="200"/>
        <v>#N/A</v>
      </c>
      <c r="AE416" s="324">
        <f t="shared" ca="1" si="179"/>
        <v>679.46457491835042</v>
      </c>
      <c r="AG416" s="306">
        <f t="shared" ca="1" si="201"/>
        <v>-19.248303690897348</v>
      </c>
      <c r="AH416" s="304">
        <f t="shared" ca="1" si="202"/>
        <v>-9.5224445228783026</v>
      </c>
    </row>
    <row r="417" spans="1:34" x14ac:dyDescent="0.2">
      <c r="A417" s="347">
        <f t="shared" ca="1" si="180"/>
        <v>0.1</v>
      </c>
      <c r="B417" s="304">
        <f t="shared" ca="1" si="181"/>
        <v>5.2999999999999545</v>
      </c>
      <c r="D417" s="306">
        <f t="shared" ca="1" si="182"/>
        <v>-1.2185392476785259</v>
      </c>
      <c r="E417" s="307">
        <f t="shared" ca="1" si="183"/>
        <v>-18.991245312590884</v>
      </c>
      <c r="F417" s="304">
        <f t="shared" ca="1" si="184"/>
        <v>19.030297854241223</v>
      </c>
      <c r="G417" s="306">
        <f t="shared" ca="1" si="185"/>
        <v>19.005194995712774</v>
      </c>
      <c r="H417" s="307">
        <f t="shared" ca="1" si="186"/>
        <v>142.21615823818732</v>
      </c>
      <c r="I417" s="304">
        <f t="shared" ca="1" si="187"/>
        <v>143.48042758806582</v>
      </c>
      <c r="J417" s="306">
        <f t="shared" ca="1" si="188"/>
        <v>81.126049314502509</v>
      </c>
      <c r="K417" s="307">
        <f t="shared" ca="1" si="189"/>
        <v>693.78114696873206</v>
      </c>
      <c r="L417" s="304">
        <f t="shared" ca="1" si="174"/>
        <v>698.5082073724177</v>
      </c>
      <c r="M417" s="306">
        <f t="shared" ca="1" si="190"/>
        <v>1.4379474507475898</v>
      </c>
      <c r="N417" s="304">
        <f t="shared" ca="1" si="191"/>
        <v>82.38832008943271</v>
      </c>
      <c r="P417" s="310">
        <f t="shared" ca="1" si="192"/>
        <v>23</v>
      </c>
      <c r="Q417" s="304">
        <f t="shared" ca="1" si="193"/>
        <v>0</v>
      </c>
      <c r="R417" s="306">
        <f t="shared" ca="1" si="194"/>
        <v>0</v>
      </c>
      <c r="S417" s="307">
        <f t="shared" ca="1" si="195"/>
        <v>7.9789999999999939</v>
      </c>
      <c r="T417" s="304">
        <f t="shared" ca="1" si="175"/>
        <v>78.273989999999941</v>
      </c>
      <c r="U417" s="311">
        <f t="shared" ca="1" si="176"/>
        <v>0</v>
      </c>
      <c r="V417" s="306">
        <f t="shared" ca="1" si="177"/>
        <v>1.1428611294861222</v>
      </c>
      <c r="W417" s="304">
        <f t="shared" ca="1" si="178"/>
        <v>71.878849770796819</v>
      </c>
      <c r="Y417" s="314" t="str">
        <f t="shared" ca="1" si="196"/>
        <v/>
      </c>
      <c r="Z417" s="315" t="str">
        <f t="shared" ca="1" si="197"/>
        <v/>
      </c>
      <c r="AA417" s="316" t="str">
        <f t="shared" ca="1" si="198"/>
        <v/>
      </c>
      <c r="AC417" s="310" t="e">
        <f t="shared" ca="1" si="199"/>
        <v>#N/A</v>
      </c>
      <c r="AD417" s="323" t="e">
        <f t="shared" ca="1" si="200"/>
        <v>#N/A</v>
      </c>
      <c r="AE417" s="324">
        <f t="shared" ca="1" si="179"/>
        <v>693.78114696873206</v>
      </c>
      <c r="AG417" s="306">
        <f t="shared" ca="1" si="201"/>
        <v>-18.986479587705023</v>
      </c>
      <c r="AH417" s="304">
        <f t="shared" ca="1" si="202"/>
        <v>-9.2617548762696682</v>
      </c>
    </row>
    <row r="418" spans="1:34" x14ac:dyDescent="0.2">
      <c r="A418" s="347">
        <f t="shared" ca="1" si="180"/>
        <v>0.1</v>
      </c>
      <c r="B418" s="304">
        <f t="shared" ca="1" si="181"/>
        <v>5.3999999999999542</v>
      </c>
      <c r="D418" s="306">
        <f t="shared" ca="1" si="182"/>
        <v>-1.1932524131352866</v>
      </c>
      <c r="E418" s="307">
        <f t="shared" ca="1" si="183"/>
        <v>-18.739125643953038</v>
      </c>
      <c r="F418" s="304">
        <f t="shared" ca="1" si="184"/>
        <v>18.777078612534794</v>
      </c>
      <c r="G418" s="306">
        <f t="shared" ca="1" si="185"/>
        <v>18.885869754399245</v>
      </c>
      <c r="H418" s="307">
        <f t="shared" ca="1" si="186"/>
        <v>140.34224567379201</v>
      </c>
      <c r="I418" s="304">
        <f t="shared" ca="1" si="187"/>
        <v>141.60728087617218</v>
      </c>
      <c r="J418" s="306">
        <f t="shared" ca="1" si="188"/>
        <v>83.020602552008114</v>
      </c>
      <c r="K418" s="307">
        <f t="shared" ca="1" si="189"/>
        <v>707.90906716433108</v>
      </c>
      <c r="L418" s="304">
        <f t="shared" ca="1" si="174"/>
        <v>712.76059642882331</v>
      </c>
      <c r="M418" s="306">
        <f t="shared" ca="1" si="190"/>
        <v>1.4370298301524198</v>
      </c>
      <c r="N418" s="304">
        <f t="shared" ca="1" si="191"/>
        <v>82.335744302135183</v>
      </c>
      <c r="P418" s="310">
        <f t="shared" ca="1" si="192"/>
        <v>23</v>
      </c>
      <c r="Q418" s="304">
        <f t="shared" ca="1" si="193"/>
        <v>0</v>
      </c>
      <c r="R418" s="306">
        <f t="shared" ca="1" si="194"/>
        <v>0</v>
      </c>
      <c r="S418" s="307">
        <f t="shared" ca="1" si="195"/>
        <v>7.9789999999999939</v>
      </c>
      <c r="T418" s="304">
        <f t="shared" ca="1" si="175"/>
        <v>78.273989999999941</v>
      </c>
      <c r="U418" s="311">
        <f t="shared" ca="1" si="176"/>
        <v>0</v>
      </c>
      <c r="V418" s="306">
        <f t="shared" ca="1" si="177"/>
        <v>1.1412456620353457</v>
      </c>
      <c r="W418" s="304">
        <f t="shared" ca="1" si="178"/>
        <v>69.915366614210456</v>
      </c>
      <c r="Y418" s="314" t="str">
        <f t="shared" ca="1" si="196"/>
        <v/>
      </c>
      <c r="Z418" s="315" t="str">
        <f t="shared" ca="1" si="197"/>
        <v/>
      </c>
      <c r="AA418" s="316" t="str">
        <f t="shared" ca="1" si="198"/>
        <v/>
      </c>
      <c r="AC418" s="310" t="e">
        <f t="shared" ca="1" si="199"/>
        <v>#N/A</v>
      </c>
      <c r="AD418" s="323" t="e">
        <f t="shared" ca="1" si="200"/>
        <v>#N/A</v>
      </c>
      <c r="AE418" s="324">
        <f t="shared" ca="1" si="179"/>
        <v>707.90906716433108</v>
      </c>
      <c r="AG418" s="306">
        <f t="shared" ca="1" si="201"/>
        <v>-18.732063305058006</v>
      </c>
      <c r="AH418" s="304">
        <f t="shared" ca="1" si="202"/>
        <v>-9.008503543150379</v>
      </c>
    </row>
    <row r="419" spans="1:34" x14ac:dyDescent="0.2">
      <c r="A419" s="347">
        <f t="shared" ca="1" si="180"/>
        <v>0.1</v>
      </c>
      <c r="B419" s="304">
        <f t="shared" ca="1" si="181"/>
        <v>5.4999999999999538</v>
      </c>
      <c r="D419" s="306">
        <f t="shared" ca="1" si="182"/>
        <v>-1.1686260981446492</v>
      </c>
      <c r="E419" s="307">
        <f t="shared" ca="1" si="183"/>
        <v>-18.494143918149049</v>
      </c>
      <c r="F419" s="304">
        <f t="shared" ca="1" si="184"/>
        <v>18.531029281248095</v>
      </c>
      <c r="G419" s="306">
        <f t="shared" ca="1" si="185"/>
        <v>18.76900714458478</v>
      </c>
      <c r="H419" s="307">
        <f t="shared" ca="1" si="186"/>
        <v>138.49283128197709</v>
      </c>
      <c r="I419" s="304">
        <f t="shared" ca="1" si="187"/>
        <v>139.75886356754495</v>
      </c>
      <c r="J419" s="306">
        <f t="shared" ca="1" si="188"/>
        <v>84.903346396957318</v>
      </c>
      <c r="K419" s="307">
        <f t="shared" ca="1" si="189"/>
        <v>721.85082101211958</v>
      </c>
      <c r="L419" s="304">
        <f t="shared" ca="1" si="174"/>
        <v>726.82679231387226</v>
      </c>
      <c r="M419" s="306">
        <f t="shared" ca="1" si="190"/>
        <v>1.4360936894746179</v>
      </c>
      <c r="N419" s="304">
        <f t="shared" ca="1" si="191"/>
        <v>82.282107392266624</v>
      </c>
      <c r="P419" s="310">
        <f t="shared" ca="1" si="192"/>
        <v>23</v>
      </c>
      <c r="Q419" s="304">
        <f t="shared" ca="1" si="193"/>
        <v>0</v>
      </c>
      <c r="R419" s="306">
        <f t="shared" ca="1" si="194"/>
        <v>0</v>
      </c>
      <c r="S419" s="307">
        <f t="shared" ca="1" si="195"/>
        <v>7.9789999999999939</v>
      </c>
      <c r="T419" s="304">
        <f t="shared" ca="1" si="175"/>
        <v>78.273989999999941</v>
      </c>
      <c r="U419" s="311">
        <f t="shared" ca="1" si="176"/>
        <v>0</v>
      </c>
      <c r="V419" s="306">
        <f t="shared" ca="1" si="177"/>
        <v>1.1396536413780964</v>
      </c>
      <c r="W419" s="304">
        <f t="shared" ca="1" si="178"/>
        <v>68.007049918536879</v>
      </c>
      <c r="Y419" s="314" t="str">
        <f t="shared" ca="1" si="196"/>
        <v/>
      </c>
      <c r="Z419" s="315" t="str">
        <f t="shared" ca="1" si="197"/>
        <v/>
      </c>
      <c r="AA419" s="316" t="str">
        <f t="shared" ca="1" si="198"/>
        <v/>
      </c>
      <c r="AC419" s="310" t="e">
        <f t="shared" ca="1" si="199"/>
        <v>#N/A</v>
      </c>
      <c r="AD419" s="323" t="e">
        <f t="shared" ca="1" si="200"/>
        <v>#N/A</v>
      </c>
      <c r="AE419" s="324">
        <f t="shared" ca="1" si="179"/>
        <v>721.85082101211958</v>
      </c>
      <c r="AG419" s="306">
        <f t="shared" ca="1" si="201"/>
        <v>-18.484785481174676</v>
      </c>
      <c r="AH419" s="304">
        <f t="shared" ca="1" si="202"/>
        <v>-8.7624221850119692</v>
      </c>
    </row>
    <row r="420" spans="1:34" x14ac:dyDescent="0.2">
      <c r="A420" s="347">
        <f t="shared" ca="1" si="180"/>
        <v>0.1</v>
      </c>
      <c r="B420" s="304">
        <f t="shared" ca="1" si="181"/>
        <v>5.5999999999999535</v>
      </c>
      <c r="D420" s="306">
        <f t="shared" ca="1" si="182"/>
        <v>-1.1446360241162334</v>
      </c>
      <c r="E420" s="307">
        <f t="shared" ca="1" si="183"/>
        <v>-18.256045256738034</v>
      </c>
      <c r="F420" s="304">
        <f t="shared" ca="1" si="184"/>
        <v>18.291893834258165</v>
      </c>
      <c r="G420" s="306">
        <f t="shared" ca="1" si="185"/>
        <v>18.654543542173158</v>
      </c>
      <c r="H420" s="307">
        <f t="shared" ca="1" si="186"/>
        <v>136.66722675630328</v>
      </c>
      <c r="I420" s="304">
        <f t="shared" ca="1" si="187"/>
        <v>137.93448758024823</v>
      </c>
      <c r="J420" s="306">
        <f t="shared" ca="1" si="188"/>
        <v>86.774523931295221</v>
      </c>
      <c r="K420" s="307">
        <f t="shared" ca="1" si="189"/>
        <v>735.60882391403356</v>
      </c>
      <c r="L420" s="304">
        <f t="shared" ca="1" si="174"/>
        <v>740.70922758103302</v>
      </c>
      <c r="M420" s="306">
        <f t="shared" ca="1" si="190"/>
        <v>1.4351385690184066</v>
      </c>
      <c r="N420" s="304">
        <f t="shared" ca="1" si="191"/>
        <v>82.227383021199103</v>
      </c>
      <c r="P420" s="310">
        <f t="shared" ca="1" si="192"/>
        <v>23</v>
      </c>
      <c r="Q420" s="304">
        <f t="shared" ca="1" si="193"/>
        <v>0</v>
      </c>
      <c r="R420" s="306">
        <f t="shared" ca="1" si="194"/>
        <v>0</v>
      </c>
      <c r="S420" s="307">
        <f t="shared" ca="1" si="195"/>
        <v>7.9789999999999939</v>
      </c>
      <c r="T420" s="304">
        <f t="shared" ca="1" si="175"/>
        <v>78.273989999999941</v>
      </c>
      <c r="U420" s="311">
        <f t="shared" ca="1" si="176"/>
        <v>0</v>
      </c>
      <c r="V420" s="306">
        <f t="shared" ca="1" si="177"/>
        <v>1.138084702074873</v>
      </c>
      <c r="W420" s="304">
        <f t="shared" ca="1" si="178"/>
        <v>66.151949850548263</v>
      </c>
      <c r="Y420" s="314" t="str">
        <f t="shared" ca="1" si="196"/>
        <v/>
      </c>
      <c r="Z420" s="315" t="str">
        <f t="shared" ca="1" si="197"/>
        <v/>
      </c>
      <c r="AA420" s="316" t="str">
        <f t="shared" ca="1" si="198"/>
        <v/>
      </c>
      <c r="AC420" s="310" t="e">
        <f t="shared" ca="1" si="199"/>
        <v>#N/A</v>
      </c>
      <c r="AD420" s="323" t="e">
        <f t="shared" ca="1" si="200"/>
        <v>#N/A</v>
      </c>
      <c r="AE420" s="324">
        <f t="shared" ca="1" si="179"/>
        <v>735.60882391403356</v>
      </c>
      <c r="AG420" s="306">
        <f t="shared" ca="1" si="201"/>
        <v>-18.244389030108479</v>
      </c>
      <c r="AH420" s="304">
        <f t="shared" ca="1" si="202"/>
        <v>-8.5232547836241306</v>
      </c>
    </row>
    <row r="421" spans="1:34" x14ac:dyDescent="0.2">
      <c r="A421" s="347">
        <f t="shared" ca="1" si="180"/>
        <v>0.1</v>
      </c>
      <c r="B421" s="304">
        <f t="shared" ca="1" si="181"/>
        <v>5.6999999999999531</v>
      </c>
      <c r="D421" s="306">
        <f t="shared" ca="1" si="182"/>
        <v>-1.1212590090921035</v>
      </c>
      <c r="E421" s="307">
        <f t="shared" ca="1" si="183"/>
        <v>-18.024586376863276</v>
      </c>
      <c r="F421" s="304">
        <f t="shared" ca="1" si="184"/>
        <v>18.059427893000247</v>
      </c>
      <c r="G421" s="306">
        <f t="shared" ca="1" si="185"/>
        <v>18.542417641263949</v>
      </c>
      <c r="H421" s="307">
        <f t="shared" ca="1" si="186"/>
        <v>134.86476811861695</v>
      </c>
      <c r="I421" s="304">
        <f t="shared" ca="1" si="187"/>
        <v>136.13348938329383</v>
      </c>
      <c r="J421" s="306">
        <f t="shared" ca="1" si="188"/>
        <v>88.634371990467073</v>
      </c>
      <c r="K421" s="307">
        <f t="shared" ca="1" si="189"/>
        <v>749.18542365777955</v>
      </c>
      <c r="L421" s="304">
        <f t="shared" ca="1" si="174"/>
        <v>754.4102669764186</v>
      </c>
      <c r="M421" s="306">
        <f t="shared" ca="1" si="190"/>
        <v>1.4341639926855609</v>
      </c>
      <c r="N421" s="304">
        <f t="shared" ca="1" si="191"/>
        <v>82.171543910513705</v>
      </c>
      <c r="P421" s="310">
        <f t="shared" ca="1" si="192"/>
        <v>23</v>
      </c>
      <c r="Q421" s="304">
        <f t="shared" ca="1" si="193"/>
        <v>0</v>
      </c>
      <c r="R421" s="306">
        <f t="shared" ca="1" si="194"/>
        <v>0</v>
      </c>
      <c r="S421" s="307">
        <f t="shared" ca="1" si="195"/>
        <v>7.9789999999999939</v>
      </c>
      <c r="T421" s="304">
        <f t="shared" ca="1" si="175"/>
        <v>78.273989999999941</v>
      </c>
      <c r="U421" s="311">
        <f t="shared" ca="1" si="176"/>
        <v>0</v>
      </c>
      <c r="V421" s="306">
        <f t="shared" ca="1" si="177"/>
        <v>1.1365384893197421</v>
      </c>
      <c r="W421" s="304">
        <f t="shared" ca="1" si="178"/>
        <v>64.348204486801947</v>
      </c>
      <c r="Y421" s="314" t="str">
        <f t="shared" ca="1" si="196"/>
        <v/>
      </c>
      <c r="Z421" s="315" t="str">
        <f t="shared" ca="1" si="197"/>
        <v/>
      </c>
      <c r="AA421" s="316" t="str">
        <f t="shared" ca="1" si="198"/>
        <v/>
      </c>
      <c r="AC421" s="310" t="e">
        <f t="shared" ca="1" si="199"/>
        <v>#N/A</v>
      </c>
      <c r="AD421" s="323" t="e">
        <f t="shared" ca="1" si="200"/>
        <v>#N/A</v>
      </c>
      <c r="AE421" s="324">
        <f t="shared" ca="1" si="179"/>
        <v>749.18542365777955</v>
      </c>
      <c r="AG421" s="306">
        <f t="shared" ca="1" si="201"/>
        <v>-18.010628466772602</v>
      </c>
      <c r="AH421" s="304">
        <f t="shared" ca="1" si="202"/>
        <v>-8.2907569683604851</v>
      </c>
    </row>
    <row r="422" spans="1:34" x14ac:dyDescent="0.2">
      <c r="A422" s="347">
        <f t="shared" ca="1" si="180"/>
        <v>0.1</v>
      </c>
      <c r="B422" s="304">
        <f t="shared" ca="1" si="181"/>
        <v>5.7999999999999527</v>
      </c>
      <c r="D422" s="306">
        <f t="shared" ca="1" si="182"/>
        <v>-1.0984729083097438</v>
      </c>
      <c r="E422" s="307">
        <f t="shared" ca="1" si="183"/>
        <v>-17.799534964097486</v>
      </c>
      <c r="F422" s="304">
        <f t="shared" ca="1" si="184"/>
        <v>17.833398096504752</v>
      </c>
      <c r="G422" s="306">
        <f t="shared" ca="1" si="185"/>
        <v>18.432570350432975</v>
      </c>
      <c r="H422" s="307">
        <f t="shared" ca="1" si="186"/>
        <v>133.0848146222072</v>
      </c>
      <c r="I422" s="304">
        <f t="shared" ca="1" si="187"/>
        <v>134.35522889992379</v>
      </c>
      <c r="J422" s="306">
        <f t="shared" ca="1" si="188"/>
        <v>90.48312139005192</v>
      </c>
      <c r="K422" s="307">
        <f t="shared" ca="1" si="189"/>
        <v>762.58290279482071</v>
      </c>
      <c r="L422" s="304">
        <f t="shared" ca="1" si="174"/>
        <v>767.93220982809532</v>
      </c>
      <c r="M422" s="306">
        <f t="shared" ca="1" si="190"/>
        <v>1.4331694672659292</v>
      </c>
      <c r="N422" s="304">
        <f t="shared" ca="1" si="191"/>
        <v>82.114561801350334</v>
      </c>
      <c r="P422" s="310">
        <f t="shared" ca="1" si="192"/>
        <v>23</v>
      </c>
      <c r="Q422" s="304">
        <f t="shared" ca="1" si="193"/>
        <v>0</v>
      </c>
      <c r="R422" s="306">
        <f t="shared" ca="1" si="194"/>
        <v>0</v>
      </c>
      <c r="S422" s="307">
        <f t="shared" ca="1" si="195"/>
        <v>7.9789999999999939</v>
      </c>
      <c r="T422" s="304">
        <f t="shared" ca="1" si="175"/>
        <v>78.273989999999941</v>
      </c>
      <c r="U422" s="311">
        <f t="shared" ca="1" si="176"/>
        <v>0</v>
      </c>
      <c r="V422" s="306">
        <f t="shared" ca="1" si="177"/>
        <v>1.1350146585521488</v>
      </c>
      <c r="W422" s="304">
        <f t="shared" ca="1" si="178"/>
        <v>62.594035103440113</v>
      </c>
      <c r="Y422" s="314" t="str">
        <f t="shared" ca="1" si="196"/>
        <v/>
      </c>
      <c r="Z422" s="315" t="str">
        <f t="shared" ca="1" si="197"/>
        <v/>
      </c>
      <c r="AA422" s="316" t="str">
        <f t="shared" ca="1" si="198"/>
        <v/>
      </c>
      <c r="AC422" s="310" t="e">
        <f t="shared" ca="1" si="199"/>
        <v>#N/A</v>
      </c>
      <c r="AD422" s="323" t="e">
        <f t="shared" ca="1" si="200"/>
        <v>#N/A</v>
      </c>
      <c r="AE422" s="324">
        <f t="shared" ca="1" si="179"/>
        <v>762.58290279482071</v>
      </c>
      <c r="AG422" s="306">
        <f t="shared" ca="1" si="201"/>
        <v>-17.783269274539037</v>
      </c>
      <c r="AH422" s="304">
        <f t="shared" ca="1" si="202"/>
        <v>-8.0646953862391264</v>
      </c>
    </row>
    <row r="423" spans="1:34" x14ac:dyDescent="0.2">
      <c r="A423" s="347">
        <f t="shared" ca="1" si="180"/>
        <v>0.1</v>
      </c>
      <c r="B423" s="304">
        <f t="shared" ca="1" si="181"/>
        <v>5.8999999999999524</v>
      </c>
      <c r="D423" s="306">
        <f t="shared" ca="1" si="182"/>
        <v>-1.0762565585045301</v>
      </c>
      <c r="E423" s="307">
        <f t="shared" ca="1" si="183"/>
        <v>-17.580669084745722</v>
      </c>
      <c r="F423" s="304">
        <f t="shared" ca="1" si="184"/>
        <v>17.61358151106861</v>
      </c>
      <c r="G423" s="306">
        <f t="shared" ca="1" si="185"/>
        <v>18.324944694582523</v>
      </c>
      <c r="H423" s="307">
        <f t="shared" ca="1" si="186"/>
        <v>131.32674771373263</v>
      </c>
      <c r="I423" s="304">
        <f t="shared" ca="1" si="187"/>
        <v>132.5990884701923</v>
      </c>
      <c r="J423" s="306">
        <f t="shared" ca="1" si="188"/>
        <v>92.320997142302701</v>
      </c>
      <c r="K423" s="307">
        <f t="shared" ca="1" si="189"/>
        <v>775.80348091161773</v>
      </c>
      <c r="L423" s="304">
        <f t="shared" ca="1" si="174"/>
        <v>781.27729232835884</v>
      </c>
      <c r="M423" s="306">
        <f t="shared" ca="1" si="190"/>
        <v>1.4321544816904359</v>
      </c>
      <c r="N423" s="304">
        <f t="shared" ca="1" si="191"/>
        <v>82.056407411607907</v>
      </c>
      <c r="P423" s="310">
        <f t="shared" ca="1" si="192"/>
        <v>23</v>
      </c>
      <c r="Q423" s="304">
        <f t="shared" ca="1" si="193"/>
        <v>0</v>
      </c>
      <c r="R423" s="306">
        <f t="shared" ca="1" si="194"/>
        <v>0</v>
      </c>
      <c r="S423" s="307">
        <f t="shared" ca="1" si="195"/>
        <v>7.9789999999999939</v>
      </c>
      <c r="T423" s="304">
        <f t="shared" ca="1" si="175"/>
        <v>78.273989999999941</v>
      </c>
      <c r="U423" s="311">
        <f t="shared" ca="1" si="176"/>
        <v>0</v>
      </c>
      <c r="V423" s="306">
        <f t="shared" ca="1" si="177"/>
        <v>1.1335128750866457</v>
      </c>
      <c r="W423" s="304">
        <f t="shared" ca="1" si="178"/>
        <v>60.887741759642807</v>
      </c>
      <c r="Y423" s="314" t="str">
        <f t="shared" ca="1" si="196"/>
        <v/>
      </c>
      <c r="Z423" s="315" t="str">
        <f t="shared" ca="1" si="197"/>
        <v/>
      </c>
      <c r="AA423" s="316" t="str">
        <f t="shared" ca="1" si="198"/>
        <v/>
      </c>
      <c r="AC423" s="310" t="e">
        <f t="shared" ca="1" si="199"/>
        <v>#N/A</v>
      </c>
      <c r="AD423" s="323" t="e">
        <f t="shared" ca="1" si="200"/>
        <v>#N/A</v>
      </c>
      <c r="AE423" s="324">
        <f t="shared" ca="1" si="179"/>
        <v>775.80348091161773</v>
      </c>
      <c r="AG423" s="306">
        <f t="shared" ca="1" si="201"/>
        <v>-17.562087312322248</v>
      </c>
      <c r="AH423" s="304">
        <f t="shared" ca="1" si="202"/>
        <v>-7.8448471115979652</v>
      </c>
    </row>
    <row r="424" spans="1:34" x14ac:dyDescent="0.2">
      <c r="A424" s="347">
        <f t="shared" ca="1" si="180"/>
        <v>0.1</v>
      </c>
      <c r="B424" s="304">
        <f t="shared" ca="1" si="181"/>
        <v>5.999999999999952</v>
      </c>
      <c r="D424" s="306">
        <f t="shared" ca="1" si="182"/>
        <v>-1.0545897256846615</v>
      </c>
      <c r="E424" s="307">
        <f t="shared" ca="1" si="183"/>
        <v>-17.367776634787234</v>
      </c>
      <c r="F424" s="304">
        <f t="shared" ca="1" si="184"/>
        <v>17.399765076729658</v>
      </c>
      <c r="G424" s="306">
        <f t="shared" ca="1" si="185"/>
        <v>18.219485722014056</v>
      </c>
      <c r="H424" s="307">
        <f t="shared" ca="1" si="186"/>
        <v>129.5899700502539</v>
      </c>
      <c r="I424" s="304">
        <f t="shared" ca="1" si="187"/>
        <v>130.86447186918372</v>
      </c>
      <c r="J424" s="306">
        <f t="shared" ca="1" si="188"/>
        <v>94.148218663132525</v>
      </c>
      <c r="K424" s="307">
        <f t="shared" ca="1" si="189"/>
        <v>788.84931679981707</v>
      </c>
      <c r="L424" s="304">
        <f t="shared" ca="1" si="174"/>
        <v>794.44768971467158</v>
      </c>
      <c r="M424" s="306">
        <f t="shared" ca="1" si="190"/>
        <v>1.431118506244268</v>
      </c>
      <c r="N424" s="304">
        <f t="shared" ca="1" si="191"/>
        <v>81.997050390863308</v>
      </c>
      <c r="P424" s="310">
        <f t="shared" ca="1" si="192"/>
        <v>23</v>
      </c>
      <c r="Q424" s="304">
        <f t="shared" ca="1" si="193"/>
        <v>0</v>
      </c>
      <c r="R424" s="306">
        <f t="shared" ca="1" si="194"/>
        <v>0</v>
      </c>
      <c r="S424" s="307">
        <f t="shared" ca="1" si="195"/>
        <v>7.9789999999999939</v>
      </c>
      <c r="T424" s="304">
        <f t="shared" ca="1" si="175"/>
        <v>78.273989999999941</v>
      </c>
      <c r="U424" s="311">
        <f t="shared" ca="1" si="176"/>
        <v>0</v>
      </c>
      <c r="V424" s="306">
        <f t="shared" ca="1" si="177"/>
        <v>1.1320328137595514</v>
      </c>
      <c r="W424" s="304">
        <f t="shared" ca="1" si="178"/>
        <v>59.227699153945714</v>
      </c>
      <c r="Y424" s="314" t="str">
        <f t="shared" ca="1" si="196"/>
        <v/>
      </c>
      <c r="Z424" s="315" t="str">
        <f t="shared" ca="1" si="197"/>
        <v/>
      </c>
      <c r="AA424" s="316" t="str">
        <f t="shared" ca="1" si="198"/>
        <v/>
      </c>
      <c r="AC424" s="310">
        <f t="shared" ca="1" si="199"/>
        <v>5.999999999999952</v>
      </c>
      <c r="AD424" s="323">
        <f t="shared" ca="1" si="200"/>
        <v>94.148218663132525</v>
      </c>
      <c r="AE424" s="324">
        <f t="shared" ca="1" si="179"/>
        <v>788.84931679981707</v>
      </c>
      <c r="AG424" s="306">
        <f t="shared" ca="1" si="201"/>
        <v>-17.346868258305406</v>
      </c>
      <c r="AH424" s="304">
        <f t="shared" ca="1" si="202"/>
        <v>-7.6309990925733615</v>
      </c>
    </row>
    <row r="425" spans="1:34" x14ac:dyDescent="0.2">
      <c r="A425" s="347">
        <f t="shared" ca="1" si="180"/>
        <v>0.1</v>
      </c>
      <c r="B425" s="304">
        <f t="shared" ca="1" si="181"/>
        <v>6.0999999999999517</v>
      </c>
      <c r="D425" s="306">
        <f t="shared" ca="1" si="182"/>
        <v>-1.0334530561327973</v>
      </c>
      <c r="E425" s="307">
        <f t="shared" ca="1" si="183"/>
        <v>-17.160654822862256</v>
      </c>
      <c r="F425" s="304">
        <f t="shared" ca="1" si="184"/>
        <v>17.19174508793845</v>
      </c>
      <c r="G425" s="306">
        <f t="shared" ca="1" si="185"/>
        <v>18.116140416400775</v>
      </c>
      <c r="H425" s="307">
        <f t="shared" ca="1" si="186"/>
        <v>127.87390456796767</v>
      </c>
      <c r="I425" s="304">
        <f t="shared" ca="1" si="187"/>
        <v>129.15080337746434</v>
      </c>
      <c r="J425" s="306">
        <f t="shared" ca="1" si="188"/>
        <v>95.96499997005327</v>
      </c>
      <c r="K425" s="307">
        <f t="shared" ca="1" si="189"/>
        <v>801.72251053072819</v>
      </c>
      <c r="L425" s="304">
        <f t="shared" ca="1" si="174"/>
        <v>807.44551835461061</v>
      </c>
      <c r="M425" s="306">
        <f t="shared" ca="1" si="190"/>
        <v>1.4300609917377753</v>
      </c>
      <c r="N425" s="304">
        <f t="shared" ca="1" si="191"/>
        <v>81.936459272867424</v>
      </c>
      <c r="P425" s="310">
        <f t="shared" ca="1" si="192"/>
        <v>23</v>
      </c>
      <c r="Q425" s="304">
        <f t="shared" ca="1" si="193"/>
        <v>0</v>
      </c>
      <c r="R425" s="306">
        <f t="shared" ca="1" si="194"/>
        <v>0</v>
      </c>
      <c r="S425" s="307">
        <f t="shared" ca="1" si="195"/>
        <v>7.9789999999999939</v>
      </c>
      <c r="T425" s="304">
        <f t="shared" ca="1" si="175"/>
        <v>78.273989999999941</v>
      </c>
      <c r="U425" s="311">
        <f t="shared" ca="1" si="176"/>
        <v>0</v>
      </c>
      <c r="V425" s="306">
        <f t="shared" ca="1" si="177"/>
        <v>1.1305741585916305</v>
      </c>
      <c r="W425" s="304">
        <f t="shared" ca="1" si="178"/>
        <v>57.612352734279838</v>
      </c>
      <c r="Y425" s="314" t="str">
        <f t="shared" ca="1" si="196"/>
        <v/>
      </c>
      <c r="Z425" s="315" t="str">
        <f t="shared" ca="1" si="197"/>
        <v/>
      </c>
      <c r="AA425" s="316" t="str">
        <f t="shared" ca="1" si="198"/>
        <v/>
      </c>
      <c r="AC425" s="310" t="e">
        <f t="shared" ca="1" si="199"/>
        <v>#N/A</v>
      </c>
      <c r="AD425" s="323" t="e">
        <f t="shared" ca="1" si="200"/>
        <v>#N/A</v>
      </c>
      <c r="AE425" s="324">
        <f t="shared" ca="1" si="179"/>
        <v>801.72251053072819</v>
      </c>
      <c r="AG425" s="306">
        <f t="shared" ca="1" si="201"/>
        <v>-17.137407087692218</v>
      </c>
      <c r="AH425" s="304">
        <f t="shared" ca="1" si="202"/>
        <v>-7.4229476317766334</v>
      </c>
    </row>
    <row r="426" spans="1:34" x14ac:dyDescent="0.2">
      <c r="A426" s="347">
        <f t="shared" ca="1" si="180"/>
        <v>0.1</v>
      </c>
      <c r="B426" s="304">
        <f t="shared" ca="1" si="181"/>
        <v>6.1999999999999513</v>
      </c>
      <c r="D426" s="306">
        <f t="shared" ca="1" si="182"/>
        <v>-1.012828030408174</v>
      </c>
      <c r="E426" s="307">
        <f t="shared" ca="1" si="183"/>
        <v>-16.959109684915369</v>
      </c>
      <c r="F426" s="304">
        <f t="shared" ca="1" si="184"/>
        <v>16.989326706028425</v>
      </c>
      <c r="G426" s="306">
        <f t="shared" ca="1" si="185"/>
        <v>18.014857613359958</v>
      </c>
      <c r="H426" s="307">
        <f t="shared" ca="1" si="186"/>
        <v>126.17799359947614</v>
      </c>
      <c r="I426" s="304">
        <f t="shared" ca="1" si="187"/>
        <v>127.45752690060746</v>
      </c>
      <c r="J426" s="306">
        <f t="shared" ca="1" si="188"/>
        <v>97.77154987154131</v>
      </c>
      <c r="K426" s="307">
        <f t="shared" ca="1" si="189"/>
        <v>814.42510543910043</v>
      </c>
      <c r="L426" s="304">
        <f t="shared" ca="1" si="174"/>
        <v>820.27283773984198</v>
      </c>
      <c r="M426" s="306">
        <f t="shared" ca="1" si="190"/>
        <v>1.4289813686324493</v>
      </c>
      <c r="N426" s="304">
        <f t="shared" ca="1" si="191"/>
        <v>81.874601425467432</v>
      </c>
      <c r="P426" s="310">
        <f t="shared" ca="1" si="192"/>
        <v>23</v>
      </c>
      <c r="Q426" s="304">
        <f t="shared" ca="1" si="193"/>
        <v>0</v>
      </c>
      <c r="R426" s="306">
        <f t="shared" ca="1" si="194"/>
        <v>0</v>
      </c>
      <c r="S426" s="307">
        <f t="shared" ca="1" si="195"/>
        <v>7.9789999999999939</v>
      </c>
      <c r="T426" s="304">
        <f t="shared" ca="1" si="175"/>
        <v>78.273989999999941</v>
      </c>
      <c r="U426" s="311">
        <f t="shared" ca="1" si="176"/>
        <v>0</v>
      </c>
      <c r="V426" s="306">
        <f t="shared" ca="1" si="177"/>
        <v>1.1291366024659322</v>
      </c>
      <c r="W426" s="304">
        <f t="shared" ca="1" si="178"/>
        <v>56.040215044091994</v>
      </c>
      <c r="Y426" s="314" t="str">
        <f t="shared" ca="1" si="196"/>
        <v/>
      </c>
      <c r="Z426" s="315" t="str">
        <f t="shared" ca="1" si="197"/>
        <v/>
      </c>
      <c r="AA426" s="316" t="str">
        <f t="shared" ca="1" si="198"/>
        <v/>
      </c>
      <c r="AC426" s="310" t="e">
        <f t="shared" ca="1" si="199"/>
        <v>#N/A</v>
      </c>
      <c r="AD426" s="323" t="e">
        <f t="shared" ca="1" si="200"/>
        <v>#N/A</v>
      </c>
      <c r="AE426" s="324">
        <f t="shared" ca="1" si="179"/>
        <v>814.42510543910043</v>
      </c>
      <c r="AG426" s="306">
        <f t="shared" ca="1" si="201"/>
        <v>-16.933507582072952</v>
      </c>
      <c r="AH426" s="304">
        <f t="shared" ca="1" si="202"/>
        <v>-7.2204978987692545</v>
      </c>
    </row>
    <row r="427" spans="1:34" x14ac:dyDescent="0.2">
      <c r="A427" s="347">
        <f t="shared" ca="1" si="180"/>
        <v>0.1</v>
      </c>
      <c r="B427" s="304">
        <f t="shared" ca="1" si="181"/>
        <v>6.299999999999951</v>
      </c>
      <c r="D427" s="306">
        <f t="shared" ca="1" si="182"/>
        <v>-0.99269692014068533</v>
      </c>
      <c r="E427" s="307">
        <f t="shared" ca="1" si="183"/>
        <v>-16.762955628294279</v>
      </c>
      <c r="F427" s="304">
        <f t="shared" ca="1" si="184"/>
        <v>16.792323501273422</v>
      </c>
      <c r="G427" s="306">
        <f t="shared" ca="1" si="185"/>
        <v>17.915587921345889</v>
      </c>
      <c r="H427" s="307">
        <f t="shared" ca="1" si="186"/>
        <v>124.50169803664672</v>
      </c>
      <c r="I427" s="304">
        <f t="shared" ca="1" si="187"/>
        <v>125.78410513485332</v>
      </c>
      <c r="J427" s="306">
        <f t="shared" ca="1" si="188"/>
        <v>99.568072148276599</v>
      </c>
      <c r="K427" s="307">
        <f t="shared" ca="1" si="189"/>
        <v>826.95909002090661</v>
      </c>
      <c r="L427" s="304">
        <f t="shared" ca="1" si="174"/>
        <v>832.93165239383859</v>
      </c>
      <c r="M427" s="306">
        <f t="shared" ca="1" si="190"/>
        <v>1.4278790461191451</v>
      </c>
      <c r="N427" s="304">
        <f t="shared" ca="1" si="191"/>
        <v>81.811442997792838</v>
      </c>
      <c r="P427" s="310">
        <f t="shared" ca="1" si="192"/>
        <v>23</v>
      </c>
      <c r="Q427" s="304">
        <f t="shared" ca="1" si="193"/>
        <v>0</v>
      </c>
      <c r="R427" s="306">
        <f t="shared" ca="1" si="194"/>
        <v>0</v>
      </c>
      <c r="S427" s="307">
        <f t="shared" ca="1" si="195"/>
        <v>7.9789999999999939</v>
      </c>
      <c r="T427" s="304">
        <f t="shared" ca="1" si="175"/>
        <v>78.273989999999941</v>
      </c>
      <c r="U427" s="311">
        <f t="shared" ca="1" si="176"/>
        <v>0</v>
      </c>
      <c r="V427" s="306">
        <f t="shared" ca="1" si="177"/>
        <v>1.1277198468199812</v>
      </c>
      <c r="W427" s="304">
        <f t="shared" ca="1" si="178"/>
        <v>54.509862288276317</v>
      </c>
      <c r="Y427" s="314" t="str">
        <f t="shared" ca="1" si="196"/>
        <v/>
      </c>
      <c r="Z427" s="315" t="str">
        <f t="shared" ca="1" si="197"/>
        <v/>
      </c>
      <c r="AA427" s="316" t="str">
        <f t="shared" ca="1" si="198"/>
        <v/>
      </c>
      <c r="AC427" s="310" t="e">
        <f t="shared" ca="1" si="199"/>
        <v>#N/A</v>
      </c>
      <c r="AD427" s="323" t="e">
        <f t="shared" ca="1" si="200"/>
        <v>#N/A</v>
      </c>
      <c r="AE427" s="324">
        <f t="shared" ca="1" si="179"/>
        <v>826.95909002090661</v>
      </c>
      <c r="AG427" s="306">
        <f t="shared" ca="1" si="201"/>
        <v>-16.734981868180338</v>
      </c>
      <c r="AH427" s="304">
        <f t="shared" ca="1" si="202"/>
        <v>-7.0234634721258349</v>
      </c>
    </row>
    <row r="428" spans="1:34" x14ac:dyDescent="0.2">
      <c r="A428" s="347">
        <f t="shared" ca="1" si="180"/>
        <v>0.1</v>
      </c>
      <c r="B428" s="304">
        <f t="shared" ca="1" si="181"/>
        <v>6.3999999999999506</v>
      </c>
      <c r="D428" s="306">
        <f t="shared" ca="1" si="182"/>
        <v>-0.9730427474246699</v>
      </c>
      <c r="E428" s="307">
        <f t="shared" ca="1" si="183"/>
        <v>-16.572015003274004</v>
      </c>
      <c r="F428" s="304">
        <f t="shared" ca="1" si="184"/>
        <v>16.600557022493383</v>
      </c>
      <c r="G428" s="306">
        <f t="shared" ca="1" si="185"/>
        <v>17.818283646603422</v>
      </c>
      <c r="H428" s="307">
        <f t="shared" ca="1" si="186"/>
        <v>122.84449653631931</v>
      </c>
      <c r="I428" s="304">
        <f t="shared" ca="1" si="187"/>
        <v>124.13001877617107</v>
      </c>
      <c r="J428" s="306">
        <f t="shared" ca="1" si="188"/>
        <v>101.35476572667406</v>
      </c>
      <c r="K428" s="307">
        <f t="shared" ca="1" si="189"/>
        <v>839.32639974955487</v>
      </c>
      <c r="L428" s="304">
        <f t="shared" ca="1" si="174"/>
        <v>845.42391369777249</v>
      </c>
      <c r="M428" s="306">
        <f t="shared" ca="1" si="190"/>
        <v>1.4267534111455178</v>
      </c>
      <c r="N428" s="304">
        <f t="shared" ca="1" si="191"/>
        <v>81.746948864531674</v>
      </c>
      <c r="P428" s="310">
        <f t="shared" ca="1" si="192"/>
        <v>23</v>
      </c>
      <c r="Q428" s="304">
        <f t="shared" ca="1" si="193"/>
        <v>0</v>
      </c>
      <c r="R428" s="306">
        <f t="shared" ca="1" si="194"/>
        <v>0</v>
      </c>
      <c r="S428" s="307">
        <f t="shared" ca="1" si="195"/>
        <v>7.9789999999999939</v>
      </c>
      <c r="T428" s="304">
        <f t="shared" ca="1" si="175"/>
        <v>78.273989999999941</v>
      </c>
      <c r="U428" s="311">
        <f t="shared" ca="1" si="176"/>
        <v>0</v>
      </c>
      <c r="V428" s="306">
        <f t="shared" ca="1" si="177"/>
        <v>1.1263236013515714</v>
      </c>
      <c r="W428" s="304">
        <f t="shared" ca="1" si="178"/>
        <v>53.019931103902138</v>
      </c>
      <c r="Y428" s="314" t="str">
        <f t="shared" ca="1" si="196"/>
        <v/>
      </c>
      <c r="Z428" s="315" t="str">
        <f t="shared" ca="1" si="197"/>
        <v/>
      </c>
      <c r="AA428" s="316" t="str">
        <f t="shared" ca="1" si="198"/>
        <v/>
      </c>
      <c r="AC428" s="310" t="e">
        <f t="shared" ca="1" si="199"/>
        <v>#N/A</v>
      </c>
      <c r="AD428" s="323" t="e">
        <f t="shared" ca="1" si="200"/>
        <v>#N/A</v>
      </c>
      <c r="AE428" s="324">
        <f t="shared" ca="1" si="179"/>
        <v>839.32639974955487</v>
      </c>
      <c r="AG428" s="306">
        <f t="shared" ca="1" si="201"/>
        <v>-16.541649983981813</v>
      </c>
      <c r="AH428" s="304">
        <f t="shared" ca="1" si="202"/>
        <v>-6.8316659090457899</v>
      </c>
    </row>
    <row r="429" spans="1:34" x14ac:dyDescent="0.2">
      <c r="A429" s="347">
        <f t="shared" ca="1" si="180"/>
        <v>0.1</v>
      </c>
      <c r="B429" s="304">
        <f t="shared" ca="1" si="181"/>
        <v>6.4999999999999503</v>
      </c>
      <c r="D429" s="306">
        <f t="shared" ca="1" si="182"/>
        <v>-0.95384924663496917</v>
      </c>
      <c r="E429" s="307">
        <f t="shared" ca="1" si="183"/>
        <v>-16.386117700133067</v>
      </c>
      <c r="F429" s="304">
        <f t="shared" ca="1" si="184"/>
        <v>16.413856392326583</v>
      </c>
      <c r="G429" s="306">
        <f t="shared" ca="1" si="185"/>
        <v>17.722898721939927</v>
      </c>
      <c r="H429" s="307">
        <f t="shared" ca="1" si="186"/>
        <v>121.205884766306</v>
      </c>
      <c r="I429" s="304">
        <f t="shared" ca="1" si="187"/>
        <v>122.4947657701797</v>
      </c>
      <c r="J429" s="306">
        <f t="shared" ca="1" si="188"/>
        <v>103.13182484510122</v>
      </c>
      <c r="K429" s="307">
        <f t="shared" ca="1" si="189"/>
        <v>851.52891881468611</v>
      </c>
      <c r="L429" s="304">
        <f t="shared" ca="1" si="174"/>
        <v>857.75152163874884</v>
      </c>
      <c r="M429" s="306">
        <f t="shared" ca="1" si="190"/>
        <v>1.4256038273894109</v>
      </c>
      <c r="N429" s="304">
        <f t="shared" ca="1" si="191"/>
        <v>81.681082567109954</v>
      </c>
      <c r="P429" s="310">
        <f t="shared" ca="1" si="192"/>
        <v>23</v>
      </c>
      <c r="Q429" s="304">
        <f t="shared" ca="1" si="193"/>
        <v>0</v>
      </c>
      <c r="R429" s="306">
        <f t="shared" ca="1" si="194"/>
        <v>0</v>
      </c>
      <c r="S429" s="307">
        <f t="shared" ca="1" si="195"/>
        <v>7.9789999999999939</v>
      </c>
      <c r="T429" s="304">
        <f t="shared" ca="1" si="175"/>
        <v>78.273989999999941</v>
      </c>
      <c r="U429" s="311">
        <f t="shared" ca="1" si="176"/>
        <v>0</v>
      </c>
      <c r="V429" s="306">
        <f t="shared" ca="1" si="177"/>
        <v>1.1249475837374436</v>
      </c>
      <c r="W429" s="304">
        <f t="shared" ca="1" si="178"/>
        <v>51.569115521869449</v>
      </c>
      <c r="Y429" s="314" t="str">
        <f t="shared" ca="1" si="196"/>
        <v/>
      </c>
      <c r="Z429" s="315" t="str">
        <f t="shared" ca="1" si="197"/>
        <v/>
      </c>
      <c r="AA429" s="316" t="str">
        <f t="shared" ca="1" si="198"/>
        <v/>
      </c>
      <c r="AC429" s="310" t="e">
        <f t="shared" ca="1" si="199"/>
        <v>#N/A</v>
      </c>
      <c r="AD429" s="323" t="e">
        <f t="shared" ca="1" si="200"/>
        <v>#N/A</v>
      </c>
      <c r="AE429" s="324">
        <f t="shared" ca="1" si="179"/>
        <v>851.52891881468611</v>
      </c>
      <c r="AG429" s="306">
        <f t="shared" ca="1" si="201"/>
        <v>-16.353339470210734</v>
      </c>
      <c r="AH429" s="304">
        <f t="shared" ca="1" si="202"/>
        <v>-6.6449343406319308</v>
      </c>
    </row>
    <row r="430" spans="1:34" x14ac:dyDescent="0.2">
      <c r="A430" s="347">
        <f t="shared" ca="1" si="180"/>
        <v>0.1</v>
      </c>
      <c r="B430" s="304">
        <f t="shared" ca="1" si="181"/>
        <v>6.5999999999999499</v>
      </c>
      <c r="D430" s="306">
        <f t="shared" ca="1" si="182"/>
        <v>-0.93510082850140763</v>
      </c>
      <c r="E430" s="307">
        <f t="shared" ca="1" si="183"/>
        <v>-16.205100770051281</v>
      </c>
      <c r="F430" s="304">
        <f t="shared" ca="1" si="184"/>
        <v>16.232057926430052</v>
      </c>
      <c r="G430" s="306">
        <f t="shared" ca="1" si="185"/>
        <v>17.629388639089786</v>
      </c>
      <c r="H430" s="307">
        <f t="shared" ca="1" si="186"/>
        <v>119.58537468930088</v>
      </c>
      <c r="I430" s="304">
        <f t="shared" ca="1" si="187"/>
        <v>120.87786060056057</v>
      </c>
      <c r="J430" s="306">
        <f t="shared" ca="1" si="188"/>
        <v>104.8994392131527</v>
      </c>
      <c r="K430" s="307">
        <f t="shared" ca="1" si="189"/>
        <v>863.56848178746645</v>
      </c>
      <c r="L430" s="304">
        <f t="shared" ca="1" si="174"/>
        <v>869.91632648430254</v>
      </c>
      <c r="M430" s="306">
        <f t="shared" ca="1" si="190"/>
        <v>1.4244296341747056</v>
      </c>
      <c r="N430" s="304">
        <f t="shared" ca="1" si="191"/>
        <v>81.613806251574445</v>
      </c>
      <c r="P430" s="310">
        <f t="shared" ca="1" si="192"/>
        <v>23</v>
      </c>
      <c r="Q430" s="304">
        <f t="shared" ca="1" si="193"/>
        <v>0</v>
      </c>
      <c r="R430" s="306">
        <f t="shared" ca="1" si="194"/>
        <v>0</v>
      </c>
      <c r="S430" s="307">
        <f t="shared" ca="1" si="195"/>
        <v>7.9789999999999939</v>
      </c>
      <c r="T430" s="304">
        <f t="shared" ca="1" si="175"/>
        <v>78.273989999999941</v>
      </c>
      <c r="U430" s="311">
        <f t="shared" ca="1" si="176"/>
        <v>0</v>
      </c>
      <c r="V430" s="306">
        <f t="shared" ca="1" si="177"/>
        <v>1.1235915193641872</v>
      </c>
      <c r="W430" s="304">
        <f t="shared" ca="1" si="178"/>
        <v>50.156164106675206</v>
      </c>
      <c r="Y430" s="314" t="str">
        <f t="shared" ca="1" si="196"/>
        <v/>
      </c>
      <c r="Z430" s="315" t="str">
        <f t="shared" ca="1" si="197"/>
        <v/>
      </c>
      <c r="AA430" s="316" t="str">
        <f t="shared" ca="1" si="198"/>
        <v/>
      </c>
      <c r="AC430" s="310" t="e">
        <f t="shared" ca="1" si="199"/>
        <v>#N/A</v>
      </c>
      <c r="AD430" s="323" t="e">
        <f t="shared" ca="1" si="200"/>
        <v>#N/A</v>
      </c>
      <c r="AE430" s="324">
        <f t="shared" ca="1" si="179"/>
        <v>863.56848178746645</v>
      </c>
      <c r="AG430" s="306">
        <f t="shared" ca="1" si="201"/>
        <v>-16.169884985581447</v>
      </c>
      <c r="AH430" s="304">
        <f t="shared" ca="1" si="202"/>
        <v>-6.4631050910978178</v>
      </c>
    </row>
    <row r="431" spans="1:34" x14ac:dyDescent="0.2">
      <c r="A431" s="347">
        <f t="shared" ca="1" si="180"/>
        <v>0.1</v>
      </c>
      <c r="B431" s="304">
        <f t="shared" ca="1" si="181"/>
        <v>6.6999999999999496</v>
      </c>
      <c r="D431" s="306">
        <f t="shared" ca="1" si="182"/>
        <v>-0.91678254629025691</v>
      </c>
      <c r="E431" s="307">
        <f t="shared" ca="1" si="183"/>
        <v>-16.028808068229878</v>
      </c>
      <c r="F431" s="304">
        <f t="shared" ca="1" si="184"/>
        <v>16.055004775001898</v>
      </c>
      <c r="G431" s="306">
        <f t="shared" ca="1" si="185"/>
        <v>17.537710384460759</v>
      </c>
      <c r="H431" s="307">
        <f t="shared" ca="1" si="186"/>
        <v>117.98249388247788</v>
      </c>
      <c r="I431" s="304">
        <f t="shared" ca="1" si="187"/>
        <v>119.27883361375626</v>
      </c>
      <c r="J431" s="306">
        <f t="shared" ca="1" si="188"/>
        <v>106.65779416433023</v>
      </c>
      <c r="K431" s="307">
        <f t="shared" ca="1" si="189"/>
        <v>875.44687521605545</v>
      </c>
      <c r="L431" s="304">
        <f t="shared" ca="1" si="174"/>
        <v>881.92013038684877</v>
      </c>
      <c r="M431" s="306">
        <f t="shared" ca="1" si="190"/>
        <v>1.4232301453258713</v>
      </c>
      <c r="N431" s="304">
        <f t="shared" ca="1" si="191"/>
        <v>81.545080602963239</v>
      </c>
      <c r="P431" s="310">
        <f t="shared" ca="1" si="192"/>
        <v>23</v>
      </c>
      <c r="Q431" s="304">
        <f t="shared" ca="1" si="193"/>
        <v>0</v>
      </c>
      <c r="R431" s="306">
        <f t="shared" ca="1" si="194"/>
        <v>0</v>
      </c>
      <c r="S431" s="307">
        <f t="shared" ca="1" si="195"/>
        <v>7.9789999999999939</v>
      </c>
      <c r="T431" s="304">
        <f t="shared" ca="1" si="175"/>
        <v>78.273989999999941</v>
      </c>
      <c r="U431" s="311">
        <f t="shared" ca="1" si="176"/>
        <v>0</v>
      </c>
      <c r="V431" s="306">
        <f t="shared" ca="1" si="177"/>
        <v>1.1222551410707402</v>
      </c>
      <c r="W431" s="304">
        <f t="shared" ca="1" si="178"/>
        <v>48.779877262435342</v>
      </c>
      <c r="Y431" s="314" t="str">
        <f t="shared" ca="1" si="196"/>
        <v/>
      </c>
      <c r="Z431" s="315" t="str">
        <f t="shared" ca="1" si="197"/>
        <v/>
      </c>
      <c r="AA431" s="316" t="str">
        <f t="shared" ca="1" si="198"/>
        <v/>
      </c>
      <c r="AC431" s="310" t="e">
        <f t="shared" ca="1" si="199"/>
        <v>#N/A</v>
      </c>
      <c r="AD431" s="323" t="e">
        <f t="shared" ca="1" si="200"/>
        <v>#N/A</v>
      </c>
      <c r="AE431" s="324">
        <f t="shared" ca="1" si="179"/>
        <v>875.44687521605545</v>
      </c>
      <c r="AG431" s="306">
        <f t="shared" ca="1" si="201"/>
        <v>-15.991127944063564</v>
      </c>
      <c r="AH431" s="304">
        <f t="shared" ca="1" si="202"/>
        <v>-6.2860213192975616</v>
      </c>
    </row>
    <row r="432" spans="1:34" x14ac:dyDescent="0.2">
      <c r="A432" s="347">
        <f t="shared" ca="1" si="180"/>
        <v>0.1</v>
      </c>
      <c r="B432" s="304">
        <f t="shared" ca="1" si="181"/>
        <v>6.7999999999999492</v>
      </c>
      <c r="D432" s="306">
        <f t="shared" ca="1" si="182"/>
        <v>-0.89888006395266484</v>
      </c>
      <c r="E432" s="307">
        <f t="shared" ca="1" si="183"/>
        <v>-15.857089917754816</v>
      </c>
      <c r="F432" s="304">
        <f t="shared" ca="1" si="184"/>
        <v>15.882546585139709</v>
      </c>
      <c r="G432" s="306">
        <f t="shared" ca="1" si="185"/>
        <v>17.447822378065492</v>
      </c>
      <c r="H432" s="307">
        <f t="shared" ca="1" si="186"/>
        <v>116.39678489070241</v>
      </c>
      <c r="I432" s="304">
        <f t="shared" ca="1" si="187"/>
        <v>117.69723037790214</v>
      </c>
      <c r="J432" s="306">
        <f t="shared" ca="1" si="188"/>
        <v>108.40707080245654</v>
      </c>
      <c r="K432" s="307">
        <f t="shared" ca="1" si="189"/>
        <v>887.16583915471449</v>
      </c>
      <c r="L432" s="304">
        <f t="shared" ca="1" si="174"/>
        <v>893.76468892156254</v>
      </c>
      <c r="M432" s="306">
        <f t="shared" ca="1" si="190"/>
        <v>1.4220046479571842</v>
      </c>
      <c r="N432" s="304">
        <f t="shared" ca="1" si="191"/>
        <v>81.474864775933071</v>
      </c>
      <c r="P432" s="310">
        <f t="shared" ca="1" si="192"/>
        <v>23</v>
      </c>
      <c r="Q432" s="304">
        <f t="shared" ca="1" si="193"/>
        <v>0</v>
      </c>
      <c r="R432" s="306">
        <f t="shared" ca="1" si="194"/>
        <v>0</v>
      </c>
      <c r="S432" s="307">
        <f t="shared" ca="1" si="195"/>
        <v>7.9789999999999939</v>
      </c>
      <c r="T432" s="304">
        <f t="shared" ca="1" si="175"/>
        <v>78.273989999999941</v>
      </c>
      <c r="U432" s="311">
        <f t="shared" ca="1" si="176"/>
        <v>0</v>
      </c>
      <c r="V432" s="306">
        <f t="shared" ca="1" si="177"/>
        <v>1.1209381889018886</v>
      </c>
      <c r="W432" s="304">
        <f t="shared" ca="1" si="178"/>
        <v>47.439104694190952</v>
      </c>
      <c r="Y432" s="314" t="str">
        <f t="shared" ca="1" si="196"/>
        <v/>
      </c>
      <c r="Z432" s="315" t="str">
        <f t="shared" ca="1" si="197"/>
        <v/>
      </c>
      <c r="AA432" s="316" t="str">
        <f t="shared" ca="1" si="198"/>
        <v/>
      </c>
      <c r="AC432" s="310" t="e">
        <f t="shared" ca="1" si="199"/>
        <v>#N/A</v>
      </c>
      <c r="AD432" s="323" t="e">
        <f t="shared" ca="1" si="200"/>
        <v>#N/A</v>
      </c>
      <c r="AE432" s="324">
        <f t="shared" ca="1" si="179"/>
        <v>887.16583915471449</v>
      </c>
      <c r="AG432" s="306">
        <f t="shared" ca="1" si="201"/>
        <v>-15.816916172709748</v>
      </c>
      <c r="AH432" s="304">
        <f t="shared" ca="1" si="202"/>
        <v>-6.1135326810922894</v>
      </c>
    </row>
    <row r="433" spans="1:34" x14ac:dyDescent="0.2">
      <c r="A433" s="347">
        <f t="shared" ca="1" si="180"/>
        <v>0.1</v>
      </c>
      <c r="B433" s="304">
        <f t="shared" ca="1" si="181"/>
        <v>6.8999999999999488</v>
      </c>
      <c r="D433" s="306">
        <f t="shared" ca="1" si="182"/>
        <v>-0.88137962611045984</v>
      </c>
      <c r="E433" s="307">
        <f t="shared" ca="1" si="183"/>
        <v>-15.689802792834335</v>
      </c>
      <c r="F433" s="304">
        <f t="shared" ca="1" si="184"/>
        <v>15.714539182659946</v>
      </c>
      <c r="G433" s="306">
        <f t="shared" ca="1" si="185"/>
        <v>17.359684415454446</v>
      </c>
      <c r="H433" s="307">
        <f t="shared" ca="1" si="186"/>
        <v>114.82780461141897</v>
      </c>
      <c r="I433" s="304">
        <f t="shared" ca="1" si="187"/>
        <v>116.13261107407507</v>
      </c>
      <c r="J433" s="306">
        <f t="shared" ca="1" si="188"/>
        <v>110.14744614213254</v>
      </c>
      <c r="K433" s="307">
        <f t="shared" ca="1" si="189"/>
        <v>898.72706862982056</v>
      </c>
      <c r="L433" s="304">
        <f t="shared" ca="1" si="174"/>
        <v>905.45171256096489</v>
      </c>
      <c r="M433" s="306">
        <f t="shared" ca="1" si="190"/>
        <v>1.4207524011922681</v>
      </c>
      <c r="N433" s="304">
        <f t="shared" ca="1" si="191"/>
        <v>81.403116321394478</v>
      </c>
      <c r="P433" s="310">
        <f t="shared" ca="1" si="192"/>
        <v>23</v>
      </c>
      <c r="Q433" s="304">
        <f t="shared" ca="1" si="193"/>
        <v>0</v>
      </c>
      <c r="R433" s="306">
        <f t="shared" ca="1" si="194"/>
        <v>0</v>
      </c>
      <c r="S433" s="307">
        <f t="shared" ca="1" si="195"/>
        <v>7.9789999999999939</v>
      </c>
      <c r="T433" s="304">
        <f t="shared" ca="1" si="175"/>
        <v>78.273989999999941</v>
      </c>
      <c r="U433" s="311">
        <f t="shared" ca="1" si="176"/>
        <v>0</v>
      </c>
      <c r="V433" s="306">
        <f t="shared" ca="1" si="177"/>
        <v>1.1196404098722257</v>
      </c>
      <c r="W433" s="304">
        <f t="shared" ca="1" si="178"/>
        <v>46.132743014336924</v>
      </c>
      <c r="Y433" s="314" t="str">
        <f t="shared" ca="1" si="196"/>
        <v/>
      </c>
      <c r="Z433" s="315" t="str">
        <f t="shared" ca="1" si="197"/>
        <v/>
      </c>
      <c r="AA433" s="316" t="str">
        <f t="shared" ca="1" si="198"/>
        <v/>
      </c>
      <c r="AC433" s="310" t="e">
        <f t="shared" ca="1" si="199"/>
        <v>#N/A</v>
      </c>
      <c r="AD433" s="323" t="e">
        <f t="shared" ca="1" si="200"/>
        <v>#N/A</v>
      </c>
      <c r="AE433" s="324">
        <f t="shared" ca="1" si="179"/>
        <v>898.72706862982056</v>
      </c>
      <c r="AG433" s="306">
        <f t="shared" ca="1" si="201"/>
        <v>-15.647103588640338</v>
      </c>
      <c r="AH433" s="304">
        <f t="shared" ca="1" si="202"/>
        <v>-5.9454950111782168</v>
      </c>
    </row>
    <row r="434" spans="1:34" x14ac:dyDescent="0.2">
      <c r="A434" s="347">
        <f t="shared" ca="1" si="180"/>
        <v>0.1</v>
      </c>
      <c r="B434" s="304">
        <f t="shared" ca="1" si="181"/>
        <v>6.9999999999999485</v>
      </c>
      <c r="D434" s="306">
        <f t="shared" ca="1" si="182"/>
        <v>-0.86426802975934169</v>
      </c>
      <c r="E434" s="307">
        <f t="shared" ca="1" si="183"/>
        <v>-15.526809020142764</v>
      </c>
      <c r="F434" s="304">
        <f t="shared" ca="1" si="184"/>
        <v>15.550844272104676</v>
      </c>
      <c r="G434" s="306">
        <f t="shared" ca="1" si="185"/>
        <v>17.27325761247851</v>
      </c>
      <c r="H434" s="307">
        <f t="shared" ca="1" si="186"/>
        <v>113.2751237094047</v>
      </c>
      <c r="I434" s="304">
        <f t="shared" ca="1" si="187"/>
        <v>114.58454991807571</v>
      </c>
      <c r="J434" s="306">
        <f t="shared" ca="1" si="188"/>
        <v>111.87909324352918</v>
      </c>
      <c r="K434" s="307">
        <f t="shared" ca="1" si="189"/>
        <v>910.1322150458617</v>
      </c>
      <c r="L434" s="304">
        <f t="shared" ca="1" si="174"/>
        <v>916.98286808930129</v>
      </c>
      <c r="M434" s="306">
        <f t="shared" ca="1" si="190"/>
        <v>1.419472634809289</v>
      </c>
      <c r="N434" s="304">
        <f t="shared" ca="1" si="191"/>
        <v>81.329791108887051</v>
      </c>
      <c r="P434" s="310">
        <f t="shared" ca="1" si="192"/>
        <v>23</v>
      </c>
      <c r="Q434" s="304">
        <f t="shared" ca="1" si="193"/>
        <v>0</v>
      </c>
      <c r="R434" s="306">
        <f t="shared" ca="1" si="194"/>
        <v>0</v>
      </c>
      <c r="S434" s="307">
        <f t="shared" ca="1" si="195"/>
        <v>7.9789999999999939</v>
      </c>
      <c r="T434" s="304">
        <f t="shared" ca="1" si="175"/>
        <v>78.273989999999941</v>
      </c>
      <c r="U434" s="311">
        <f t="shared" ca="1" si="176"/>
        <v>0</v>
      </c>
      <c r="V434" s="306">
        <f t="shared" ca="1" si="177"/>
        <v>1.118361557740037</v>
      </c>
      <c r="W434" s="304">
        <f t="shared" ca="1" si="178"/>
        <v>44.859733484756127</v>
      </c>
      <c r="Y434" s="314" t="str">
        <f t="shared" ca="1" si="196"/>
        <v/>
      </c>
      <c r="Z434" s="315" t="str">
        <f t="shared" ca="1" si="197"/>
        <v/>
      </c>
      <c r="AA434" s="316" t="str">
        <f t="shared" ca="1" si="198"/>
        <v/>
      </c>
      <c r="AC434" s="310">
        <f t="shared" ca="1" si="199"/>
        <v>6.9999999999999485</v>
      </c>
      <c r="AD434" s="323">
        <f t="shared" ca="1" si="200"/>
        <v>111.87909324352918</v>
      </c>
      <c r="AE434" s="324">
        <f t="shared" ca="1" si="179"/>
        <v>910.1322150458617</v>
      </c>
      <c r="AG434" s="306">
        <f t="shared" ca="1" si="201"/>
        <v>-15.481549893887795</v>
      </c>
      <c r="AH434" s="304">
        <f t="shared" ca="1" si="202"/>
        <v>-5.7817700231027649</v>
      </c>
    </row>
    <row r="435" spans="1:34" x14ac:dyDescent="0.2">
      <c r="A435" s="347">
        <f t="shared" ca="1" si="180"/>
        <v>0.1</v>
      </c>
      <c r="B435" s="304">
        <f t="shared" ca="1" si="181"/>
        <v>7.0999999999999481</v>
      </c>
      <c r="D435" s="306">
        <f t="shared" ca="1" si="182"/>
        <v>-0.84753259757828603</v>
      </c>
      <c r="E435" s="307">
        <f t="shared" ca="1" si="183"/>
        <v>-15.367976497095615</v>
      </c>
      <c r="F435" s="304">
        <f t="shared" ca="1" si="184"/>
        <v>15.391329153755402</v>
      </c>
      <c r="G435" s="306">
        <f t="shared" ca="1" si="185"/>
        <v>17.188504352720681</v>
      </c>
      <c r="H435" s="307">
        <f t="shared" ca="1" si="186"/>
        <v>111.73832605969514</v>
      </c>
      <c r="I435" s="304">
        <f t="shared" ca="1" si="187"/>
        <v>113.05263461107948</v>
      </c>
      <c r="J435" s="306">
        <f t="shared" ca="1" si="188"/>
        <v>113.60218134178915</v>
      </c>
      <c r="K435" s="307">
        <f t="shared" ca="1" si="189"/>
        <v>921.38288753431664</v>
      </c>
      <c r="L435" s="304">
        <f t="shared" ca="1" si="174"/>
        <v>928.35977995962753</v>
      </c>
      <c r="M435" s="306">
        <f t="shared" ca="1" si="190"/>
        <v>1.418164547806767</v>
      </c>
      <c r="N435" s="304">
        <f t="shared" ca="1" si="191"/>
        <v>81.254843244406615</v>
      </c>
      <c r="P435" s="310">
        <f t="shared" ca="1" si="192"/>
        <v>23</v>
      </c>
      <c r="Q435" s="304">
        <f t="shared" ca="1" si="193"/>
        <v>0</v>
      </c>
      <c r="R435" s="306">
        <f t="shared" ca="1" si="194"/>
        <v>0</v>
      </c>
      <c r="S435" s="307">
        <f t="shared" ca="1" si="195"/>
        <v>7.9789999999999939</v>
      </c>
      <c r="T435" s="304">
        <f t="shared" ca="1" si="175"/>
        <v>78.273989999999941</v>
      </c>
      <c r="U435" s="311">
        <f t="shared" ca="1" si="176"/>
        <v>0</v>
      </c>
      <c r="V435" s="306">
        <f t="shared" ca="1" si="177"/>
        <v>1.1171013927906217</v>
      </c>
      <c r="W435" s="304">
        <f t="shared" ca="1" si="178"/>
        <v>43.619059885925367</v>
      </c>
      <c r="Y435" s="314" t="str">
        <f t="shared" ca="1" si="196"/>
        <v/>
      </c>
      <c r="Z435" s="315" t="str">
        <f t="shared" ca="1" si="197"/>
        <v/>
      </c>
      <c r="AA435" s="316" t="str">
        <f t="shared" ca="1" si="198"/>
        <v/>
      </c>
      <c r="AC435" s="310" t="e">
        <f t="shared" ca="1" si="199"/>
        <v>#N/A</v>
      </c>
      <c r="AD435" s="323" t="e">
        <f t="shared" ca="1" si="200"/>
        <v>#N/A</v>
      </c>
      <c r="AE435" s="324">
        <f t="shared" ca="1" si="179"/>
        <v>921.38288753431664</v>
      </c>
      <c r="AG435" s="306">
        <f t="shared" ca="1" si="201"/>
        <v>-15.320120286895243</v>
      </c>
      <c r="AH435" s="304">
        <f t="shared" ca="1" si="202"/>
        <v>-5.6222250262885272</v>
      </c>
    </row>
    <row r="436" spans="1:34" x14ac:dyDescent="0.2">
      <c r="A436" s="347">
        <f t="shared" ca="1" si="180"/>
        <v>0.1</v>
      </c>
      <c r="B436" s="304">
        <f t="shared" ca="1" si="181"/>
        <v>7.1999999999999478</v>
      </c>
      <c r="D436" s="306">
        <f t="shared" ca="1" si="182"/>
        <v>-0.83116115274208302</v>
      </c>
      <c r="E436" s="307">
        <f t="shared" ca="1" si="183"/>
        <v>-15.213178425966223</v>
      </c>
      <c r="F436" s="304">
        <f t="shared" ca="1" si="184"/>
        <v>15.235866456559393</v>
      </c>
      <c r="G436" s="306">
        <f t="shared" ca="1" si="185"/>
        <v>17.105388237446473</v>
      </c>
      <c r="H436" s="307">
        <f t="shared" ca="1" si="186"/>
        <v>110.21700821709852</v>
      </c>
      <c r="I436" s="304">
        <f t="shared" ca="1" si="187"/>
        <v>111.53646581760485</v>
      </c>
      <c r="J436" s="306">
        <f t="shared" ca="1" si="188"/>
        <v>115.31687597129751</v>
      </c>
      <c r="K436" s="307">
        <f t="shared" ca="1" si="189"/>
        <v>932.48065424815627</v>
      </c>
      <c r="L436" s="304">
        <f t="shared" ca="1" si="174"/>
        <v>939.58403159634906</v>
      </c>
      <c r="M436" s="306">
        <f t="shared" ca="1" si="190"/>
        <v>1.4168273068845878</v>
      </c>
      <c r="N436" s="304">
        <f t="shared" ca="1" si="191"/>
        <v>81.178224983373568</v>
      </c>
      <c r="P436" s="310">
        <f t="shared" ca="1" si="192"/>
        <v>23</v>
      </c>
      <c r="Q436" s="304">
        <f t="shared" ca="1" si="193"/>
        <v>0</v>
      </c>
      <c r="R436" s="306">
        <f t="shared" ca="1" si="194"/>
        <v>0</v>
      </c>
      <c r="S436" s="307">
        <f t="shared" ca="1" si="195"/>
        <v>7.9789999999999939</v>
      </c>
      <c r="T436" s="304">
        <f t="shared" ca="1" si="175"/>
        <v>78.273989999999941</v>
      </c>
      <c r="U436" s="311">
        <f t="shared" ca="1" si="176"/>
        <v>0</v>
      </c>
      <c r="V436" s="306">
        <f t="shared" ca="1" si="177"/>
        <v>1.1158596816285922</v>
      </c>
      <c r="W436" s="304">
        <f t="shared" ca="1" si="178"/>
        <v>42.409746504889561</v>
      </c>
      <c r="Y436" s="314" t="str">
        <f t="shared" ca="1" si="196"/>
        <v/>
      </c>
      <c r="Z436" s="315" t="str">
        <f t="shared" ca="1" si="197"/>
        <v/>
      </c>
      <c r="AA436" s="316" t="str">
        <f t="shared" ca="1" si="198"/>
        <v/>
      </c>
      <c r="AC436" s="310" t="e">
        <f t="shared" ca="1" si="199"/>
        <v>#N/A</v>
      </c>
      <c r="AD436" s="323" t="e">
        <f t="shared" ca="1" si="200"/>
        <v>#N/A</v>
      </c>
      <c r="AE436" s="324">
        <f t="shared" ca="1" si="179"/>
        <v>932.48065424815627</v>
      </c>
      <c r="AG436" s="306">
        <f t="shared" ca="1" si="201"/>
        <v>-15.162685189546732</v>
      </c>
      <c r="AH436" s="304">
        <f t="shared" ca="1" si="202"/>
        <v>-5.4667326589704723</v>
      </c>
    </row>
    <row r="437" spans="1:34" x14ac:dyDescent="0.2">
      <c r="A437" s="347">
        <f t="shared" ca="1" si="180"/>
        <v>0.1</v>
      </c>
      <c r="B437" s="304">
        <f t="shared" ca="1" si="181"/>
        <v>7.2999999999999474</v>
      </c>
      <c r="D437" s="306">
        <f t="shared" ca="1" si="182"/>
        <v>-0.81514199514138908</v>
      </c>
      <c r="E437" s="307">
        <f t="shared" ca="1" si="183"/>
        <v>-15.062293062832726</v>
      </c>
      <c r="F437" s="304">
        <f t="shared" ca="1" si="184"/>
        <v>15.084333885952734</v>
      </c>
      <c r="G437" s="306">
        <f t="shared" ca="1" si="185"/>
        <v>17.023874037932334</v>
      </c>
      <c r="H437" s="307">
        <f t="shared" ca="1" si="186"/>
        <v>108.71077891081525</v>
      </c>
      <c r="I437" s="304">
        <f t="shared" ca="1" si="187"/>
        <v>110.03565666935214</v>
      </c>
      <c r="J437" s="306">
        <f t="shared" ca="1" si="188"/>
        <v>117.02333908506645</v>
      </c>
      <c r="K437" s="307">
        <f t="shared" ca="1" si="189"/>
        <v>943.42704360455195</v>
      </c>
      <c r="L437" s="304">
        <f t="shared" ca="1" si="174"/>
        <v>950.65716664581225</v>
      </c>
      <c r="M437" s="306">
        <f t="shared" ca="1" si="190"/>
        <v>1.4154600448343611</v>
      </c>
      <c r="N437" s="304">
        <f t="shared" ca="1" si="191"/>
        <v>81.09988663840717</v>
      </c>
      <c r="P437" s="310">
        <f t="shared" ca="1" si="192"/>
        <v>23</v>
      </c>
      <c r="Q437" s="304">
        <f t="shared" ca="1" si="193"/>
        <v>0</v>
      </c>
      <c r="R437" s="306">
        <f t="shared" ca="1" si="194"/>
        <v>0</v>
      </c>
      <c r="S437" s="307">
        <f t="shared" ca="1" si="195"/>
        <v>7.9789999999999939</v>
      </c>
      <c r="T437" s="304">
        <f t="shared" ca="1" si="175"/>
        <v>78.273989999999941</v>
      </c>
      <c r="U437" s="311">
        <f t="shared" ca="1" si="176"/>
        <v>0</v>
      </c>
      <c r="V437" s="306">
        <f t="shared" ca="1" si="177"/>
        <v>1.1146361969787091</v>
      </c>
      <c r="W437" s="304">
        <f t="shared" ca="1" si="178"/>
        <v>41.230856234579207</v>
      </c>
      <c r="Y437" s="314" t="str">
        <f t="shared" ca="1" si="196"/>
        <v/>
      </c>
      <c r="Z437" s="315" t="str">
        <f t="shared" ca="1" si="197"/>
        <v/>
      </c>
      <c r="AA437" s="316" t="str">
        <f t="shared" ca="1" si="198"/>
        <v/>
      </c>
      <c r="AC437" s="310" t="e">
        <f t="shared" ca="1" si="199"/>
        <v>#N/A</v>
      </c>
      <c r="AD437" s="323" t="e">
        <f t="shared" ca="1" si="200"/>
        <v>#N/A</v>
      </c>
      <c r="AE437" s="324">
        <f t="shared" ca="1" si="179"/>
        <v>943.42704360455195</v>
      </c>
      <c r="AG437" s="306">
        <f t="shared" ca="1" si="201"/>
        <v>-15.009119988683445</v>
      </c>
      <c r="AH437" s="304">
        <f t="shared" ca="1" si="202"/>
        <v>-5.3151706360307802</v>
      </c>
    </row>
    <row r="438" spans="1:34" x14ac:dyDescent="0.2">
      <c r="A438" s="347">
        <f t="shared" ca="1" si="180"/>
        <v>0.1</v>
      </c>
      <c r="B438" s="304">
        <f t="shared" ca="1" si="181"/>
        <v>7.3999999999999471</v>
      </c>
      <c r="D438" s="306">
        <f t="shared" ca="1" si="182"/>
        <v>-0.79946387892155513</v>
      </c>
      <c r="E438" s="307">
        <f t="shared" ca="1" si="183"/>
        <v>-14.915203480416482</v>
      </c>
      <c r="F438" s="304">
        <f t="shared" ca="1" si="184"/>
        <v>14.936613985637047</v>
      </c>
      <c r="G438" s="306">
        <f t="shared" ca="1" si="185"/>
        <v>16.943927650040177</v>
      </c>
      <c r="H438" s="307">
        <f t="shared" ca="1" si="186"/>
        <v>107.2192585627736</v>
      </c>
      <c r="I438" s="304">
        <f t="shared" ca="1" si="187"/>
        <v>108.54983229356321</v>
      </c>
      <c r="J438" s="306">
        <f t="shared" ca="1" si="188"/>
        <v>118.72172916946508</v>
      </c>
      <c r="K438" s="307">
        <f t="shared" ca="1" si="189"/>
        <v>954.22354547823136</v>
      </c>
      <c r="L438" s="304">
        <f t="shared" ca="1" si="174"/>
        <v>961.58069017739433</v>
      </c>
      <c r="M438" s="306">
        <f t="shared" ca="1" si="190"/>
        <v>1.4140618588328251</v>
      </c>
      <c r="N438" s="304">
        <f t="shared" ca="1" si="191"/>
        <v>81.019776481544881</v>
      </c>
      <c r="P438" s="310">
        <f t="shared" ca="1" si="192"/>
        <v>23</v>
      </c>
      <c r="Q438" s="304">
        <f t="shared" ca="1" si="193"/>
        <v>0</v>
      </c>
      <c r="R438" s="306">
        <f t="shared" ca="1" si="194"/>
        <v>0</v>
      </c>
      <c r="S438" s="307">
        <f t="shared" ca="1" si="195"/>
        <v>7.9789999999999939</v>
      </c>
      <c r="T438" s="304">
        <f t="shared" ca="1" si="175"/>
        <v>78.273989999999941</v>
      </c>
      <c r="U438" s="311">
        <f t="shared" ca="1" si="176"/>
        <v>0</v>
      </c>
      <c r="V438" s="306">
        <f t="shared" ca="1" si="177"/>
        <v>1.1134307174948435</v>
      </c>
      <c r="W438" s="304">
        <f t="shared" ca="1" si="178"/>
        <v>40.081488777479315</v>
      </c>
      <c r="Y438" s="314" t="str">
        <f t="shared" ca="1" si="196"/>
        <v/>
      </c>
      <c r="Z438" s="315" t="str">
        <f t="shared" ca="1" si="197"/>
        <v/>
      </c>
      <c r="AA438" s="316" t="str">
        <f t="shared" ca="1" si="198"/>
        <v/>
      </c>
      <c r="AC438" s="310" t="e">
        <f t="shared" ca="1" si="199"/>
        <v>#N/A</v>
      </c>
      <c r="AD438" s="323" t="e">
        <f t="shared" ca="1" si="200"/>
        <v>#N/A</v>
      </c>
      <c r="AE438" s="324">
        <f t="shared" ca="1" si="179"/>
        <v>954.22354547823136</v>
      </c>
      <c r="AG438" s="306">
        <f t="shared" ca="1" si="201"/>
        <v>-14.859304791129777</v>
      </c>
      <c r="AH438" s="304">
        <f t="shared" ca="1" si="202"/>
        <v>-5.1674215107882242</v>
      </c>
    </row>
    <row r="439" spans="1:34" x14ac:dyDescent="0.2">
      <c r="A439" s="347">
        <f t="shared" ca="1" si="180"/>
        <v>0.1</v>
      </c>
      <c r="B439" s="304">
        <f t="shared" ca="1" si="181"/>
        <v>7.4999999999999467</v>
      </c>
      <c r="D439" s="306">
        <f t="shared" ca="1" si="182"/>
        <v>-0.78411599125776521</v>
      </c>
      <c r="E439" s="307">
        <f t="shared" ca="1" si="183"/>
        <v>-14.771797343939467</v>
      </c>
      <c r="F439" s="304">
        <f t="shared" ca="1" si="184"/>
        <v>14.792593912433452</v>
      </c>
      <c r="G439" s="306">
        <f t="shared" ca="1" si="185"/>
        <v>16.865516050914401</v>
      </c>
      <c r="H439" s="307">
        <f t="shared" ca="1" si="186"/>
        <v>105.74207882837966</v>
      </c>
      <c r="I439" s="304">
        <f t="shared" ca="1" si="187"/>
        <v>107.07862936464451</v>
      </c>
      <c r="J439" s="306">
        <f t="shared" ca="1" si="188"/>
        <v>120.4122013545128</v>
      </c>
      <c r="K439" s="307">
        <f t="shared" ca="1" si="189"/>
        <v>964.87161234778898</v>
      </c>
      <c r="L439" s="304">
        <f t="shared" ca="1" si="174"/>
        <v>972.35606983741388</v>
      </c>
      <c r="M439" s="306">
        <f t="shared" ca="1" si="190"/>
        <v>1.4126318086314786</v>
      </c>
      <c r="N439" s="304">
        <f t="shared" ca="1" si="191"/>
        <v>80.937840640515901</v>
      </c>
      <c r="P439" s="310">
        <f t="shared" ca="1" si="192"/>
        <v>23</v>
      </c>
      <c r="Q439" s="304">
        <f t="shared" ca="1" si="193"/>
        <v>0</v>
      </c>
      <c r="R439" s="306">
        <f t="shared" ca="1" si="194"/>
        <v>0</v>
      </c>
      <c r="S439" s="307">
        <f t="shared" ca="1" si="195"/>
        <v>7.9789999999999939</v>
      </c>
      <c r="T439" s="304">
        <f t="shared" ca="1" si="175"/>
        <v>78.273989999999941</v>
      </c>
      <c r="U439" s="311">
        <f t="shared" ca="1" si="176"/>
        <v>0</v>
      </c>
      <c r="V439" s="306">
        <f t="shared" ca="1" si="177"/>
        <v>1.1122430275766735</v>
      </c>
      <c r="W439" s="304">
        <f t="shared" ca="1" si="178"/>
        <v>38.960778947150253</v>
      </c>
      <c r="Y439" s="314" t="str">
        <f t="shared" ca="1" si="196"/>
        <v/>
      </c>
      <c r="Z439" s="315" t="str">
        <f t="shared" ca="1" si="197"/>
        <v/>
      </c>
      <c r="AA439" s="316" t="str">
        <f t="shared" ca="1" si="198"/>
        <v/>
      </c>
      <c r="AC439" s="310" t="e">
        <f t="shared" ca="1" si="199"/>
        <v>#N/A</v>
      </c>
      <c r="AD439" s="323" t="e">
        <f t="shared" ca="1" si="200"/>
        <v>#N/A</v>
      </c>
      <c r="AE439" s="324">
        <f t="shared" ca="1" si="179"/>
        <v>964.87161234778898</v>
      </c>
      <c r="AG439" s="306">
        <f t="shared" ca="1" si="201"/>
        <v>-14.713124191317194</v>
      </c>
      <c r="AH439" s="304">
        <f t="shared" ca="1" si="202"/>
        <v>-5.0233724498658159</v>
      </c>
    </row>
    <row r="440" spans="1:34" x14ac:dyDescent="0.2">
      <c r="A440" s="347">
        <f t="shared" ca="1" si="180"/>
        <v>0.1</v>
      </c>
      <c r="B440" s="304">
        <f t="shared" ca="1" si="181"/>
        <v>7.5999999999999464</v>
      </c>
      <c r="D440" s="306">
        <f t="shared" ca="1" si="182"/>
        <v>-0.76908793228992678</v>
      </c>
      <c r="E440" s="307">
        <f t="shared" ca="1" si="183"/>
        <v>-14.631966699189604</v>
      </c>
      <c r="F440" s="304">
        <f t="shared" ca="1" si="184"/>
        <v>14.652165223399152</v>
      </c>
      <c r="G440" s="306">
        <f t="shared" ca="1" si="185"/>
        <v>16.78860725768541</v>
      </c>
      <c r="H440" s="307">
        <f t="shared" ca="1" si="186"/>
        <v>104.2788821584607</v>
      </c>
      <c r="I440" s="304">
        <f t="shared" ca="1" si="187"/>
        <v>105.62169567788118</v>
      </c>
      <c r="J440" s="306">
        <f t="shared" ca="1" si="188"/>
        <v>122.09490751994279</v>
      </c>
      <c r="K440" s="307">
        <f t="shared" ca="1" si="189"/>
        <v>975.37266039713097</v>
      </c>
      <c r="L440" s="304">
        <f t="shared" ca="1" si="174"/>
        <v>982.98473695804671</v>
      </c>
      <c r="M440" s="306">
        <f t="shared" ca="1" si="190"/>
        <v>1.411168914635085</v>
      </c>
      <c r="N440" s="304">
        <f t="shared" ca="1" si="191"/>
        <v>80.854022988647515</v>
      </c>
      <c r="P440" s="310">
        <f t="shared" ca="1" si="192"/>
        <v>23</v>
      </c>
      <c r="Q440" s="304">
        <f t="shared" ca="1" si="193"/>
        <v>0</v>
      </c>
      <c r="R440" s="306">
        <f t="shared" ca="1" si="194"/>
        <v>0</v>
      </c>
      <c r="S440" s="307">
        <f t="shared" ca="1" si="195"/>
        <v>7.9789999999999939</v>
      </c>
      <c r="T440" s="304">
        <f t="shared" ca="1" si="175"/>
        <v>78.273989999999941</v>
      </c>
      <c r="U440" s="311">
        <f t="shared" ca="1" si="176"/>
        <v>0</v>
      </c>
      <c r="V440" s="306">
        <f t="shared" ca="1" si="177"/>
        <v>1.1110729171937523</v>
      </c>
      <c r="W440" s="304">
        <f t="shared" ca="1" si="178"/>
        <v>37.867895061554542</v>
      </c>
      <c r="Y440" s="314" t="str">
        <f t="shared" ca="1" si="196"/>
        <v/>
      </c>
      <c r="Z440" s="315" t="str">
        <f t="shared" ca="1" si="197"/>
        <v/>
      </c>
      <c r="AA440" s="316" t="str">
        <f t="shared" ca="1" si="198"/>
        <v/>
      </c>
      <c r="AC440" s="310" t="e">
        <f t="shared" ca="1" si="199"/>
        <v>#N/A</v>
      </c>
      <c r="AD440" s="323" t="e">
        <f t="shared" ca="1" si="200"/>
        <v>#N/A</v>
      </c>
      <c r="AE440" s="324">
        <f t="shared" ca="1" si="179"/>
        <v>975.37266039713097</v>
      </c>
      <c r="AG440" s="306">
        <f t="shared" ca="1" si="201"/>
        <v>-14.570467050652027</v>
      </c>
      <c r="AH440" s="304">
        <f t="shared" ca="1" si="202"/>
        <v>-4.8829150203221312</v>
      </c>
    </row>
    <row r="441" spans="1:34" x14ac:dyDescent="0.2">
      <c r="A441" s="347">
        <f t="shared" ca="1" si="180"/>
        <v>0.1</v>
      </c>
      <c r="B441" s="304">
        <f t="shared" ca="1" si="181"/>
        <v>7.699999999999946</v>
      </c>
      <c r="D441" s="306">
        <f t="shared" ca="1" si="182"/>
        <v>-0.75436969614608407</v>
      </c>
      <c r="E441" s="307">
        <f t="shared" ca="1" si="183"/>
        <v>-14.495607772039605</v>
      </c>
      <c r="F441" s="304">
        <f t="shared" ca="1" si="184"/>
        <v>14.515223674448785</v>
      </c>
      <c r="G441" s="306">
        <f t="shared" ca="1" si="185"/>
        <v>16.713170288070803</v>
      </c>
      <c r="H441" s="307">
        <f t="shared" ca="1" si="186"/>
        <v>102.82932138125675</v>
      </c>
      <c r="I441" s="304">
        <f t="shared" ca="1" si="187"/>
        <v>104.17868974414988</v>
      </c>
      <c r="J441" s="306">
        <f t="shared" ca="1" si="188"/>
        <v>123.7699963972306</v>
      </c>
      <c r="K441" s="307">
        <f t="shared" ca="1" si="189"/>
        <v>985.72807057411683</v>
      </c>
      <c r="L441" s="304">
        <f t="shared" ca="1" si="174"/>
        <v>993.46808762332239</v>
      </c>
      <c r="M441" s="306">
        <f t="shared" ca="1" si="190"/>
        <v>1.4096721558610932</v>
      </c>
      <c r="N441" s="304">
        <f t="shared" ca="1" si="191"/>
        <v>80.768265027948615</v>
      </c>
      <c r="P441" s="310">
        <f t="shared" ca="1" si="192"/>
        <v>23</v>
      </c>
      <c r="Q441" s="304">
        <f t="shared" ca="1" si="193"/>
        <v>0</v>
      </c>
      <c r="R441" s="306">
        <f t="shared" ca="1" si="194"/>
        <v>0</v>
      </c>
      <c r="S441" s="307">
        <f t="shared" ca="1" si="195"/>
        <v>7.9789999999999939</v>
      </c>
      <c r="T441" s="304">
        <f t="shared" ca="1" si="175"/>
        <v>78.273989999999941</v>
      </c>
      <c r="U441" s="311">
        <f t="shared" ca="1" si="176"/>
        <v>0</v>
      </c>
      <c r="V441" s="306">
        <f t="shared" ca="1" si="177"/>
        <v>1.1099201817165967</v>
      </c>
      <c r="W441" s="304">
        <f t="shared" ca="1" si="178"/>
        <v>36.802037422561035</v>
      </c>
      <c r="Y441" s="314" t="str">
        <f t="shared" ca="1" si="196"/>
        <v/>
      </c>
      <c r="Z441" s="315" t="str">
        <f t="shared" ca="1" si="197"/>
        <v/>
      </c>
      <c r="AA441" s="316" t="str">
        <f t="shared" ca="1" si="198"/>
        <v/>
      </c>
      <c r="AC441" s="310" t="e">
        <f t="shared" ca="1" si="199"/>
        <v>#N/A</v>
      </c>
      <c r="AD441" s="323" t="e">
        <f t="shared" ca="1" si="200"/>
        <v>#N/A</v>
      </c>
      <c r="AE441" s="324">
        <f t="shared" ca="1" si="179"/>
        <v>985.72807057411683</v>
      </c>
      <c r="AG441" s="306">
        <f t="shared" ca="1" si="201"/>
        <v>-14.431226287826799</v>
      </c>
      <c r="AH441" s="304">
        <f t="shared" ca="1" si="202"/>
        <v>-4.7459449882885787</v>
      </c>
    </row>
    <row r="442" spans="1:34" x14ac:dyDescent="0.2">
      <c r="A442" s="347">
        <f t="shared" ca="1" si="180"/>
        <v>0.1</v>
      </c>
      <c r="B442" s="304">
        <f t="shared" ca="1" si="181"/>
        <v>7.7999999999999456</v>
      </c>
      <c r="D442" s="306">
        <f t="shared" ca="1" si="182"/>
        <v>-0.73995165298810162</v>
      </c>
      <c r="E442" s="307">
        <f t="shared" ca="1" si="183"/>
        <v>-14.362620778716936</v>
      </c>
      <c r="F442" s="304">
        <f t="shared" ca="1" si="184"/>
        <v>14.381669029775066</v>
      </c>
      <c r="G442" s="306">
        <f t="shared" ca="1" si="185"/>
        <v>16.639175122771992</v>
      </c>
      <c r="H442" s="307">
        <f t="shared" ca="1" si="186"/>
        <v>101.39305930338506</v>
      </c>
      <c r="I442" s="304">
        <f t="shared" ca="1" si="187"/>
        <v>102.7492804046142</v>
      </c>
      <c r="J442" s="306">
        <f t="shared" ca="1" si="188"/>
        <v>125.43761366777274</v>
      </c>
      <c r="K442" s="307">
        <f t="shared" ca="1" si="189"/>
        <v>995.9391896083489</v>
      </c>
      <c r="L442" s="304">
        <f t="shared" ca="1" si="174"/>
        <v>1003.8074836941594</v>
      </c>
      <c r="M442" s="306">
        <f t="shared" ca="1" si="190"/>
        <v>1.408140467771362</v>
      </c>
      <c r="N442" s="304">
        <f t="shared" ca="1" si="191"/>
        <v>80.680505764876557</v>
      </c>
      <c r="P442" s="310">
        <f t="shared" ca="1" si="192"/>
        <v>23</v>
      </c>
      <c r="Q442" s="304">
        <f t="shared" ca="1" si="193"/>
        <v>0</v>
      </c>
      <c r="R442" s="306">
        <f t="shared" ca="1" si="194"/>
        <v>0</v>
      </c>
      <c r="S442" s="307">
        <f t="shared" ca="1" si="195"/>
        <v>7.9789999999999939</v>
      </c>
      <c r="T442" s="304">
        <f t="shared" ca="1" si="175"/>
        <v>78.273989999999941</v>
      </c>
      <c r="U442" s="311">
        <f t="shared" ca="1" si="176"/>
        <v>0</v>
      </c>
      <c r="V442" s="306">
        <f t="shared" ca="1" si="177"/>
        <v>1.1087846217544715</v>
      </c>
      <c r="W442" s="304">
        <f t="shared" ca="1" si="178"/>
        <v>35.762436876386253</v>
      </c>
      <c r="Y442" s="314" t="str">
        <f t="shared" ca="1" si="196"/>
        <v/>
      </c>
      <c r="Z442" s="315" t="str">
        <f t="shared" ca="1" si="197"/>
        <v/>
      </c>
      <c r="AA442" s="316" t="str">
        <f t="shared" ca="1" si="198"/>
        <v/>
      </c>
      <c r="AC442" s="310" t="e">
        <f t="shared" ca="1" si="199"/>
        <v>#N/A</v>
      </c>
      <c r="AD442" s="323" t="e">
        <f t="shared" ca="1" si="200"/>
        <v>#N/A</v>
      </c>
      <c r="AE442" s="324">
        <f t="shared" ca="1" si="179"/>
        <v>995.9391896083489</v>
      </c>
      <c r="AG442" s="306">
        <f t="shared" ca="1" si="201"/>
        <v>-14.295298679322839</v>
      </c>
      <c r="AH442" s="304">
        <f t="shared" ca="1" si="202"/>
        <v>-4.6123621284072023</v>
      </c>
    </row>
    <row r="443" spans="1:34" x14ac:dyDescent="0.2">
      <c r="A443" s="347">
        <f t="shared" ca="1" si="180"/>
        <v>0.1</v>
      </c>
      <c r="B443" s="304">
        <f t="shared" ca="1" si="181"/>
        <v>7.8999999999999453</v>
      </c>
      <c r="D443" s="306">
        <f t="shared" ca="1" si="182"/>
        <v>-0.72582453201801167</v>
      </c>
      <c r="E443" s="307">
        <f t="shared" ca="1" si="183"/>
        <v>-14.232909746170982</v>
      </c>
      <c r="F443" s="304">
        <f t="shared" ca="1" si="184"/>
        <v>14.251404881411801</v>
      </c>
      <c r="G443" s="306">
        <f t="shared" ca="1" si="185"/>
        <v>16.566592669570191</v>
      </c>
      <c r="H443" s="307">
        <f t="shared" ca="1" si="186"/>
        <v>99.969768328767955</v>
      </c>
      <c r="I443" s="304">
        <f t="shared" ca="1" si="187"/>
        <v>101.3331464644565</v>
      </c>
      <c r="J443" s="306">
        <f t="shared" ca="1" si="188"/>
        <v>127.09790205738985</v>
      </c>
      <c r="K443" s="307">
        <f t="shared" ca="1" si="189"/>
        <v>1006.0073309899566</v>
      </c>
      <c r="L443" s="304">
        <f t="shared" ca="1" si="174"/>
        <v>1014.0042537942954</v>
      </c>
      <c r="M443" s="306">
        <f t="shared" ca="1" si="190"/>
        <v>1.4065727399668728</v>
      </c>
      <c r="N443" s="304">
        <f t="shared" ca="1" si="191"/>
        <v>80.590681578254021</v>
      </c>
      <c r="P443" s="310">
        <f t="shared" ca="1" si="192"/>
        <v>23</v>
      </c>
      <c r="Q443" s="304">
        <f t="shared" ca="1" si="193"/>
        <v>0</v>
      </c>
      <c r="R443" s="306">
        <f t="shared" ca="1" si="194"/>
        <v>0</v>
      </c>
      <c r="S443" s="307">
        <f t="shared" ca="1" si="195"/>
        <v>7.9789999999999939</v>
      </c>
      <c r="T443" s="304">
        <f t="shared" ca="1" si="175"/>
        <v>78.273989999999941</v>
      </c>
      <c r="U443" s="311">
        <f t="shared" ca="1" si="176"/>
        <v>0</v>
      </c>
      <c r="V443" s="306">
        <f t="shared" ca="1" si="177"/>
        <v>1.107666042999556</v>
      </c>
      <c r="W443" s="304">
        <f t="shared" ca="1" si="178"/>
        <v>34.748353450088089</v>
      </c>
      <c r="Y443" s="314" t="str">
        <f t="shared" ca="1" si="196"/>
        <v/>
      </c>
      <c r="Z443" s="315" t="str">
        <f t="shared" ca="1" si="197"/>
        <v/>
      </c>
      <c r="AA443" s="316" t="str">
        <f t="shared" ca="1" si="198"/>
        <v/>
      </c>
      <c r="AC443" s="310" t="e">
        <f t="shared" ca="1" si="199"/>
        <v>#N/A</v>
      </c>
      <c r="AD443" s="323" t="e">
        <f t="shared" ca="1" si="200"/>
        <v>#N/A</v>
      </c>
      <c r="AE443" s="324">
        <f t="shared" ca="1" si="179"/>
        <v>1006.0073309899566</v>
      </c>
      <c r="AG443" s="306">
        <f t="shared" ca="1" si="201"/>
        <v>-14.162584669396324</v>
      </c>
      <c r="AH443" s="304">
        <f t="shared" ca="1" si="202"/>
        <v>-4.482070043412242</v>
      </c>
    </row>
    <row r="444" spans="1:34" x14ac:dyDescent="0.2">
      <c r="A444" s="347">
        <f t="shared" ca="1" si="180"/>
        <v>0.1</v>
      </c>
      <c r="B444" s="304">
        <f t="shared" ca="1" si="181"/>
        <v>7.9999999999999449</v>
      </c>
      <c r="D444" s="306">
        <f t="shared" ca="1" si="182"/>
        <v>-0.71197940538759907</v>
      </c>
      <c r="E444" s="307">
        <f t="shared" ca="1" si="183"/>
        <v>-14.106382341927823</v>
      </c>
      <c r="F444" s="304">
        <f t="shared" ca="1" si="184"/>
        <v>14.124338478327019</v>
      </c>
      <c r="G444" s="306">
        <f t="shared" ca="1" si="185"/>
        <v>16.495394729031432</v>
      </c>
      <c r="H444" s="307">
        <f t="shared" ca="1" si="186"/>
        <v>98.559130094575167</v>
      </c>
      <c r="I444" s="304">
        <f t="shared" ca="1" si="187"/>
        <v>99.929976344768292</v>
      </c>
      <c r="J444" s="306">
        <f t="shared" ca="1" si="188"/>
        <v>128.75100142731992</v>
      </c>
      <c r="K444" s="307">
        <f t="shared" ca="1" si="189"/>
        <v>1015.9337759111237</v>
      </c>
      <c r="L444" s="304">
        <f t="shared" ca="1" si="174"/>
        <v>1024.0596942588704</v>
      </c>
      <c r="M444" s="306">
        <f t="shared" ca="1" si="190"/>
        <v>1.4049678137353283</v>
      </c>
      <c r="N444" s="304">
        <f t="shared" ca="1" si="191"/>
        <v>80.49872607875669</v>
      </c>
      <c r="P444" s="310">
        <f t="shared" ca="1" si="192"/>
        <v>23</v>
      </c>
      <c r="Q444" s="304">
        <f t="shared" ca="1" si="193"/>
        <v>0</v>
      </c>
      <c r="R444" s="306">
        <f t="shared" ca="1" si="194"/>
        <v>0</v>
      </c>
      <c r="S444" s="307">
        <f t="shared" ca="1" si="195"/>
        <v>7.9789999999999939</v>
      </c>
      <c r="T444" s="304">
        <f t="shared" ca="1" si="175"/>
        <v>78.273989999999941</v>
      </c>
      <c r="U444" s="311">
        <f t="shared" ca="1" si="176"/>
        <v>0</v>
      </c>
      <c r="V444" s="306">
        <f t="shared" ca="1" si="177"/>
        <v>1.1065642560772042</v>
      </c>
      <c r="W444" s="304">
        <f t="shared" ca="1" si="178"/>
        <v>33.759075059558974</v>
      </c>
      <c r="Y444" s="314" t="str">
        <f t="shared" ca="1" si="196"/>
        <v/>
      </c>
      <c r="Z444" s="315" t="str">
        <f t="shared" ca="1" si="197"/>
        <v/>
      </c>
      <c r="AA444" s="316" t="str">
        <f t="shared" ca="1" si="198"/>
        <v/>
      </c>
      <c r="AC444" s="310">
        <f t="shared" ca="1" si="199"/>
        <v>7.9999999999999449</v>
      </c>
      <c r="AD444" s="323">
        <f t="shared" ca="1" si="200"/>
        <v>128.75100142731992</v>
      </c>
      <c r="AE444" s="324">
        <f t="shared" ca="1" si="179"/>
        <v>1015.9337759111237</v>
      </c>
      <c r="AG444" s="306">
        <f t="shared" ca="1" si="201"/>
        <v>-14.032988188879621</v>
      </c>
      <c r="AH444" s="304">
        <f t="shared" ca="1" si="202"/>
        <v>-4.3549759932432783</v>
      </c>
    </row>
    <row r="445" spans="1:34" x14ac:dyDescent="0.2">
      <c r="A445" s="347">
        <f t="shared" ca="1" si="180"/>
        <v>0.1</v>
      </c>
      <c r="B445" s="304">
        <f t="shared" ca="1" si="181"/>
        <v>8.0999999999999446</v>
      </c>
      <c r="D445" s="306">
        <f t="shared" ca="1" si="182"/>
        <v>-0.69840767295779571</v>
      </c>
      <c r="E445" s="307">
        <f t="shared" ca="1" si="183"/>
        <v>-13.982949712864412</v>
      </c>
      <c r="F445" s="304">
        <f t="shared" ca="1" si="184"/>
        <v>14.000380564475426</v>
      </c>
      <c r="G445" s="306">
        <f t="shared" ca="1" si="185"/>
        <v>16.425553961735652</v>
      </c>
      <c r="H445" s="307">
        <f t="shared" ca="1" si="186"/>
        <v>97.16083512328872</v>
      </c>
      <c r="I445" s="304">
        <f t="shared" ca="1" si="187"/>
        <v>98.539467751783519</v>
      </c>
      <c r="J445" s="306">
        <f t="shared" ca="1" si="188"/>
        <v>130.39704886185828</v>
      </c>
      <c r="K445" s="307">
        <f t="shared" ca="1" si="189"/>
        <v>1025.719774172017</v>
      </c>
      <c r="L445" s="304">
        <f t="shared" ca="1" si="174"/>
        <v>1033.9750700473273</v>
      </c>
      <c r="M445" s="306">
        <f t="shared" ca="1" si="190"/>
        <v>1.4033244794406901</v>
      </c>
      <c r="N445" s="304">
        <f t="shared" ca="1" si="191"/>
        <v>80.404569959344798</v>
      </c>
      <c r="P445" s="310">
        <f t="shared" ca="1" si="192"/>
        <v>23</v>
      </c>
      <c r="Q445" s="304">
        <f t="shared" ca="1" si="193"/>
        <v>0</v>
      </c>
      <c r="R445" s="306">
        <f t="shared" ca="1" si="194"/>
        <v>0</v>
      </c>
      <c r="S445" s="307">
        <f t="shared" ca="1" si="195"/>
        <v>7.9789999999999939</v>
      </c>
      <c r="T445" s="304">
        <f t="shared" ca="1" si="175"/>
        <v>78.273989999999941</v>
      </c>
      <c r="U445" s="311">
        <f t="shared" ca="1" si="176"/>
        <v>0</v>
      </c>
      <c r="V445" s="306">
        <f t="shared" ca="1" si="177"/>
        <v>1.1054790764020159</v>
      </c>
      <c r="W445" s="304">
        <f t="shared" ca="1" si="178"/>
        <v>32.793916284769999</v>
      </c>
      <c r="Y445" s="314" t="str">
        <f t="shared" ca="1" si="196"/>
        <v/>
      </c>
      <c r="Z445" s="315" t="str">
        <f t="shared" ca="1" si="197"/>
        <v/>
      </c>
      <c r="AA445" s="316" t="str">
        <f t="shared" ca="1" si="198"/>
        <v/>
      </c>
      <c r="AC445" s="310" t="e">
        <f t="shared" ca="1" si="199"/>
        <v>#N/A</v>
      </c>
      <c r="AD445" s="323" t="e">
        <f t="shared" ca="1" si="200"/>
        <v>#N/A</v>
      </c>
      <c r="AE445" s="324">
        <f t="shared" ca="1" si="179"/>
        <v>1025.719774172017</v>
      </c>
      <c r="AG445" s="306">
        <f t="shared" ca="1" si="201"/>
        <v>-13.906416482165849</v>
      </c>
      <c r="AH445" s="304">
        <f t="shared" ca="1" si="202"/>
        <v>-4.2309907331193131</v>
      </c>
    </row>
    <row r="446" spans="1:34" x14ac:dyDescent="0.2">
      <c r="A446" s="347">
        <f t="shared" ca="1" si="180"/>
        <v>0.1</v>
      </c>
      <c r="B446" s="304">
        <f t="shared" ca="1" si="181"/>
        <v>8.1999999999999442</v>
      </c>
      <c r="D446" s="306">
        <f t="shared" ca="1" si="182"/>
        <v>-0.6851010478580688</v>
      </c>
      <c r="E446" s="307">
        <f t="shared" ca="1" si="183"/>
        <v>-13.862526332371953</v>
      </c>
      <c r="F446" s="304">
        <f t="shared" ca="1" si="184"/>
        <v>13.87944522527763</v>
      </c>
      <c r="G446" s="306">
        <f t="shared" ca="1" si="185"/>
        <v>16.357043856949844</v>
      </c>
      <c r="H446" s="307">
        <f t="shared" ca="1" si="186"/>
        <v>95.774582490051529</v>
      </c>
      <c r="I446" s="304">
        <f t="shared" ca="1" si="187"/>
        <v>97.161327362700561</v>
      </c>
      <c r="J446" s="306">
        <f t="shared" ca="1" si="188"/>
        <v>132.03617875279255</v>
      </c>
      <c r="K446" s="307">
        <f t="shared" ca="1" si="189"/>
        <v>1035.3665450526839</v>
      </c>
      <c r="L446" s="304">
        <f t="shared" ca="1" si="174"/>
        <v>1043.7516156222086</v>
      </c>
      <c r="M446" s="306">
        <f t="shared" ca="1" si="190"/>
        <v>1.4016414737427692</v>
      </c>
      <c r="N446" s="304">
        <f t="shared" ca="1" si="191"/>
        <v>80.308140835957474</v>
      </c>
      <c r="P446" s="310">
        <f t="shared" ca="1" si="192"/>
        <v>23</v>
      </c>
      <c r="Q446" s="304">
        <f t="shared" ca="1" si="193"/>
        <v>0</v>
      </c>
      <c r="R446" s="306">
        <f t="shared" ca="1" si="194"/>
        <v>0</v>
      </c>
      <c r="S446" s="307">
        <f t="shared" ca="1" si="195"/>
        <v>7.9789999999999939</v>
      </c>
      <c r="T446" s="304">
        <f t="shared" ca="1" si="175"/>
        <v>78.273989999999941</v>
      </c>
      <c r="U446" s="311">
        <f t="shared" ca="1" si="176"/>
        <v>0</v>
      </c>
      <c r="V446" s="306">
        <f t="shared" ca="1" si="177"/>
        <v>1.1044103240394607</v>
      </c>
      <c r="W446" s="304">
        <f t="shared" ca="1" si="178"/>
        <v>31.852217208301511</v>
      </c>
      <c r="Y446" s="314" t="str">
        <f t="shared" ca="1" si="196"/>
        <v/>
      </c>
      <c r="Z446" s="315" t="str">
        <f t="shared" ca="1" si="197"/>
        <v/>
      </c>
      <c r="AA446" s="316" t="str">
        <f t="shared" ca="1" si="198"/>
        <v/>
      </c>
      <c r="AC446" s="310" t="e">
        <f t="shared" ca="1" si="199"/>
        <v>#N/A</v>
      </c>
      <c r="AD446" s="323" t="e">
        <f t="shared" ca="1" si="200"/>
        <v>#N/A</v>
      </c>
      <c r="AE446" s="324">
        <f t="shared" ca="1" si="179"/>
        <v>1035.3665450526839</v>
      </c>
      <c r="AG446" s="306">
        <f t="shared" ca="1" si="201"/>
        <v>-13.782779941777106</v>
      </c>
      <c r="AH446" s="304">
        <f t="shared" ca="1" si="202"/>
        <v>-4.1100283600413619</v>
      </c>
    </row>
    <row r="447" spans="1:34" x14ac:dyDescent="0.2">
      <c r="A447" s="347">
        <f t="shared" ca="1" si="180"/>
        <v>0.1</v>
      </c>
      <c r="B447" s="304">
        <f t="shared" ca="1" si="181"/>
        <v>8.2999999999999439</v>
      </c>
      <c r="D447" s="306">
        <f t="shared" ca="1" si="182"/>
        <v>-0.67205154279940271</v>
      </c>
      <c r="E447" s="307">
        <f t="shared" ca="1" si="183"/>
        <v>-13.745029855413634</v>
      </c>
      <c r="F447" s="304">
        <f t="shared" ca="1" si="184"/>
        <v>13.761449742029043</v>
      </c>
      <c r="G447" s="306">
        <f t="shared" ca="1" si="185"/>
        <v>16.289838702669904</v>
      </c>
      <c r="H447" s="307">
        <f t="shared" ca="1" si="186"/>
        <v>94.40007950451016</v>
      </c>
      <c r="I447" s="304">
        <f t="shared" ca="1" si="187"/>
        <v>95.79527052739526</v>
      </c>
      <c r="J447" s="306">
        <f t="shared" ca="1" si="188"/>
        <v>133.66852288077354</v>
      </c>
      <c r="K447" s="307">
        <f t="shared" ca="1" si="189"/>
        <v>1044.875278152412</v>
      </c>
      <c r="L447" s="304">
        <f t="shared" ca="1" si="174"/>
        <v>1053.390535795347</v>
      </c>
      <c r="M447" s="306">
        <f t="shared" ca="1" si="190"/>
        <v>1.3999174766339728</v>
      </c>
      <c r="N447" s="304">
        <f t="shared" ca="1" si="191"/>
        <v>80.209363077730686</v>
      </c>
      <c r="P447" s="310">
        <f t="shared" ca="1" si="192"/>
        <v>23</v>
      </c>
      <c r="Q447" s="304">
        <f t="shared" ca="1" si="193"/>
        <v>0</v>
      </c>
      <c r="R447" s="306">
        <f t="shared" ca="1" si="194"/>
        <v>0</v>
      </c>
      <c r="S447" s="307">
        <f t="shared" ca="1" si="195"/>
        <v>7.9789999999999939</v>
      </c>
      <c r="T447" s="304">
        <f t="shared" ca="1" si="175"/>
        <v>78.273989999999941</v>
      </c>
      <c r="U447" s="311">
        <f t="shared" ca="1" si="176"/>
        <v>0</v>
      </c>
      <c r="V447" s="306">
        <f t="shared" ca="1" si="177"/>
        <v>1.1033578235728012</v>
      </c>
      <c r="W447" s="304">
        <f t="shared" ca="1" si="178"/>
        <v>30.93334231345715</v>
      </c>
      <c r="Y447" s="314" t="str">
        <f t="shared" ca="1" si="196"/>
        <v/>
      </c>
      <c r="Z447" s="315" t="str">
        <f t="shared" ca="1" si="197"/>
        <v/>
      </c>
      <c r="AA447" s="316" t="str">
        <f t="shared" ca="1" si="198"/>
        <v/>
      </c>
      <c r="AC447" s="310" t="e">
        <f t="shared" ca="1" si="199"/>
        <v>#N/A</v>
      </c>
      <c r="AD447" s="323" t="e">
        <f t="shared" ca="1" si="200"/>
        <v>#N/A</v>
      </c>
      <c r="AE447" s="324">
        <f t="shared" ca="1" si="179"/>
        <v>1044.875278152412</v>
      </c>
      <c r="AG447" s="306">
        <f t="shared" ca="1" si="201"/>
        <v>-13.661991949945502</v>
      </c>
      <c r="AH447" s="304">
        <f t="shared" ca="1" si="202"/>
        <v>-3.9920061672266618</v>
      </c>
    </row>
    <row r="448" spans="1:34" x14ac:dyDescent="0.2">
      <c r="A448" s="347">
        <f t="shared" ca="1" si="180"/>
        <v>0.1</v>
      </c>
      <c r="B448" s="304">
        <f t="shared" ca="1" si="181"/>
        <v>8.3999999999999435</v>
      </c>
      <c r="D448" s="306">
        <f t="shared" ca="1" si="182"/>
        <v>-0.65925145709757549</v>
      </c>
      <c r="E448" s="307">
        <f t="shared" ca="1" si="183"/>
        <v>-13.630380981014582</v>
      </c>
      <c r="F448" s="304">
        <f t="shared" ca="1" si="184"/>
        <v>13.646314453774298</v>
      </c>
      <c r="G448" s="306">
        <f t="shared" ca="1" si="185"/>
        <v>16.223913556960145</v>
      </c>
      <c r="H448" s="307">
        <f t="shared" ca="1" si="186"/>
        <v>93.037041406408704</v>
      </c>
      <c r="I448" s="304">
        <f t="shared" ca="1" si="187"/>
        <v>94.441020985382849</v>
      </c>
      <c r="J448" s="306">
        <f t="shared" ca="1" si="188"/>
        <v>135.29421049375503</v>
      </c>
      <c r="K448" s="307">
        <f t="shared" ca="1" si="189"/>
        <v>1054.2471341979578</v>
      </c>
      <c r="L448" s="304">
        <f t="shared" ca="1" si="174"/>
        <v>1062.8930065428672</v>
      </c>
      <c r="M448" s="306">
        <f t="shared" ca="1" si="190"/>
        <v>1.3981511082791804</v>
      </c>
      <c r="N448" s="304">
        <f t="shared" ca="1" si="191"/>
        <v>80.108157625935604</v>
      </c>
      <c r="P448" s="310">
        <f t="shared" ca="1" si="192"/>
        <v>23</v>
      </c>
      <c r="Q448" s="304">
        <f t="shared" ca="1" si="193"/>
        <v>0</v>
      </c>
      <c r="R448" s="306">
        <f t="shared" ca="1" si="194"/>
        <v>0</v>
      </c>
      <c r="S448" s="307">
        <f t="shared" ca="1" si="195"/>
        <v>7.9789999999999939</v>
      </c>
      <c r="T448" s="304">
        <f t="shared" ca="1" si="175"/>
        <v>78.273989999999941</v>
      </c>
      <c r="U448" s="311">
        <f t="shared" ca="1" si="176"/>
        <v>0</v>
      </c>
      <c r="V448" s="306">
        <f t="shared" ca="1" si="177"/>
        <v>1.102321403975085</v>
      </c>
      <c r="W448" s="304">
        <f t="shared" ca="1" si="178"/>
        <v>30.036679438501785</v>
      </c>
      <c r="Y448" s="314" t="str">
        <f t="shared" ca="1" si="196"/>
        <v/>
      </c>
      <c r="Z448" s="315" t="str">
        <f t="shared" ca="1" si="197"/>
        <v/>
      </c>
      <c r="AA448" s="316" t="str">
        <f t="shared" ca="1" si="198"/>
        <v/>
      </c>
      <c r="AC448" s="310" t="e">
        <f t="shared" ca="1" si="199"/>
        <v>#N/A</v>
      </c>
      <c r="AD448" s="323" t="e">
        <f t="shared" ca="1" si="200"/>
        <v>#N/A</v>
      </c>
      <c r="AE448" s="324">
        <f t="shared" ca="1" si="179"/>
        <v>1054.2471341979578</v>
      </c>
      <c r="AG448" s="306">
        <f t="shared" ca="1" si="201"/>
        <v>-13.543968726661916</v>
      </c>
      <c r="AH448" s="304">
        <f t="shared" ca="1" si="202"/>
        <v>-3.876844506010424</v>
      </c>
    </row>
    <row r="449" spans="1:34" x14ac:dyDescent="0.2">
      <c r="A449" s="347">
        <f t="shared" ca="1" si="180"/>
        <v>0.1</v>
      </c>
      <c r="B449" s="304">
        <f t="shared" ca="1" si="181"/>
        <v>8.4999999999999432</v>
      </c>
      <c r="D449" s="306">
        <f t="shared" ca="1" si="182"/>
        <v>-0.64669336436639357</v>
      </c>
      <c r="E449" s="307">
        <f t="shared" ca="1" si="183"/>
        <v>-13.518503321752119</v>
      </c>
      <c r="F449" s="304">
        <f t="shared" ca="1" si="184"/>
        <v>13.533962626213308</v>
      </c>
      <c r="G449" s="306">
        <f t="shared" ca="1" si="185"/>
        <v>16.159244220523505</v>
      </c>
      <c r="H449" s="307">
        <f t="shared" ca="1" si="186"/>
        <v>91.685191074233487</v>
      </c>
      <c r="I449" s="304">
        <f t="shared" ca="1" si="187"/>
        <v>93.09831059743901</v>
      </c>
      <c r="J449" s="306">
        <f t="shared" ca="1" si="188"/>
        <v>136.91336838262922</v>
      </c>
      <c r="K449" s="307">
        <f t="shared" ca="1" si="189"/>
        <v>1063.4832458219901</v>
      </c>
      <c r="L449" s="304">
        <f t="shared" ca="1" si="174"/>
        <v>1072.2601757903503</v>
      </c>
      <c r="M449" s="306">
        <f t="shared" ca="1" si="190"/>
        <v>1.3963409256435007</v>
      </c>
      <c r="N449" s="304">
        <f t="shared" ca="1" si="191"/>
        <v>80.004441800763288</v>
      </c>
      <c r="P449" s="310">
        <f t="shared" ca="1" si="192"/>
        <v>23</v>
      </c>
      <c r="Q449" s="304">
        <f t="shared" ca="1" si="193"/>
        <v>0</v>
      </c>
      <c r="R449" s="306">
        <f t="shared" ca="1" si="194"/>
        <v>0</v>
      </c>
      <c r="S449" s="307">
        <f t="shared" ca="1" si="195"/>
        <v>7.9789999999999939</v>
      </c>
      <c r="T449" s="304">
        <f t="shared" ca="1" si="175"/>
        <v>78.273989999999941</v>
      </c>
      <c r="U449" s="311">
        <f t="shared" ca="1" si="176"/>
        <v>0</v>
      </c>
      <c r="V449" s="306">
        <f t="shared" ca="1" si="177"/>
        <v>1.1013008984859762</v>
      </c>
      <c r="W449" s="304">
        <f t="shared" ca="1" si="178"/>
        <v>29.161638783789062</v>
      </c>
      <c r="Y449" s="314" t="str">
        <f t="shared" ca="1" si="196"/>
        <v/>
      </c>
      <c r="Z449" s="315" t="str">
        <f t="shared" ca="1" si="197"/>
        <v/>
      </c>
      <c r="AA449" s="316" t="str">
        <f t="shared" ca="1" si="198"/>
        <v/>
      </c>
      <c r="AC449" s="310" t="e">
        <f t="shared" ca="1" si="199"/>
        <v>#N/A</v>
      </c>
      <c r="AD449" s="323" t="e">
        <f t="shared" ca="1" si="200"/>
        <v>#N/A</v>
      </c>
      <c r="AE449" s="324">
        <f t="shared" ca="1" si="179"/>
        <v>1063.4832458219901</v>
      </c>
      <c r="AG449" s="306">
        <f t="shared" ca="1" si="201"/>
        <v>-13.428629183669605</v>
      </c>
      <c r="AH449" s="304">
        <f t="shared" ca="1" si="202"/>
        <v>-3.7644666547815278</v>
      </c>
    </row>
    <row r="450" spans="1:34" x14ac:dyDescent="0.2">
      <c r="A450" s="347">
        <f t="shared" ca="1" si="180"/>
        <v>0.1</v>
      </c>
      <c r="B450" s="304">
        <f t="shared" ca="1" si="181"/>
        <v>8.5999999999999428</v>
      </c>
      <c r="D450" s="306">
        <f t="shared" ca="1" si="182"/>
        <v>-0.63437010084323897</v>
      </c>
      <c r="E450" s="307">
        <f t="shared" ca="1" si="183"/>
        <v>-13.409323279842654</v>
      </c>
      <c r="F450" s="304">
        <f t="shared" ca="1" si="184"/>
        <v>13.424320327233481</v>
      </c>
      <c r="G450" s="306">
        <f t="shared" ca="1" si="185"/>
        <v>16.09580721043918</v>
      </c>
      <c r="H450" s="307">
        <f t="shared" ca="1" si="186"/>
        <v>90.344258746249224</v>
      </c>
      <c r="I450" s="304">
        <f t="shared" ca="1" si="187"/>
        <v>91.766879091341309</v>
      </c>
      <c r="J450" s="306">
        <f t="shared" ca="1" si="188"/>
        <v>138.52612095417734</v>
      </c>
      <c r="K450" s="307">
        <f t="shared" ca="1" si="189"/>
        <v>1072.5847183130143</v>
      </c>
      <c r="L450" s="304">
        <f t="shared" ca="1" si="174"/>
        <v>1081.4931641694366</v>
      </c>
      <c r="M450" s="306">
        <f t="shared" ca="1" si="190"/>
        <v>1.3944854188913094</v>
      </c>
      <c r="N450" s="304">
        <f t="shared" ca="1" si="191"/>
        <v>79.898129095004705</v>
      </c>
      <c r="P450" s="310">
        <f t="shared" ca="1" si="192"/>
        <v>23</v>
      </c>
      <c r="Q450" s="304">
        <f t="shared" ca="1" si="193"/>
        <v>0</v>
      </c>
      <c r="R450" s="306">
        <f t="shared" ca="1" si="194"/>
        <v>0</v>
      </c>
      <c r="S450" s="307">
        <f t="shared" ca="1" si="195"/>
        <v>7.9789999999999939</v>
      </c>
      <c r="T450" s="304">
        <f t="shared" ca="1" si="175"/>
        <v>78.273989999999941</v>
      </c>
      <c r="U450" s="311">
        <f t="shared" ca="1" si="176"/>
        <v>0</v>
      </c>
      <c r="V450" s="306">
        <f t="shared" ca="1" si="177"/>
        <v>1.1002961444932202</v>
      </c>
      <c r="W450" s="304">
        <f t="shared" ca="1" si="178"/>
        <v>28.30765196875354</v>
      </c>
      <c r="Y450" s="314" t="str">
        <f t="shared" ca="1" si="196"/>
        <v/>
      </c>
      <c r="Z450" s="315" t="str">
        <f t="shared" ca="1" si="197"/>
        <v/>
      </c>
      <c r="AA450" s="316" t="str">
        <f t="shared" ca="1" si="198"/>
        <v/>
      </c>
      <c r="AC450" s="310" t="e">
        <f t="shared" ca="1" si="199"/>
        <v>#N/A</v>
      </c>
      <c r="AD450" s="323" t="e">
        <f t="shared" ca="1" si="200"/>
        <v>#N/A</v>
      </c>
      <c r="AE450" s="324">
        <f t="shared" ca="1" si="179"/>
        <v>1072.5847183130143</v>
      </c>
      <c r="AG450" s="306">
        <f t="shared" ca="1" si="201"/>
        <v>-13.315894783899193</v>
      </c>
      <c r="AH450" s="304">
        <f t="shared" ca="1" si="202"/>
        <v>-3.6547986945468209</v>
      </c>
    </row>
    <row r="451" spans="1:34" x14ac:dyDescent="0.2">
      <c r="A451" s="347">
        <f t="shared" ca="1" si="180"/>
        <v>0.1</v>
      </c>
      <c r="B451" s="304">
        <f t="shared" ca="1" si="181"/>
        <v>8.6999999999999424</v>
      </c>
      <c r="D451" s="306">
        <f t="shared" ca="1" si="182"/>
        <v>-0.62227475431182322</v>
      </c>
      <c r="E451" s="307">
        <f t="shared" ca="1" si="183"/>
        <v>-13.302769929447487</v>
      </c>
      <c r="F451" s="304">
        <f t="shared" ca="1" si="184"/>
        <v>13.317316308688705</v>
      </c>
      <c r="G451" s="306">
        <f t="shared" ca="1" si="185"/>
        <v>16.033579735007997</v>
      </c>
      <c r="H451" s="307">
        <f t="shared" ca="1" si="186"/>
        <v>89.013981753304478</v>
      </c>
      <c r="I451" s="304">
        <f t="shared" ca="1" si="187"/>
        <v>90.44647382124127</v>
      </c>
      <c r="J451" s="306">
        <f t="shared" ca="1" si="188"/>
        <v>140.13259030144971</v>
      </c>
      <c r="K451" s="307">
        <f t="shared" ca="1" si="189"/>
        <v>1081.552630337992</v>
      </c>
      <c r="L451" s="304">
        <f t="shared" ca="1" si="174"/>
        <v>1090.5930657470838</v>
      </c>
      <c r="M451" s="306">
        <f t="shared" ca="1" si="190"/>
        <v>1.3925830075384855</v>
      </c>
      <c r="N451" s="304">
        <f t="shared" ca="1" si="191"/>
        <v>79.789128953590122</v>
      </c>
      <c r="P451" s="310">
        <f t="shared" ca="1" si="192"/>
        <v>23</v>
      </c>
      <c r="Q451" s="304">
        <f t="shared" ca="1" si="193"/>
        <v>0</v>
      </c>
      <c r="R451" s="306">
        <f t="shared" ca="1" si="194"/>
        <v>0</v>
      </c>
      <c r="S451" s="307">
        <f t="shared" ca="1" si="195"/>
        <v>7.9789999999999939</v>
      </c>
      <c r="T451" s="304">
        <f t="shared" ca="1" si="175"/>
        <v>78.273989999999941</v>
      </c>
      <c r="U451" s="311">
        <f t="shared" ca="1" si="176"/>
        <v>0</v>
      </c>
      <c r="V451" s="306">
        <f t="shared" ca="1" si="177"/>
        <v>1.0993069834185361</v>
      </c>
      <c r="W451" s="304">
        <f t="shared" ca="1" si="178"/>
        <v>27.474171135936441</v>
      </c>
      <c r="Y451" s="314" t="str">
        <f t="shared" ca="1" si="196"/>
        <v/>
      </c>
      <c r="Z451" s="315" t="str">
        <f t="shared" ca="1" si="197"/>
        <v/>
      </c>
      <c r="AA451" s="316" t="str">
        <f t="shared" ca="1" si="198"/>
        <v/>
      </c>
      <c r="AC451" s="310" t="e">
        <f t="shared" ca="1" si="199"/>
        <v>#N/A</v>
      </c>
      <c r="AD451" s="323" t="e">
        <f t="shared" ca="1" si="200"/>
        <v>#N/A</v>
      </c>
      <c r="AE451" s="324">
        <f t="shared" ca="1" si="179"/>
        <v>1081.552630337992</v>
      </c>
      <c r="AG451" s="306">
        <f t="shared" ca="1" si="201"/>
        <v>-13.205689405857736</v>
      </c>
      <c r="AH451" s="304">
        <f t="shared" ca="1" si="202"/>
        <v>-3.5477693907449006</v>
      </c>
    </row>
    <row r="452" spans="1:34" x14ac:dyDescent="0.2">
      <c r="A452" s="347">
        <f t="shared" ca="1" si="180"/>
        <v>0.1</v>
      </c>
      <c r="B452" s="304">
        <f t="shared" ca="1" si="181"/>
        <v>8.7999999999999421</v>
      </c>
      <c r="D452" s="306">
        <f t="shared" ca="1" si="182"/>
        <v>-0.61040065358939544</v>
      </c>
      <c r="E452" s="307">
        <f t="shared" ca="1" si="183"/>
        <v>-13.198774904844074</v>
      </c>
      <c r="F452" s="304">
        <f t="shared" ca="1" si="184"/>
        <v>13.212881894070046</v>
      </c>
      <c r="G452" s="306">
        <f t="shared" ca="1" si="185"/>
        <v>15.972539669649057</v>
      </c>
      <c r="H452" s="307">
        <f t="shared" ca="1" si="186"/>
        <v>87.694104262820076</v>
      </c>
      <c r="I452" s="304">
        <f t="shared" ca="1" si="187"/>
        <v>89.13684954022591</v>
      </c>
      <c r="J452" s="306">
        <f t="shared" ca="1" si="188"/>
        <v>141.73289627168256</v>
      </c>
      <c r="K452" s="307">
        <f t="shared" ca="1" si="189"/>
        <v>1090.3880346387982</v>
      </c>
      <c r="L452" s="304">
        <f t="shared" ref="L452:L515" ca="1" si="203">SQRT(pos_x^2+pos_z^2)</f>
        <v>1099.5609487286372</v>
      </c>
      <c r="M452" s="306">
        <f t="shared" ca="1" si="190"/>
        <v>1.3906320363381295</v>
      </c>
      <c r="N452" s="304">
        <f t="shared" ca="1" si="191"/>
        <v>79.677346537858156</v>
      </c>
      <c r="P452" s="310">
        <f t="shared" ca="1" si="192"/>
        <v>23</v>
      </c>
      <c r="Q452" s="304">
        <f t="shared" ca="1" si="193"/>
        <v>0</v>
      </c>
      <c r="R452" s="306">
        <f t="shared" ca="1" si="194"/>
        <v>0</v>
      </c>
      <c r="S452" s="307">
        <f t="shared" ca="1" si="195"/>
        <v>7.9789999999999939</v>
      </c>
      <c r="T452" s="304">
        <f t="shared" ref="T452:T515" ca="1" si="204">m*g</f>
        <v>78.273989999999941</v>
      </c>
      <c r="U452" s="311">
        <f t="shared" ref="U452:U515" ca="1" si="205">IF(pos_xz&lt;L_rampe,Poids*COS(Beta),0)</f>
        <v>0</v>
      </c>
      <c r="V452" s="306">
        <f t="shared" ref="V452:V515" ca="1" si="206">Rho_moyen*(20000-Alt_rampe-pos_z)/(20000+Alt_rampe+pos_z)</f>
        <v>1.0983332606077483</v>
      </c>
      <c r="W452" s="304">
        <f t="shared" ref="W452:W515" ca="1" si="207">1/2*Rho*Sref*Cx*vit_xz^2</f>
        <v>26.660668099395043</v>
      </c>
      <c r="Y452" s="314" t="str">
        <f t="shared" ca="1" si="196"/>
        <v/>
      </c>
      <c r="Z452" s="315" t="str">
        <f t="shared" ca="1" si="197"/>
        <v/>
      </c>
      <c r="AA452" s="316" t="str">
        <f t="shared" ca="1" si="198"/>
        <v/>
      </c>
      <c r="AC452" s="310" t="e">
        <f t="shared" ca="1" si="199"/>
        <v>#N/A</v>
      </c>
      <c r="AD452" s="323" t="e">
        <f t="shared" ca="1" si="200"/>
        <v>#N/A</v>
      </c>
      <c r="AE452" s="324">
        <f t="shared" ref="AE452:AE515" ca="1" si="208">IF(t&lt;T_para, pos_z, NA())</f>
        <v>1090.3880346387982</v>
      </c>
      <c r="AG452" s="306">
        <f t="shared" ca="1" si="201"/>
        <v>-13.097939212497781</v>
      </c>
      <c r="AH452" s="304">
        <f t="shared" ca="1" si="202"/>
        <v>-3.4433100809545634</v>
      </c>
    </row>
    <row r="453" spans="1:34" x14ac:dyDescent="0.2">
      <c r="A453" s="347">
        <f t="shared" ref="A453:A516" ca="1" si="209">IF(B452+0.01&lt;=T_ini+ROUNDUP(Temps_fin_propu,0), 0.01, IF(K452&gt;0, 0.1, 0.0001))</f>
        <v>0.1</v>
      </c>
      <c r="B453" s="304">
        <f t="shared" ref="B453:B516" ca="1" si="210">B452+pas</f>
        <v>8.8999999999999417</v>
      </c>
      <c r="D453" s="306">
        <f t="shared" ref="D453:D516" ca="1" si="211">IF(AND(L452&lt;L_rampe,Poussee&lt;Poids*SIN(M452)),0,(-W452+Poussee)/m*COS(M452)-U452/m*SIN(M452))</f>
        <v>-0.59874135854786681</v>
      </c>
      <c r="E453" s="307">
        <f t="shared" ref="E453:E516" ca="1" si="212">IF(AND(L452&lt;L_rampe,Poussee&lt;Poids*SIN(M452)),0,(-W452+Poussee)/m*SIN(M452)+U452/m*COS(M452)-Poids/m)</f>
        <v>-13.097272294131844</v>
      </c>
      <c r="F453" s="304">
        <f t="shared" ref="F453:F516" ca="1" si="213">SQRT(acc_x^2+acc_z^2)</f>
        <v>13.110950871735787</v>
      </c>
      <c r="G453" s="306">
        <f t="shared" ref="G453:G516" ca="1" si="214">G452+acc_x*pas</f>
        <v>15.912665533794272</v>
      </c>
      <c r="H453" s="307">
        <f t="shared" ref="H453:H516" ca="1" si="215">H452+acc_z*pas</f>
        <v>86.384377033406892</v>
      </c>
      <c r="I453" s="304">
        <f t="shared" ref="I453:I516" ca="1" si="216">SQRT(vit_x^2+vit_z^2)</f>
        <v>87.83776818567398</v>
      </c>
      <c r="J453" s="306">
        <f t="shared" ref="J453:J516" ca="1" si="217">J452+0.5*(vit_x+G452)*pas*(K452&gt;=0)</f>
        <v>143.32715653185474</v>
      </c>
      <c r="K453" s="307">
        <f t="shared" ref="K453:K516" ca="1" si="218">K452+0.5*(vit_z+H452)*pas</f>
        <v>1099.0919587036096</v>
      </c>
      <c r="L453" s="304">
        <f t="shared" ca="1" si="203"/>
        <v>1108.3978561358028</v>
      </c>
      <c r="M453" s="306">
        <f t="shared" ref="M453:M516" ca="1" si="219">IF(AND(L452&gt;L_rampe,G453&gt;0),ATAN2(G453,H453),$M$4)</f>
        <v>1.3886307708782548</v>
      </c>
      <c r="N453" s="304">
        <f t="shared" ref="N453:N516" ca="1" si="220">DEGREES(Beta)</f>
        <v>79.562682473322027</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7.9789999999999939</v>
      </c>
      <c r="T453" s="304">
        <f t="shared" ca="1" si="204"/>
        <v>78.273989999999941</v>
      </c>
      <c r="U453" s="311">
        <f t="shared" ca="1" si="205"/>
        <v>0</v>
      </c>
      <c r="V453" s="306">
        <f t="shared" ca="1" si="206"/>
        <v>1.0973748252249762</v>
      </c>
      <c r="W453" s="304">
        <f t="shared" ca="1" si="207"/>
        <v>25.866633535012859</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f t="shared" ca="1" si="208"/>
        <v>1099.0919587036096</v>
      </c>
      <c r="AG453" s="306">
        <f t="shared" ref="AG453:AG516" ca="1" si="230">IF(AND(L452&lt;L_rampe,Poussee&lt;Poids*SIN(M452)),0,(-W452+Poussee)/m-Poids*SIN(M452)/m)</f>
        <v>-12.992572524102616</v>
      </c>
      <c r="AH453" s="304">
        <f t="shared" ref="AH453:AH516" ca="1" si="231">IF(AND(L452&lt;L_rampe,Poussee&lt;Poids*SIN(M452)), g*SIN(M452), (-W452+Poussee)/m)</f>
        <v>-3.3413545681658183</v>
      </c>
    </row>
    <row r="454" spans="1:34" x14ac:dyDescent="0.2">
      <c r="A454" s="347">
        <f t="shared" ca="1" si="209"/>
        <v>0.1</v>
      </c>
      <c r="B454" s="304">
        <f t="shared" ca="1" si="210"/>
        <v>8.9999999999999414</v>
      </c>
      <c r="D454" s="306">
        <f t="shared" ca="1" si="211"/>
        <v>-0.58729065064035124</v>
      </c>
      <c r="E454" s="307">
        <f t="shared" ca="1" si="212"/>
        <v>-12.998198538162452</v>
      </c>
      <c r="F454" s="304">
        <f t="shared" ca="1" si="213"/>
        <v>13.011459393389277</v>
      </c>
      <c r="G454" s="306">
        <f t="shared" ca="1" si="214"/>
        <v>15.853936468730236</v>
      </c>
      <c r="H454" s="307">
        <f t="shared" ca="1" si="215"/>
        <v>85.084557179590647</v>
      </c>
      <c r="I454" s="304">
        <f t="shared" ca="1" si="216"/>
        <v>86.548998677059018</v>
      </c>
      <c r="J454" s="306">
        <f t="shared" ca="1" si="217"/>
        <v>144.91548663198097</v>
      </c>
      <c r="K454" s="307">
        <f t="shared" ca="1" si="218"/>
        <v>1107.6654054142596</v>
      </c>
      <c r="L454" s="304">
        <f t="shared" ca="1" si="203"/>
        <v>1117.1048064605754</v>
      </c>
      <c r="M454" s="306">
        <f t="shared" ca="1" si="219"/>
        <v>1.3865773928679566</v>
      </c>
      <c r="N454" s="304">
        <f t="shared" ca="1" si="220"/>
        <v>79.445032579586965</v>
      </c>
      <c r="P454" s="310">
        <f t="shared" ca="1" si="221"/>
        <v>23</v>
      </c>
      <c r="Q454" s="304">
        <f t="shared" ca="1" si="222"/>
        <v>0</v>
      </c>
      <c r="R454" s="306">
        <f t="shared" ca="1" si="223"/>
        <v>0</v>
      </c>
      <c r="S454" s="307">
        <f t="shared" ca="1" si="224"/>
        <v>7.9789999999999939</v>
      </c>
      <c r="T454" s="304">
        <f t="shared" ca="1" si="204"/>
        <v>78.273989999999941</v>
      </c>
      <c r="U454" s="311">
        <f t="shared" ca="1" si="205"/>
        <v>0</v>
      </c>
      <c r="V454" s="306">
        <f t="shared" ca="1" si="206"/>
        <v>1.0964315301507086</v>
      </c>
      <c r="W454" s="304">
        <f t="shared" ca="1" si="207"/>
        <v>25.091576210384439</v>
      </c>
      <c r="Y454" s="314" t="str">
        <f t="shared" ca="1" si="225"/>
        <v/>
      </c>
      <c r="Z454" s="315" t="str">
        <f t="shared" ca="1" si="226"/>
        <v/>
      </c>
      <c r="AA454" s="316" t="str">
        <f t="shared" ca="1" si="227"/>
        <v/>
      </c>
      <c r="AC454" s="310">
        <f t="shared" ca="1" si="228"/>
        <v>8.9999999999999414</v>
      </c>
      <c r="AD454" s="323">
        <f t="shared" ca="1" si="229"/>
        <v>144.91548663198097</v>
      </c>
      <c r="AE454" s="324">
        <f t="shared" ca="1" si="208"/>
        <v>1107.6654054142596</v>
      </c>
      <c r="AG454" s="306">
        <f t="shared" ca="1" si="230"/>
        <v>-12.88951969473108</v>
      </c>
      <c r="AH454" s="304">
        <f t="shared" ca="1" si="231"/>
        <v>-3.2418390193022781</v>
      </c>
    </row>
    <row r="455" spans="1:34" x14ac:dyDescent="0.2">
      <c r="A455" s="347">
        <f t="shared" ca="1" si="209"/>
        <v>0.1</v>
      </c>
      <c r="B455" s="304">
        <f t="shared" ca="1" si="210"/>
        <v>9.099999999999941</v>
      </c>
      <c r="D455" s="306">
        <f t="shared" ca="1" si="211"/>
        <v>-0.57604252390658783</v>
      </c>
      <c r="E455" s="307">
        <f t="shared" ca="1" si="212"/>
        <v>-12.901492334403891</v>
      </c>
      <c r="F455" s="304">
        <f t="shared" ca="1" si="213"/>
        <v>12.914345877512767</v>
      </c>
      <c r="G455" s="306">
        <f t="shared" ca="1" si="214"/>
        <v>15.796332216339577</v>
      </c>
      <c r="H455" s="307">
        <f t="shared" ca="1" si="215"/>
        <v>83.794407946150258</v>
      </c>
      <c r="I455" s="304">
        <f t="shared" ca="1" si="216"/>
        <v>85.27031672589716</v>
      </c>
      <c r="J455" s="306">
        <f t="shared" ca="1" si="217"/>
        <v>146.49800006623445</v>
      </c>
      <c r="K455" s="307">
        <f t="shared" ca="1" si="218"/>
        <v>1116.1093536705466</v>
      </c>
      <c r="L455" s="304">
        <f t="shared" ca="1" si="203"/>
        <v>1125.682794296107</v>
      </c>
      <c r="M455" s="306">
        <f t="shared" ca="1" si="219"/>
        <v>1.3844699950863826</v>
      </c>
      <c r="N455" s="304">
        <f t="shared" ca="1" si="220"/>
        <v>79.324287580947541</v>
      </c>
      <c r="P455" s="310">
        <f t="shared" ca="1" si="221"/>
        <v>23</v>
      </c>
      <c r="Q455" s="304">
        <f t="shared" ca="1" si="222"/>
        <v>0</v>
      </c>
      <c r="R455" s="306">
        <f t="shared" ca="1" si="223"/>
        <v>0</v>
      </c>
      <c r="S455" s="307">
        <f t="shared" ca="1" si="224"/>
        <v>7.9789999999999939</v>
      </c>
      <c r="T455" s="304">
        <f t="shared" ca="1" si="204"/>
        <v>78.273989999999941</v>
      </c>
      <c r="U455" s="311">
        <f t="shared" ca="1" si="205"/>
        <v>0</v>
      </c>
      <c r="V455" s="306">
        <f t="shared" ca="1" si="206"/>
        <v>1.0955032318835993</v>
      </c>
      <c r="W455" s="304">
        <f t="shared" ca="1" si="207"/>
        <v>24.335022252093324</v>
      </c>
      <c r="Y455" s="314" t="str">
        <f t="shared" ca="1" si="225"/>
        <v/>
      </c>
      <c r="Z455" s="315" t="str">
        <f t="shared" ca="1" si="226"/>
        <v/>
      </c>
      <c r="AA455" s="316" t="str">
        <f t="shared" ca="1" si="227"/>
        <v/>
      </c>
      <c r="AC455" s="310" t="e">
        <f t="shared" ca="1" si="228"/>
        <v>#N/A</v>
      </c>
      <c r="AD455" s="323" t="e">
        <f t="shared" ca="1" si="229"/>
        <v>#N/A</v>
      </c>
      <c r="AE455" s="324">
        <f t="shared" ca="1" si="208"/>
        <v>1116.1093536705466</v>
      </c>
      <c r="AG455" s="306">
        <f t="shared" ca="1" si="230"/>
        <v>-12.788712991769431</v>
      </c>
      <c r="AH455" s="304">
        <f t="shared" ca="1" si="231"/>
        <v>-3.1447018687034038</v>
      </c>
    </row>
    <row r="456" spans="1:34" x14ac:dyDescent="0.2">
      <c r="A456" s="347">
        <f t="shared" ca="1" si="209"/>
        <v>0.1</v>
      </c>
      <c r="B456" s="304">
        <f t="shared" ca="1" si="210"/>
        <v>9.1999999999999407</v>
      </c>
      <c r="D456" s="306">
        <f t="shared" ca="1" si="211"/>
        <v>-0.56499117643248076</v>
      </c>
      <c r="E456" s="307">
        <f t="shared" ca="1" si="212"/>
        <v>-12.807094545465903</v>
      </c>
      <c r="F456" s="304">
        <f t="shared" ca="1" si="213"/>
        <v>12.819550917483381</v>
      </c>
      <c r="G456" s="306">
        <f t="shared" ca="1" si="214"/>
        <v>15.739833098696328</v>
      </c>
      <c r="H456" s="307">
        <f t="shared" ca="1" si="215"/>
        <v>82.513698491603662</v>
      </c>
      <c r="I456" s="304">
        <f t="shared" ca="1" si="216"/>
        <v>84.001504657583922</v>
      </c>
      <c r="J456" s="306">
        <f t="shared" ca="1" si="217"/>
        <v>148.07480833198625</v>
      </c>
      <c r="K456" s="307">
        <f t="shared" ca="1" si="218"/>
        <v>1124.4247589924344</v>
      </c>
      <c r="L456" s="304">
        <f t="shared" ca="1" si="203"/>
        <v>1134.1327909454644</v>
      </c>
      <c r="M456" s="306">
        <f t="shared" ca="1" si="219"/>
        <v>1.3823065759664179</v>
      </c>
      <c r="N456" s="304">
        <f t="shared" ca="1" si="220"/>
        <v>79.200332796055662</v>
      </c>
      <c r="P456" s="310">
        <f t="shared" ca="1" si="221"/>
        <v>23</v>
      </c>
      <c r="Q456" s="304">
        <f t="shared" ca="1" si="222"/>
        <v>0</v>
      </c>
      <c r="R456" s="306">
        <f t="shared" ca="1" si="223"/>
        <v>0</v>
      </c>
      <c r="S456" s="307">
        <f t="shared" ca="1" si="224"/>
        <v>7.9789999999999939</v>
      </c>
      <c r="T456" s="304">
        <f t="shared" ca="1" si="204"/>
        <v>78.273989999999941</v>
      </c>
      <c r="U456" s="311">
        <f t="shared" ca="1" si="205"/>
        <v>0</v>
      </c>
      <c r="V456" s="306">
        <f t="shared" ca="1" si="206"/>
        <v>1.0945897904458319</v>
      </c>
      <c r="W456" s="304">
        <f t="shared" ca="1" si="207"/>
        <v>23.59651444833732</v>
      </c>
      <c r="Y456" s="314" t="str">
        <f t="shared" ca="1" si="225"/>
        <v/>
      </c>
      <c r="Z456" s="315" t="str">
        <f t="shared" ca="1" si="226"/>
        <v/>
      </c>
      <c r="AA456" s="316" t="str">
        <f t="shared" ca="1" si="227"/>
        <v/>
      </c>
      <c r="AC456" s="310" t="e">
        <f t="shared" ca="1" si="228"/>
        <v>#N/A</v>
      </c>
      <c r="AD456" s="323" t="e">
        <f t="shared" ca="1" si="229"/>
        <v>#N/A</v>
      </c>
      <c r="AE456" s="324">
        <f t="shared" ca="1" si="208"/>
        <v>1124.4247589924344</v>
      </c>
      <c r="AG456" s="306">
        <f t="shared" ca="1" si="230"/>
        <v>-12.690086478138721</v>
      </c>
      <c r="AH456" s="304">
        <f t="shared" ca="1" si="231"/>
        <v>-3.0498837262931877</v>
      </c>
    </row>
    <row r="457" spans="1:34" x14ac:dyDescent="0.2">
      <c r="A457" s="347">
        <f t="shared" ca="1" si="209"/>
        <v>0.1</v>
      </c>
      <c r="B457" s="304">
        <f t="shared" ca="1" si="210"/>
        <v>9.2999999999999403</v>
      </c>
      <c r="D457" s="306">
        <f t="shared" ca="1" si="211"/>
        <v>-0.55413100224072109</v>
      </c>
      <c r="E457" s="307">
        <f t="shared" ca="1" si="212"/>
        <v>-12.714948112031005</v>
      </c>
      <c r="F457" s="304">
        <f t="shared" ca="1" si="213"/>
        <v>12.72701719411446</v>
      </c>
      <c r="G457" s="306">
        <f t="shared" ca="1" si="214"/>
        <v>15.684419998472256</v>
      </c>
      <c r="H457" s="307">
        <f t="shared" ca="1" si="215"/>
        <v>81.242203680400564</v>
      </c>
      <c r="I457" s="304">
        <f t="shared" ca="1" si="216"/>
        <v>82.742351244910651</v>
      </c>
      <c r="J457" s="306">
        <f t="shared" ca="1" si="217"/>
        <v>149.64602098684469</v>
      </c>
      <c r="K457" s="307">
        <f t="shared" ca="1" si="218"/>
        <v>1132.6125541010347</v>
      </c>
      <c r="L457" s="304">
        <f t="shared" ca="1" si="203"/>
        <v>1142.4557450091729</v>
      </c>
      <c r="M457" s="306">
        <f t="shared" ca="1" si="219"/>
        <v>1.3800850337823247</v>
      </c>
      <c r="N457" s="304">
        <f t="shared" ca="1" si="220"/>
        <v>79.073047804896845</v>
      </c>
      <c r="P457" s="310">
        <f t="shared" ca="1" si="221"/>
        <v>23</v>
      </c>
      <c r="Q457" s="304">
        <f t="shared" ca="1" si="222"/>
        <v>0</v>
      </c>
      <c r="R457" s="306">
        <f t="shared" ca="1" si="223"/>
        <v>0</v>
      </c>
      <c r="S457" s="307">
        <f t="shared" ca="1" si="224"/>
        <v>7.9789999999999939</v>
      </c>
      <c r="T457" s="304">
        <f t="shared" ca="1" si="204"/>
        <v>78.273989999999941</v>
      </c>
      <c r="U457" s="311">
        <f t="shared" ca="1" si="205"/>
        <v>0</v>
      </c>
      <c r="V457" s="306">
        <f t="shared" ca="1" si="206"/>
        <v>1.0936910692919022</v>
      </c>
      <c r="W457" s="304">
        <f t="shared" ca="1" si="207"/>
        <v>22.875611584981094</v>
      </c>
      <c r="Y457" s="314" t="str">
        <f t="shared" ca="1" si="225"/>
        <v/>
      </c>
      <c r="Z457" s="315" t="str">
        <f t="shared" ca="1" si="226"/>
        <v/>
      </c>
      <c r="AA457" s="316" t="str">
        <f t="shared" ca="1" si="227"/>
        <v/>
      </c>
      <c r="AC457" s="310" t="e">
        <f t="shared" ca="1" si="228"/>
        <v>#N/A</v>
      </c>
      <c r="AD457" s="323" t="e">
        <f t="shared" ca="1" si="229"/>
        <v>#N/A</v>
      </c>
      <c r="AE457" s="324">
        <f t="shared" ca="1" si="208"/>
        <v>1132.6125541010347</v>
      </c>
      <c r="AG457" s="306">
        <f t="shared" ca="1" si="230"/>
        <v>-12.593575896703715</v>
      </c>
      <c r="AH457" s="304">
        <f t="shared" ca="1" si="231"/>
        <v>-2.957327290178887</v>
      </c>
    </row>
    <row r="458" spans="1:34" x14ac:dyDescent="0.2">
      <c r="A458" s="347">
        <f t="shared" ca="1" si="209"/>
        <v>0.1</v>
      </c>
      <c r="B458" s="304">
        <f t="shared" ca="1" si="210"/>
        <v>9.39999999999994</v>
      </c>
      <c r="D458" s="306">
        <f t="shared" ca="1" si="211"/>
        <v>-0.54345658359105875</v>
      </c>
      <c r="E458" s="307">
        <f t="shared" ca="1" si="212"/>
        <v>-12.624997969951075</v>
      </c>
      <c r="F458" s="304">
        <f t="shared" ca="1" si="213"/>
        <v>12.636689392381108</v>
      </c>
      <c r="G458" s="306">
        <f t="shared" ca="1" si="214"/>
        <v>15.630074340113151</v>
      </c>
      <c r="H458" s="307">
        <f t="shared" ca="1" si="215"/>
        <v>79.979703883405463</v>
      </c>
      <c r="I458" s="304">
        <f t="shared" ca="1" si="216"/>
        <v>81.492651553098241</v>
      </c>
      <c r="J458" s="306">
        <f t="shared" ca="1" si="217"/>
        <v>151.21174570377397</v>
      </c>
      <c r="K458" s="307">
        <f t="shared" ca="1" si="218"/>
        <v>1140.6736494792249</v>
      </c>
      <c r="L458" s="304">
        <f t="shared" ca="1" si="203"/>
        <v>1150.652582952403</v>
      </c>
      <c r="M458" s="306">
        <f t="shared" ca="1" si="219"/>
        <v>1.3778031604076335</v>
      </c>
      <c r="N458" s="304">
        <f t="shared" ca="1" si="220"/>
        <v>78.942306091143763</v>
      </c>
      <c r="P458" s="310">
        <f t="shared" ca="1" si="221"/>
        <v>23</v>
      </c>
      <c r="Q458" s="304">
        <f t="shared" ca="1" si="222"/>
        <v>0</v>
      </c>
      <c r="R458" s="306">
        <f t="shared" ca="1" si="223"/>
        <v>0</v>
      </c>
      <c r="S458" s="307">
        <f t="shared" ca="1" si="224"/>
        <v>7.9789999999999939</v>
      </c>
      <c r="T458" s="304">
        <f t="shared" ca="1" si="204"/>
        <v>78.273989999999941</v>
      </c>
      <c r="U458" s="311">
        <f t="shared" ca="1" si="205"/>
        <v>0</v>
      </c>
      <c r="V458" s="306">
        <f t="shared" ca="1" si="206"/>
        <v>1.0928069352206786</v>
      </c>
      <c r="W458" s="304">
        <f t="shared" ca="1" si="207"/>
        <v>22.171887813233283</v>
      </c>
      <c r="Y458" s="314" t="str">
        <f t="shared" ca="1" si="225"/>
        <v/>
      </c>
      <c r="Z458" s="315" t="str">
        <f t="shared" ca="1" si="226"/>
        <v/>
      </c>
      <c r="AA458" s="316" t="str">
        <f t="shared" ca="1" si="227"/>
        <v/>
      </c>
      <c r="AC458" s="310" t="e">
        <f t="shared" ca="1" si="228"/>
        <v>#N/A</v>
      </c>
      <c r="AD458" s="323" t="e">
        <f t="shared" ca="1" si="229"/>
        <v>#N/A</v>
      </c>
      <c r="AE458" s="324">
        <f t="shared" ca="1" si="208"/>
        <v>1140.6736494792249</v>
      </c>
      <c r="AG458" s="306">
        <f t="shared" ca="1" si="230"/>
        <v>-12.499118556423646</v>
      </c>
      <c r="AH458" s="304">
        <f t="shared" ca="1" si="231"/>
        <v>-2.8669772634391668</v>
      </c>
    </row>
    <row r="459" spans="1:34" x14ac:dyDescent="0.2">
      <c r="A459" s="347">
        <f t="shared" ca="1" si="209"/>
        <v>0.1</v>
      </c>
      <c r="B459" s="304">
        <f t="shared" ca="1" si="210"/>
        <v>9.4999999999999396</v>
      </c>
      <c r="D459" s="306">
        <f t="shared" ca="1" si="211"/>
        <v>-0.53296268367029465</v>
      </c>
      <c r="E459" s="307">
        <f t="shared" ca="1" si="212"/>
        <v>-12.53719097128406</v>
      </c>
      <c r="F459" s="304">
        <f t="shared" ca="1" si="213"/>
        <v>12.548514122103525</v>
      </c>
      <c r="G459" s="306">
        <f t="shared" ca="1" si="214"/>
        <v>15.576778071746121</v>
      </c>
      <c r="H459" s="307">
        <f t="shared" ca="1" si="215"/>
        <v>78.725984786277053</v>
      </c>
      <c r="I459" s="304">
        <f t="shared" ca="1" si="216"/>
        <v>80.252206796234319</v>
      </c>
      <c r="J459" s="306">
        <f t="shared" ca="1" si="217"/>
        <v>152.77208832436693</v>
      </c>
      <c r="K459" s="307">
        <f t="shared" ca="1" si="218"/>
        <v>1148.6089339127091</v>
      </c>
      <c r="L459" s="304">
        <f t="shared" ca="1" si="203"/>
        <v>1158.7242096526154</v>
      </c>
      <c r="M459" s="306">
        <f t="shared" ca="1" si="219"/>
        <v>1.3754586346063176</v>
      </c>
      <c r="N459" s="304">
        <f t="shared" ca="1" si="220"/>
        <v>78.807974657768838</v>
      </c>
      <c r="P459" s="310">
        <f t="shared" ca="1" si="221"/>
        <v>23</v>
      </c>
      <c r="Q459" s="304">
        <f t="shared" ca="1" si="222"/>
        <v>0</v>
      </c>
      <c r="R459" s="306">
        <f t="shared" ca="1" si="223"/>
        <v>0</v>
      </c>
      <c r="S459" s="307">
        <f t="shared" ca="1" si="224"/>
        <v>7.9789999999999939</v>
      </c>
      <c r="T459" s="304">
        <f t="shared" ca="1" si="204"/>
        <v>78.273989999999941</v>
      </c>
      <c r="U459" s="311">
        <f t="shared" ca="1" si="205"/>
        <v>0</v>
      </c>
      <c r="V459" s="306">
        <f t="shared" ca="1" si="206"/>
        <v>1.0919372582906093</v>
      </c>
      <c r="W459" s="304">
        <f t="shared" ca="1" si="207"/>
        <v>21.484932047255157</v>
      </c>
      <c r="Y459" s="314" t="str">
        <f t="shared" ca="1" si="225"/>
        <v/>
      </c>
      <c r="Z459" s="315" t="str">
        <f t="shared" ca="1" si="226"/>
        <v/>
      </c>
      <c r="AA459" s="316" t="str">
        <f t="shared" ca="1" si="227"/>
        <v/>
      </c>
      <c r="AC459" s="310" t="e">
        <f t="shared" ca="1" si="228"/>
        <v>#N/A</v>
      </c>
      <c r="AD459" s="323" t="e">
        <f t="shared" ca="1" si="229"/>
        <v>#N/A</v>
      </c>
      <c r="AE459" s="324">
        <f t="shared" ca="1" si="208"/>
        <v>1148.6089339127091</v>
      </c>
      <c r="AG459" s="306">
        <f t="shared" ca="1" si="230"/>
        <v>-12.406653219775343</v>
      </c>
      <c r="AH459" s="304">
        <f t="shared" ca="1" si="231"/>
        <v>-2.7787802748757113</v>
      </c>
    </row>
    <row r="460" spans="1:34" x14ac:dyDescent="0.2">
      <c r="A460" s="347">
        <f t="shared" ca="1" si="209"/>
        <v>0.1</v>
      </c>
      <c r="B460" s="304">
        <f t="shared" ca="1" si="210"/>
        <v>9.5999999999999392</v>
      </c>
      <c r="D460" s="306">
        <f t="shared" ca="1" si="211"/>
        <v>-0.5226442396535087</v>
      </c>
      <c r="E460" s="307">
        <f t="shared" ca="1" si="212"/>
        <v>-12.451475809058961</v>
      </c>
      <c r="F460" s="304">
        <f t="shared" ca="1" si="213"/>
        <v>12.462439842375307</v>
      </c>
      <c r="G460" s="306">
        <f t="shared" ca="1" si="214"/>
        <v>15.52451364778077</v>
      </c>
      <c r="H460" s="307">
        <f t="shared" ca="1" si="215"/>
        <v>77.480837205371159</v>
      </c>
      <c r="I460" s="304">
        <f t="shared" ca="1" si="216"/>
        <v>79.020824205049635</v>
      </c>
      <c r="J460" s="306">
        <f t="shared" ca="1" si="217"/>
        <v>154.32715291034327</v>
      </c>
      <c r="K460" s="307">
        <f t="shared" ca="1" si="218"/>
        <v>1156.4192750122916</v>
      </c>
      <c r="L460" s="304">
        <f t="shared" ca="1" si="203"/>
        <v>1166.6715089284414</v>
      </c>
      <c r="M460" s="306">
        <f t="shared" ca="1" si="219"/>
        <v>1.3730490148166574</v>
      </c>
      <c r="N460" s="304">
        <f t="shared" ca="1" si="220"/>
        <v>78.669913613590111</v>
      </c>
      <c r="P460" s="310">
        <f t="shared" ca="1" si="221"/>
        <v>23</v>
      </c>
      <c r="Q460" s="304">
        <f t="shared" ca="1" si="222"/>
        <v>0</v>
      </c>
      <c r="R460" s="306">
        <f t="shared" ca="1" si="223"/>
        <v>0</v>
      </c>
      <c r="S460" s="307">
        <f t="shared" ca="1" si="224"/>
        <v>7.9789999999999939</v>
      </c>
      <c r="T460" s="304">
        <f t="shared" ca="1" si="204"/>
        <v>78.273989999999941</v>
      </c>
      <c r="U460" s="311">
        <f t="shared" ca="1" si="205"/>
        <v>0</v>
      </c>
      <c r="V460" s="306">
        <f t="shared" ca="1" si="206"/>
        <v>1.091081911737946</v>
      </c>
      <c r="W460" s="304">
        <f t="shared" ca="1" si="207"/>
        <v>20.814347390109855</v>
      </c>
      <c r="Y460" s="314" t="str">
        <f t="shared" ca="1" si="225"/>
        <v/>
      </c>
      <c r="Z460" s="315" t="str">
        <f t="shared" ca="1" si="226"/>
        <v/>
      </c>
      <c r="AA460" s="316" t="str">
        <f t="shared" ca="1" si="227"/>
        <v/>
      </c>
      <c r="AC460" s="310" t="e">
        <f t="shared" ca="1" si="228"/>
        <v>#N/A</v>
      </c>
      <c r="AD460" s="323" t="e">
        <f t="shared" ca="1" si="229"/>
        <v>#N/A</v>
      </c>
      <c r="AE460" s="324">
        <f t="shared" ca="1" si="208"/>
        <v>1156.4192750122916</v>
      </c>
      <c r="AG460" s="306">
        <f t="shared" ca="1" si="230"/>
        <v>-12.316119990965911</v>
      </c>
      <c r="AH460" s="304">
        <f t="shared" ca="1" si="231"/>
        <v>-2.6926848035161264</v>
      </c>
    </row>
    <row r="461" spans="1:34" x14ac:dyDescent="0.2">
      <c r="A461" s="347">
        <f t="shared" ca="1" si="209"/>
        <v>0.1</v>
      </c>
      <c r="B461" s="304">
        <f t="shared" ca="1" si="210"/>
        <v>9.6999999999999389</v>
      </c>
      <c r="D461" s="306">
        <f t="shared" ca="1" si="211"/>
        <v>-0.51249635611941458</v>
      </c>
      <c r="E461" s="307">
        <f t="shared" ca="1" si="212"/>
        <v>-12.367802945569935</v>
      </c>
      <c r="F461" s="304">
        <f t="shared" ca="1" si="213"/>
        <v>12.378416789536699</v>
      </c>
      <c r="G461" s="306">
        <f t="shared" ca="1" si="214"/>
        <v>15.473264012168828</v>
      </c>
      <c r="H461" s="307">
        <f t="shared" ca="1" si="215"/>
        <v>76.244056910814166</v>
      </c>
      <c r="I461" s="304">
        <f t="shared" ca="1" si="216"/>
        <v>77.798316906021483</v>
      </c>
      <c r="J461" s="306">
        <f t="shared" ca="1" si="217"/>
        <v>155.87704179334077</v>
      </c>
      <c r="K461" s="307">
        <f t="shared" ca="1" si="218"/>
        <v>1164.1055197181008</v>
      </c>
      <c r="L461" s="304">
        <f t="shared" ca="1" si="203"/>
        <v>1174.4953440505383</v>
      </c>
      <c r="M461" s="306">
        <f t="shared" ca="1" si="219"/>
        <v>1.3705717313831947</v>
      </c>
      <c r="N461" s="304">
        <f t="shared" ca="1" si="220"/>
        <v>78.527975728195017</v>
      </c>
      <c r="P461" s="310">
        <f t="shared" ca="1" si="221"/>
        <v>23</v>
      </c>
      <c r="Q461" s="304">
        <f t="shared" ca="1" si="222"/>
        <v>0</v>
      </c>
      <c r="R461" s="306">
        <f t="shared" ca="1" si="223"/>
        <v>0</v>
      </c>
      <c r="S461" s="307">
        <f t="shared" ca="1" si="224"/>
        <v>7.9789999999999939</v>
      </c>
      <c r="T461" s="304">
        <f t="shared" ca="1" si="204"/>
        <v>78.273989999999941</v>
      </c>
      <c r="U461" s="311">
        <f t="shared" ca="1" si="205"/>
        <v>0</v>
      </c>
      <c r="V461" s="306">
        <f t="shared" ca="1" si="206"/>
        <v>1.0902407718978651</v>
      </c>
      <c r="W461" s="304">
        <f t="shared" ca="1" si="207"/>
        <v>20.159750586556562</v>
      </c>
      <c r="Y461" s="314" t="str">
        <f t="shared" ca="1" si="225"/>
        <v/>
      </c>
      <c r="Z461" s="315" t="str">
        <f t="shared" ca="1" si="226"/>
        <v/>
      </c>
      <c r="AA461" s="316" t="str">
        <f t="shared" ca="1" si="227"/>
        <v/>
      </c>
      <c r="AC461" s="310" t="e">
        <f t="shared" ca="1" si="228"/>
        <v>#N/A</v>
      </c>
      <c r="AD461" s="323" t="e">
        <f t="shared" ca="1" si="229"/>
        <v>#N/A</v>
      </c>
      <c r="AE461" s="324">
        <f t="shared" ca="1" si="208"/>
        <v>1164.1055197181008</v>
      </c>
      <c r="AG461" s="306">
        <f t="shared" ca="1" si="230"/>
        <v>-12.227460204434106</v>
      </c>
      <c r="AH461" s="304">
        <f t="shared" ca="1" si="231"/>
        <v>-2.6086411066687392</v>
      </c>
    </row>
    <row r="462" spans="1:34" x14ac:dyDescent="0.2">
      <c r="A462" s="347">
        <f t="shared" ca="1" si="209"/>
        <v>0.1</v>
      </c>
      <c r="B462" s="304">
        <f t="shared" ca="1" si="210"/>
        <v>9.7999999999999385</v>
      </c>
      <c r="D462" s="306">
        <f t="shared" ca="1" si="211"/>
        <v>-0.50251429880401699</v>
      </c>
      <c r="E462" s="307">
        <f t="shared" ca="1" si="212"/>
        <v>-12.286124544012164</v>
      </c>
      <c r="F462" s="304">
        <f t="shared" ca="1" si="213"/>
        <v>12.296396908504564</v>
      </c>
      <c r="G462" s="306">
        <f t="shared" ca="1" si="214"/>
        <v>15.423012582288427</v>
      </c>
      <c r="H462" s="307">
        <f t="shared" ca="1" si="215"/>
        <v>75.015444456412951</v>
      </c>
      <c r="I462" s="304">
        <f t="shared" ca="1" si="216"/>
        <v>76.584503811845664</v>
      </c>
      <c r="J462" s="306">
        <f t="shared" ca="1" si="217"/>
        <v>157.42185562306364</v>
      </c>
      <c r="K462" s="307">
        <f t="shared" ca="1" si="218"/>
        <v>1171.6684947864621</v>
      </c>
      <c r="L462" s="304">
        <f t="shared" ca="1" si="203"/>
        <v>1182.1965582351281</v>
      </c>
      <c r="M462" s="306">
        <f t="shared" ca="1" si="219"/>
        <v>1.3680240781877127</v>
      </c>
      <c r="N462" s="304">
        <f t="shared" ca="1" si="220"/>
        <v>78.382005952430873</v>
      </c>
      <c r="P462" s="310">
        <f t="shared" ca="1" si="221"/>
        <v>23</v>
      </c>
      <c r="Q462" s="304">
        <f t="shared" ca="1" si="222"/>
        <v>0</v>
      </c>
      <c r="R462" s="306">
        <f t="shared" ca="1" si="223"/>
        <v>0</v>
      </c>
      <c r="S462" s="307">
        <f t="shared" ca="1" si="224"/>
        <v>7.9789999999999939</v>
      </c>
      <c r="T462" s="304">
        <f t="shared" ca="1" si="204"/>
        <v>78.273989999999941</v>
      </c>
      <c r="U462" s="311">
        <f t="shared" ca="1" si="205"/>
        <v>0</v>
      </c>
      <c r="V462" s="306">
        <f t="shared" ca="1" si="206"/>
        <v>1.0894137181283696</v>
      </c>
      <c r="W462" s="304">
        <f t="shared" ca="1" si="207"/>
        <v>19.520771501282965</v>
      </c>
      <c r="Y462" s="314" t="str">
        <f t="shared" ca="1" si="225"/>
        <v/>
      </c>
      <c r="Z462" s="315" t="str">
        <f t="shared" ca="1" si="226"/>
        <v/>
      </c>
      <c r="AA462" s="316" t="str">
        <f t="shared" ca="1" si="227"/>
        <v/>
      </c>
      <c r="AC462" s="310" t="e">
        <f t="shared" ca="1" si="228"/>
        <v>#N/A</v>
      </c>
      <c r="AD462" s="323" t="e">
        <f t="shared" ca="1" si="229"/>
        <v>#N/A</v>
      </c>
      <c r="AE462" s="324">
        <f t="shared" ca="1" si="208"/>
        <v>1171.6684947864621</v>
      </c>
      <c r="AG462" s="306">
        <f t="shared" ca="1" si="230"/>
        <v>-12.140616313117103</v>
      </c>
      <c r="AH462" s="304">
        <f t="shared" ca="1" si="231"/>
        <v>-2.5266011513418447</v>
      </c>
    </row>
    <row r="463" spans="1:34" x14ac:dyDescent="0.2">
      <c r="A463" s="347">
        <f t="shared" ca="1" si="209"/>
        <v>0.1</v>
      </c>
      <c r="B463" s="304">
        <f t="shared" ca="1" si="210"/>
        <v>9.8999999999999382</v>
      </c>
      <c r="D463" s="306">
        <f t="shared" ca="1" si="211"/>
        <v>-0.49269348867801038</v>
      </c>
      <c r="E463" s="307">
        <f t="shared" ca="1" si="212"/>
        <v>-12.206394403283152</v>
      </c>
      <c r="F463" s="304">
        <f t="shared" ca="1" si="213"/>
        <v>12.216333787282007</v>
      </c>
      <c r="G463" s="306">
        <f t="shared" ca="1" si="214"/>
        <v>15.373743233420626</v>
      </c>
      <c r="H463" s="307">
        <f t="shared" ca="1" si="215"/>
        <v>73.794805016084638</v>
      </c>
      <c r="I463" s="304">
        <f t="shared" ca="1" si="216"/>
        <v>75.379209523376517</v>
      </c>
      <c r="J463" s="306">
        <f t="shared" ca="1" si="217"/>
        <v>158.96169341384908</v>
      </c>
      <c r="K463" s="307">
        <f t="shared" ca="1" si="218"/>
        <v>1179.1090072600871</v>
      </c>
      <c r="L463" s="304">
        <f t="shared" ca="1" si="203"/>
        <v>1189.7759751208907</v>
      </c>
      <c r="M463" s="306">
        <f t="shared" ca="1" si="219"/>
        <v>1.3654032036252279</v>
      </c>
      <c r="N463" s="304">
        <f t="shared" ca="1" si="220"/>
        <v>78.231840901367306</v>
      </c>
      <c r="P463" s="310">
        <f t="shared" ca="1" si="221"/>
        <v>23</v>
      </c>
      <c r="Q463" s="304">
        <f t="shared" ca="1" si="222"/>
        <v>0</v>
      </c>
      <c r="R463" s="306">
        <f t="shared" ca="1" si="223"/>
        <v>0</v>
      </c>
      <c r="S463" s="307">
        <f t="shared" ca="1" si="224"/>
        <v>7.9789999999999939</v>
      </c>
      <c r="T463" s="304">
        <f t="shared" ca="1" si="204"/>
        <v>78.273989999999941</v>
      </c>
      <c r="U463" s="311">
        <f t="shared" ca="1" si="205"/>
        <v>0</v>
      </c>
      <c r="V463" s="306">
        <f t="shared" ca="1" si="206"/>
        <v>1.0886006327368665</v>
      </c>
      <c r="W463" s="304">
        <f t="shared" ca="1" si="207"/>
        <v>18.89705262125289</v>
      </c>
      <c r="Y463" s="314" t="str">
        <f t="shared" ca="1" si="225"/>
        <v/>
      </c>
      <c r="Z463" s="315" t="str">
        <f t="shared" ca="1" si="226"/>
        <v/>
      </c>
      <c r="AA463" s="316" t="str">
        <f t="shared" ca="1" si="227"/>
        <v/>
      </c>
      <c r="AC463" s="310" t="e">
        <f t="shared" ca="1" si="228"/>
        <v>#N/A</v>
      </c>
      <c r="AD463" s="323" t="e">
        <f t="shared" ca="1" si="229"/>
        <v>#N/A</v>
      </c>
      <c r="AE463" s="324">
        <f t="shared" ca="1" si="208"/>
        <v>1179.1090072600871</v>
      </c>
      <c r="AG463" s="306">
        <f t="shared" ca="1" si="230"/>
        <v>-12.055531775931463</v>
      </c>
      <c r="AH463" s="304">
        <f t="shared" ca="1" si="231"/>
        <v>-2.4465185488511065</v>
      </c>
    </row>
    <row r="464" spans="1:34" x14ac:dyDescent="0.2">
      <c r="A464" s="347">
        <f t="shared" ca="1" si="209"/>
        <v>0.1</v>
      </c>
      <c r="B464" s="304">
        <f t="shared" ca="1" si="210"/>
        <v>9.9999999999999378</v>
      </c>
      <c r="D464" s="306">
        <f t="shared" ca="1" si="211"/>
        <v>-0.48302949633456571</v>
      </c>
      <c r="E464" s="307">
        <f t="shared" ca="1" si="212"/>
        <v>-12.128567895783434</v>
      </c>
      <c r="F464" s="304">
        <f t="shared" ca="1" si="213"/>
        <v>12.138182594480847</v>
      </c>
      <c r="G464" s="306">
        <f t="shared" ca="1" si="214"/>
        <v>15.32544028378717</v>
      </c>
      <c r="H464" s="307">
        <f t="shared" ca="1" si="215"/>
        <v>72.581948226506299</v>
      </c>
      <c r="I464" s="304">
        <f t="shared" ca="1" si="216"/>
        <v>74.182264243194737</v>
      </c>
      <c r="J464" s="306">
        <f t="shared" ca="1" si="217"/>
        <v>160.49665258970947</v>
      </c>
      <c r="K464" s="307">
        <f t="shared" ca="1" si="218"/>
        <v>1186.4278449222165</v>
      </c>
      <c r="L464" s="304">
        <f t="shared" ca="1" si="203"/>
        <v>1197.234399229857</v>
      </c>
      <c r="M464" s="306">
        <f t="shared" ca="1" si="219"/>
        <v>1.362706100865466</v>
      </c>
      <c r="N464" s="304">
        <f t="shared" ca="1" si="220"/>
        <v>78.077308296319856</v>
      </c>
      <c r="P464" s="310">
        <f t="shared" ca="1" si="221"/>
        <v>23</v>
      </c>
      <c r="Q464" s="304">
        <f t="shared" ca="1" si="222"/>
        <v>0</v>
      </c>
      <c r="R464" s="306">
        <f t="shared" ca="1" si="223"/>
        <v>0</v>
      </c>
      <c r="S464" s="307">
        <f t="shared" ca="1" si="224"/>
        <v>7.9789999999999939</v>
      </c>
      <c r="T464" s="304">
        <f t="shared" ca="1" si="204"/>
        <v>78.273989999999941</v>
      </c>
      <c r="U464" s="311">
        <f t="shared" ca="1" si="205"/>
        <v>0</v>
      </c>
      <c r="V464" s="306">
        <f t="shared" ca="1" si="206"/>
        <v>1.0878014009093044</v>
      </c>
      <c r="W464" s="304">
        <f t="shared" ca="1" si="207"/>
        <v>18.288248580923227</v>
      </c>
      <c r="Y464" s="314" t="str">
        <f t="shared" ca="1" si="225"/>
        <v/>
      </c>
      <c r="Z464" s="315" t="str">
        <f t="shared" ca="1" si="226"/>
        <v/>
      </c>
      <c r="AA464" s="316" t="str">
        <f t="shared" ca="1" si="227"/>
        <v/>
      </c>
      <c r="AC464" s="310">
        <f t="shared" ca="1" si="228"/>
        <v>9.9999999999999378</v>
      </c>
      <c r="AD464" s="323">
        <f t="shared" ca="1" si="229"/>
        <v>160.49665258970947</v>
      </c>
      <c r="AE464" s="324">
        <f t="shared" ca="1" si="208"/>
        <v>1186.4278449222165</v>
      </c>
      <c r="AG464" s="306">
        <f t="shared" ca="1" si="230"/>
        <v>-11.972150943883689</v>
      </c>
      <c r="AH464" s="304">
        <f t="shared" ca="1" si="231"/>
        <v>-2.3683484924492926</v>
      </c>
    </row>
    <row r="465" spans="1:34" x14ac:dyDescent="0.2">
      <c r="A465" s="347">
        <f t="shared" ca="1" si="209"/>
        <v>0.1</v>
      </c>
      <c r="B465" s="304">
        <f t="shared" ca="1" si="210"/>
        <v>10.099999999999937</v>
      </c>
      <c r="D465" s="306">
        <f t="shared" ca="1" si="211"/>
        <v>-0.47351803667529879</v>
      </c>
      <c r="E465" s="307">
        <f t="shared" ca="1" si="212"/>
        <v>-12.052601908060181</v>
      </c>
      <c r="F465" s="304">
        <f t="shared" ca="1" si="213"/>
        <v>12.061900019699745</v>
      </c>
      <c r="G465" s="306">
        <f t="shared" ca="1" si="214"/>
        <v>15.27808848011964</v>
      </c>
      <c r="H465" s="307">
        <f t="shared" ca="1" si="215"/>
        <v>71.376688035700283</v>
      </c>
      <c r="I465" s="304">
        <f t="shared" ca="1" si="216"/>
        <v>72.993503701028388</v>
      </c>
      <c r="J465" s="306">
        <f t="shared" ca="1" si="217"/>
        <v>162.0268290279048</v>
      </c>
      <c r="K465" s="307">
        <f t="shared" ca="1" si="218"/>
        <v>1193.6257767353268</v>
      </c>
      <c r="L465" s="304">
        <f t="shared" ca="1" si="203"/>
        <v>1204.5726164129128</v>
      </c>
      <c r="M465" s="306">
        <f t="shared" ca="1" si="219"/>
        <v>1.359929597334153</v>
      </c>
      <c r="N465" s="304">
        <f t="shared" ca="1" si="220"/>
        <v>77.918226362172462</v>
      </c>
      <c r="P465" s="310">
        <f t="shared" ca="1" si="221"/>
        <v>23</v>
      </c>
      <c r="Q465" s="304">
        <f t="shared" ca="1" si="222"/>
        <v>0</v>
      </c>
      <c r="R465" s="306">
        <f t="shared" ca="1" si="223"/>
        <v>0</v>
      </c>
      <c r="S465" s="307">
        <f t="shared" ca="1" si="224"/>
        <v>7.9789999999999939</v>
      </c>
      <c r="T465" s="304">
        <f t="shared" ca="1" si="204"/>
        <v>78.273989999999941</v>
      </c>
      <c r="U465" s="311">
        <f t="shared" ca="1" si="205"/>
        <v>0</v>
      </c>
      <c r="V465" s="306">
        <f t="shared" ca="1" si="206"/>
        <v>1.0870159106417883</v>
      </c>
      <c r="W465" s="304">
        <f t="shared" ca="1" si="207"/>
        <v>17.694025709157618</v>
      </c>
      <c r="Y465" s="314" t="str">
        <f t="shared" ca="1" si="225"/>
        <v/>
      </c>
      <c r="Z465" s="315" t="str">
        <f t="shared" ca="1" si="226"/>
        <v/>
      </c>
      <c r="AA465" s="316" t="str">
        <f t="shared" ca="1" si="227"/>
        <v/>
      </c>
      <c r="AC465" s="310" t="e">
        <f t="shared" ca="1" si="228"/>
        <v>#N/A</v>
      </c>
      <c r="AD465" s="323" t="e">
        <f t="shared" ca="1" si="229"/>
        <v>#N/A</v>
      </c>
      <c r="AE465" s="324">
        <f t="shared" ca="1" si="208"/>
        <v>1193.6257767353268</v>
      </c>
      <c r="AG465" s="306">
        <f t="shared" ca="1" si="230"/>
        <v>-11.890418944185786</v>
      </c>
      <c r="AH465" s="304">
        <f t="shared" ca="1" si="231"/>
        <v>-2.2920476978221882</v>
      </c>
    </row>
    <row r="466" spans="1:34" x14ac:dyDescent="0.2">
      <c r="A466" s="347">
        <f t="shared" ca="1" si="209"/>
        <v>0.1</v>
      </c>
      <c r="B466" s="304">
        <f t="shared" ca="1" si="210"/>
        <v>10.199999999999937</v>
      </c>
      <c r="D466" s="306">
        <f t="shared" ca="1" si="211"/>
        <v>-0.46415496388338012</v>
      </c>
      <c r="E466" s="307">
        <f t="shared" ca="1" si="212"/>
        <v>-11.97845478414629</v>
      </c>
      <c r="F466" s="304">
        <f t="shared" ca="1" si="213"/>
        <v>11.987444216609925</v>
      </c>
      <c r="G466" s="306">
        <f t="shared" ca="1" si="214"/>
        <v>15.231672983731302</v>
      </c>
      <c r="H466" s="307">
        <f t="shared" ca="1" si="215"/>
        <v>70.178842557285648</v>
      </c>
      <c r="I466" s="304">
        <f t="shared" ca="1" si="216"/>
        <v>71.812769091322593</v>
      </c>
      <c r="J466" s="306">
        <f t="shared" ca="1" si="217"/>
        <v>163.55231710109734</v>
      </c>
      <c r="K466" s="307">
        <f t="shared" ca="1" si="218"/>
        <v>1200.7035532649761</v>
      </c>
      <c r="L466" s="304">
        <f t="shared" ca="1" si="203"/>
        <v>1211.7913942804996</v>
      </c>
      <c r="M466" s="306">
        <f t="shared" ca="1" si="219"/>
        <v>1.357070343341622</v>
      </c>
      <c r="N466" s="304">
        <f t="shared" ca="1" si="220"/>
        <v>77.754403175844502</v>
      </c>
      <c r="P466" s="310">
        <f t="shared" ca="1" si="221"/>
        <v>23</v>
      </c>
      <c r="Q466" s="304">
        <f t="shared" ca="1" si="222"/>
        <v>0</v>
      </c>
      <c r="R466" s="306">
        <f t="shared" ca="1" si="223"/>
        <v>0</v>
      </c>
      <c r="S466" s="307">
        <f t="shared" ca="1" si="224"/>
        <v>7.9789999999999939</v>
      </c>
      <c r="T466" s="304">
        <f t="shared" ca="1" si="204"/>
        <v>78.273989999999941</v>
      </c>
      <c r="U466" s="311">
        <f t="shared" ca="1" si="205"/>
        <v>0</v>
      </c>
      <c r="V466" s="306">
        <f t="shared" ca="1" si="206"/>
        <v>1.086244052674556</v>
      </c>
      <c r="W466" s="304">
        <f t="shared" ca="1" si="207"/>
        <v>17.114061596731911</v>
      </c>
      <c r="Y466" s="314" t="str">
        <f t="shared" ca="1" si="225"/>
        <v/>
      </c>
      <c r="Z466" s="315" t="str">
        <f t="shared" ca="1" si="226"/>
        <v/>
      </c>
      <c r="AA466" s="316" t="str">
        <f t="shared" ca="1" si="227"/>
        <v/>
      </c>
      <c r="AC466" s="310" t="e">
        <f t="shared" ca="1" si="228"/>
        <v>#N/A</v>
      </c>
      <c r="AD466" s="323" t="e">
        <f t="shared" ca="1" si="229"/>
        <v>#N/A</v>
      </c>
      <c r="AE466" s="324">
        <f t="shared" ca="1" si="208"/>
        <v>1200.7035532649761</v>
      </c>
      <c r="AG466" s="306">
        <f t="shared" ca="1" si="230"/>
        <v>-11.810281561704274</v>
      </c>
      <c r="AH466" s="304">
        <f t="shared" ca="1" si="231"/>
        <v>-2.2175743463037514</v>
      </c>
    </row>
    <row r="467" spans="1:34" x14ac:dyDescent="0.2">
      <c r="A467" s="347">
        <f t="shared" ca="1" si="209"/>
        <v>0.1</v>
      </c>
      <c r="B467" s="304">
        <f t="shared" ca="1" si="210"/>
        <v>10.299999999999937</v>
      </c>
      <c r="D467" s="306">
        <f t="shared" ca="1" si="211"/>
        <v>-0.45493626667382037</v>
      </c>
      <c r="E467" s="307">
        <f t="shared" ca="1" si="212"/>
        <v>-11.906086271455667</v>
      </c>
      <c r="F467" s="304">
        <f t="shared" ca="1" si="213"/>
        <v>11.914774748608561</v>
      </c>
      <c r="G467" s="306">
        <f t="shared" ca="1" si="214"/>
        <v>15.186179357063921</v>
      </c>
      <c r="H467" s="307">
        <f t="shared" ca="1" si="215"/>
        <v>68.988233930140083</v>
      </c>
      <c r="I467" s="304">
        <f t="shared" ca="1" si="216"/>
        <v>70.63990702332957</v>
      </c>
      <c r="J467" s="306">
        <f t="shared" ca="1" si="217"/>
        <v>165.07320971813709</v>
      </c>
      <c r="K467" s="307">
        <f t="shared" ca="1" si="218"/>
        <v>1207.6619070893473</v>
      </c>
      <c r="L467" s="304">
        <f t="shared" ca="1" si="203"/>
        <v>1218.8914826190753</v>
      </c>
      <c r="M467" s="306">
        <f t="shared" ca="1" si="219"/>
        <v>1.3541247997785859</v>
      </c>
      <c r="N467" s="304">
        <f t="shared" ca="1" si="220"/>
        <v>77.585635961310601</v>
      </c>
      <c r="P467" s="310">
        <f t="shared" ca="1" si="221"/>
        <v>23</v>
      </c>
      <c r="Q467" s="304">
        <f t="shared" ca="1" si="222"/>
        <v>0</v>
      </c>
      <c r="R467" s="306">
        <f t="shared" ca="1" si="223"/>
        <v>0</v>
      </c>
      <c r="S467" s="307">
        <f t="shared" ca="1" si="224"/>
        <v>7.9789999999999939</v>
      </c>
      <c r="T467" s="304">
        <f t="shared" ca="1" si="204"/>
        <v>78.273989999999941</v>
      </c>
      <c r="U467" s="311">
        <f t="shared" ca="1" si="205"/>
        <v>0</v>
      </c>
      <c r="V467" s="306">
        <f t="shared" ca="1" si="206"/>
        <v>1.0854857204282462</v>
      </c>
      <c r="W467" s="304">
        <f t="shared" ca="1" si="207"/>
        <v>16.548044683390486</v>
      </c>
      <c r="Y467" s="314" t="str">
        <f t="shared" ca="1" si="225"/>
        <v/>
      </c>
      <c r="Z467" s="315" t="str">
        <f t="shared" ca="1" si="226"/>
        <v/>
      </c>
      <c r="AA467" s="316" t="str">
        <f t="shared" ca="1" si="227"/>
        <v/>
      </c>
      <c r="AC467" s="310" t="e">
        <f t="shared" ca="1" si="228"/>
        <v>#N/A</v>
      </c>
      <c r="AD467" s="323" t="e">
        <f t="shared" ca="1" si="229"/>
        <v>#N/A</v>
      </c>
      <c r="AE467" s="324">
        <f t="shared" ca="1" si="208"/>
        <v>1207.6619070893473</v>
      </c>
      <c r="AG467" s="306">
        <f t="shared" ca="1" si="230"/>
        <v>-11.731685117015815</v>
      </c>
      <c r="AH467" s="304">
        <f t="shared" ca="1" si="231"/>
        <v>-2.1448880306720044</v>
      </c>
    </row>
    <row r="468" spans="1:34" x14ac:dyDescent="0.2">
      <c r="A468" s="347">
        <f t="shared" ca="1" si="209"/>
        <v>0.1</v>
      </c>
      <c r="B468" s="304">
        <f t="shared" ca="1" si="210"/>
        <v>10.399999999999936</v>
      </c>
      <c r="D468" s="306">
        <f t="shared" ca="1" si="211"/>
        <v>-0.4458580638121129</v>
      </c>
      <c r="E468" s="307">
        <f t="shared" ca="1" si="212"/>
        <v>-11.835457469103426</v>
      </c>
      <c r="F468" s="304">
        <f t="shared" ca="1" si="213"/>
        <v>11.843852536908013</v>
      </c>
      <c r="G468" s="306">
        <f t="shared" ca="1" si="214"/>
        <v>15.141593550682709</v>
      </c>
      <c r="H468" s="307">
        <f t="shared" ca="1" si="215"/>
        <v>67.804688183229743</v>
      </c>
      <c r="I468" s="304">
        <f t="shared" ca="1" si="216"/>
        <v>69.474769484173834</v>
      </c>
      <c r="J468" s="306">
        <f t="shared" ca="1" si="217"/>
        <v>166.58959836352443</v>
      </c>
      <c r="K468" s="307">
        <f t="shared" ca="1" si="218"/>
        <v>1214.5015531950157</v>
      </c>
      <c r="L468" s="304">
        <f t="shared" ca="1" si="203"/>
        <v>1225.8736137938633</v>
      </c>
      <c r="M468" s="306">
        <f t="shared" ca="1" si="219"/>
        <v>1.3510892247904156</v>
      </c>
      <c r="N468" s="304">
        <f t="shared" ca="1" si="220"/>
        <v>77.411710326092972</v>
      </c>
      <c r="P468" s="310">
        <f t="shared" ca="1" si="221"/>
        <v>23</v>
      </c>
      <c r="Q468" s="304">
        <f t="shared" ca="1" si="222"/>
        <v>0</v>
      </c>
      <c r="R468" s="306">
        <f t="shared" ca="1" si="223"/>
        <v>0</v>
      </c>
      <c r="S468" s="307">
        <f t="shared" ca="1" si="224"/>
        <v>7.9789999999999939</v>
      </c>
      <c r="T468" s="304">
        <f t="shared" ca="1" si="204"/>
        <v>78.273989999999941</v>
      </c>
      <c r="U468" s="311">
        <f t="shared" ca="1" si="205"/>
        <v>0</v>
      </c>
      <c r="V468" s="306">
        <f t="shared" ca="1" si="206"/>
        <v>1.084740809942355</v>
      </c>
      <c r="W468" s="304">
        <f t="shared" ca="1" si="207"/>
        <v>15.99567386347184</v>
      </c>
      <c r="Y468" s="314" t="str">
        <f t="shared" ca="1" si="225"/>
        <v/>
      </c>
      <c r="Z468" s="315" t="str">
        <f t="shared" ca="1" si="226"/>
        <v/>
      </c>
      <c r="AA468" s="316" t="str">
        <f t="shared" ca="1" si="227"/>
        <v/>
      </c>
      <c r="AC468" s="310" t="e">
        <f t="shared" ca="1" si="228"/>
        <v>#N/A</v>
      </c>
      <c r="AD468" s="323" t="e">
        <f t="shared" ca="1" si="229"/>
        <v>#N/A</v>
      </c>
      <c r="AE468" s="324">
        <f t="shared" ca="1" si="208"/>
        <v>1214.5015531950157</v>
      </c>
      <c r="AG468" s="306">
        <f t="shared" ca="1" si="230"/>
        <v>-11.654576340278572</v>
      </c>
      <c r="AH468" s="304">
        <f t="shared" ca="1" si="231"/>
        <v>-2.073949703395225</v>
      </c>
    </row>
    <row r="469" spans="1:34" x14ac:dyDescent="0.2">
      <c r="A469" s="347">
        <f t="shared" ca="1" si="209"/>
        <v>0.1</v>
      </c>
      <c r="B469" s="304">
        <f t="shared" ca="1" si="210"/>
        <v>10.499999999999936</v>
      </c>
      <c r="D469" s="306">
        <f t="shared" ca="1" si="211"/>
        <v>-0.4369165998934631</v>
      </c>
      <c r="E469" s="307">
        <f t="shared" ca="1" si="212"/>
        <v>-11.766530778526775</v>
      </c>
      <c r="F469" s="304">
        <f t="shared" ca="1" si="213"/>
        <v>11.77463981093606</v>
      </c>
      <c r="G469" s="306">
        <f t="shared" ca="1" si="214"/>
        <v>15.097901890693363</v>
      </c>
      <c r="H469" s="307">
        <f t="shared" ca="1" si="215"/>
        <v>66.628035105377066</v>
      </c>
      <c r="I469" s="304">
        <f t="shared" ca="1" si="216"/>
        <v>68.317213815438649</v>
      </c>
      <c r="J469" s="306">
        <f t="shared" ca="1" si="217"/>
        <v>168.10157313559324</v>
      </c>
      <c r="K469" s="307">
        <f t="shared" ca="1" si="218"/>
        <v>1221.223189359446</v>
      </c>
      <c r="L469" s="304">
        <f t="shared" ca="1" si="203"/>
        <v>1232.7385031384063</v>
      </c>
      <c r="M469" s="306">
        <f t="shared" ca="1" si="219"/>
        <v>1.3479596593317271</v>
      </c>
      <c r="N469" s="304">
        <f t="shared" ca="1" si="220"/>
        <v>77.232399433600193</v>
      </c>
      <c r="P469" s="310">
        <f t="shared" ca="1" si="221"/>
        <v>23</v>
      </c>
      <c r="Q469" s="304">
        <f t="shared" ca="1" si="222"/>
        <v>0</v>
      </c>
      <c r="R469" s="306">
        <f t="shared" ca="1" si="223"/>
        <v>0</v>
      </c>
      <c r="S469" s="307">
        <f t="shared" ca="1" si="224"/>
        <v>7.9789999999999939</v>
      </c>
      <c r="T469" s="304">
        <f t="shared" ca="1" si="204"/>
        <v>78.273989999999941</v>
      </c>
      <c r="U469" s="311">
        <f t="shared" ca="1" si="205"/>
        <v>0</v>
      </c>
      <c r="V469" s="306">
        <f t="shared" ca="1" si="206"/>
        <v>1.0840092198158084</v>
      </c>
      <c r="W469" s="304">
        <f t="shared" ca="1" si="207"/>
        <v>15.456658109178212</v>
      </c>
      <c r="Y469" s="314" t="str">
        <f t="shared" ca="1" si="225"/>
        <v/>
      </c>
      <c r="Z469" s="315" t="str">
        <f t="shared" ca="1" si="226"/>
        <v/>
      </c>
      <c r="AA469" s="316" t="str">
        <f t="shared" ca="1" si="227"/>
        <v/>
      </c>
      <c r="AC469" s="310" t="e">
        <f t="shared" ca="1" si="228"/>
        <v>#N/A</v>
      </c>
      <c r="AD469" s="323" t="e">
        <f t="shared" ca="1" si="229"/>
        <v>#N/A</v>
      </c>
      <c r="AE469" s="324">
        <f t="shared" ca="1" si="208"/>
        <v>1221.223189359446</v>
      </c>
      <c r="AG469" s="306">
        <f t="shared" ca="1" si="230"/>
        <v>-11.578902240053726</v>
      </c>
      <c r="AH469" s="304">
        <f t="shared" ca="1" si="231"/>
        <v>-2.0047216272053956</v>
      </c>
    </row>
    <row r="470" spans="1:34" x14ac:dyDescent="0.2">
      <c r="A470" s="347">
        <f t="shared" ca="1" si="209"/>
        <v>0.1</v>
      </c>
      <c r="B470" s="304">
        <f t="shared" ca="1" si="210"/>
        <v>10.599999999999936</v>
      </c>
      <c r="D470" s="306">
        <f t="shared" ca="1" si="211"/>
        <v>-0.42810824137597225</v>
      </c>
      <c r="E470" s="307">
        <f t="shared" ca="1" si="212"/>
        <v>-11.699269856289256</v>
      </c>
      <c r="F470" s="304">
        <f t="shared" ca="1" si="213"/>
        <v>11.707100060929369</v>
      </c>
      <c r="G470" s="306">
        <f t="shared" ca="1" si="214"/>
        <v>15.055091066555766</v>
      </c>
      <c r="H470" s="307">
        <f t="shared" ca="1" si="215"/>
        <v>65.458108119748147</v>
      </c>
      <c r="I470" s="304">
        <f t="shared" ca="1" si="216"/>
        <v>67.167102703919909</v>
      </c>
      <c r="J470" s="306">
        <f t="shared" ca="1" si="217"/>
        <v>169.60922278345569</v>
      </c>
      <c r="K470" s="307">
        <f t="shared" ca="1" si="218"/>
        <v>1227.8274965207022</v>
      </c>
      <c r="L470" s="304">
        <f t="shared" ca="1" si="203"/>
        <v>1239.4868493314088</v>
      </c>
      <c r="M470" s="306">
        <f t="shared" ca="1" si="219"/>
        <v>1.3447319114924132</v>
      </c>
      <c r="N470" s="304">
        <f t="shared" ca="1" si="220"/>
        <v>77.047463105075039</v>
      </c>
      <c r="P470" s="310">
        <f t="shared" ca="1" si="221"/>
        <v>23</v>
      </c>
      <c r="Q470" s="304">
        <f t="shared" ca="1" si="222"/>
        <v>0</v>
      </c>
      <c r="R470" s="306">
        <f t="shared" ca="1" si="223"/>
        <v>0</v>
      </c>
      <c r="S470" s="307">
        <f t="shared" ca="1" si="224"/>
        <v>7.9789999999999939</v>
      </c>
      <c r="T470" s="304">
        <f t="shared" ca="1" si="204"/>
        <v>78.273989999999941</v>
      </c>
      <c r="U470" s="311">
        <f t="shared" ca="1" si="205"/>
        <v>0</v>
      </c>
      <c r="V470" s="306">
        <f t="shared" ca="1" si="206"/>
        <v>1.0832908511495694</v>
      </c>
      <c r="W470" s="304">
        <f t="shared" ca="1" si="207"/>
        <v>14.930716110615904</v>
      </c>
      <c r="Y470" s="314" t="str">
        <f t="shared" ca="1" si="225"/>
        <v/>
      </c>
      <c r="Z470" s="315" t="str">
        <f t="shared" ca="1" si="226"/>
        <v/>
      </c>
      <c r="AA470" s="316" t="str">
        <f t="shared" ca="1" si="227"/>
        <v/>
      </c>
      <c r="AC470" s="310" t="e">
        <f t="shared" ca="1" si="228"/>
        <v>#N/A</v>
      </c>
      <c r="AD470" s="323" t="e">
        <f t="shared" ca="1" si="229"/>
        <v>#N/A</v>
      </c>
      <c r="AE470" s="324">
        <f t="shared" ca="1" si="208"/>
        <v>1227.8274965207022</v>
      </c>
      <c r="AG470" s="306">
        <f t="shared" ca="1" si="230"/>
        <v>-11.504609966125351</v>
      </c>
      <c r="AH470" s="304">
        <f t="shared" ca="1" si="231"/>
        <v>-1.9371673278829709</v>
      </c>
    </row>
    <row r="471" spans="1:34" x14ac:dyDescent="0.2">
      <c r="A471" s="347">
        <f t="shared" ca="1" si="209"/>
        <v>0.1</v>
      </c>
      <c r="B471" s="304">
        <f t="shared" ca="1" si="210"/>
        <v>10.699999999999935</v>
      </c>
      <c r="D471" s="306">
        <f t="shared" ca="1" si="211"/>
        <v>-0.4194294728622362</v>
      </c>
      <c r="E471" s="307">
        <f t="shared" ca="1" si="212"/>
        <v>-11.633639568957205</v>
      </c>
      <c r="F471" s="304">
        <f t="shared" ca="1" si="213"/>
        <v>11.641197992608506</v>
      </c>
      <c r="G471" s="306">
        <f t="shared" ca="1" si="214"/>
        <v>15.013148119269543</v>
      </c>
      <c r="H471" s="307">
        <f t="shared" ca="1" si="215"/>
        <v>64.294744162852425</v>
      </c>
      <c r="I471" s="304">
        <f t="shared" ca="1" si="216"/>
        <v>66.024304187304935</v>
      </c>
      <c r="J471" s="306">
        <f t="shared" ca="1" si="217"/>
        <v>171.11263474274696</v>
      </c>
      <c r="K471" s="307">
        <f t="shared" ca="1" si="218"/>
        <v>1234.3151391348322</v>
      </c>
      <c r="L471" s="304">
        <f t="shared" ca="1" si="203"/>
        <v>1246.1193347613403</v>
      </c>
      <c r="M471" s="306">
        <f t="shared" ca="1" si="219"/>
        <v>1.3414015394743171</v>
      </c>
      <c r="N471" s="304">
        <f t="shared" ca="1" si="220"/>
        <v>76.856646844229658</v>
      </c>
      <c r="P471" s="310">
        <f t="shared" ca="1" si="221"/>
        <v>23</v>
      </c>
      <c r="Q471" s="304">
        <f t="shared" ca="1" si="222"/>
        <v>0</v>
      </c>
      <c r="R471" s="306">
        <f t="shared" ca="1" si="223"/>
        <v>0</v>
      </c>
      <c r="S471" s="307">
        <f t="shared" ca="1" si="224"/>
        <v>7.9789999999999939</v>
      </c>
      <c r="T471" s="304">
        <f t="shared" ca="1" si="204"/>
        <v>78.273989999999941</v>
      </c>
      <c r="U471" s="311">
        <f t="shared" ca="1" si="205"/>
        <v>0</v>
      </c>
      <c r="V471" s="306">
        <f t="shared" ca="1" si="206"/>
        <v>1.0825856074911984</v>
      </c>
      <c r="W471" s="304">
        <f t="shared" ca="1" si="207"/>
        <v>14.41757593178234</v>
      </c>
      <c r="Y471" s="314" t="str">
        <f t="shared" ca="1" si="225"/>
        <v/>
      </c>
      <c r="Z471" s="315" t="str">
        <f t="shared" ca="1" si="226"/>
        <v/>
      </c>
      <c r="AA471" s="316" t="str">
        <f t="shared" ca="1" si="227"/>
        <v/>
      </c>
      <c r="AC471" s="310" t="e">
        <f t="shared" ca="1" si="228"/>
        <v>#N/A</v>
      </c>
      <c r="AD471" s="323" t="e">
        <f t="shared" ca="1" si="229"/>
        <v>#N/A</v>
      </c>
      <c r="AE471" s="324">
        <f t="shared" ca="1" si="208"/>
        <v>1234.3151391348322</v>
      </c>
      <c r="AG471" s="306">
        <f t="shared" ca="1" si="230"/>
        <v>-11.431646665267108</v>
      </c>
      <c r="AH471" s="304">
        <f t="shared" ca="1" si="231"/>
        <v>-1.8712515491434911</v>
      </c>
    </row>
    <row r="472" spans="1:34" x14ac:dyDescent="0.2">
      <c r="A472" s="347">
        <f t="shared" ca="1" si="209"/>
        <v>0.1</v>
      </c>
      <c r="B472" s="304">
        <f t="shared" ca="1" si="210"/>
        <v>10.799999999999935</v>
      </c>
      <c r="D472" s="306">
        <f t="shared" ca="1" si="211"/>
        <v>-0.41087689362496477</v>
      </c>
      <c r="E472" s="307">
        <f t="shared" ca="1" si="212"/>
        <v>-11.56960594994316</v>
      </c>
      <c r="F472" s="304">
        <f t="shared" ca="1" si="213"/>
        <v>11.576899483828779</v>
      </c>
      <c r="G472" s="306">
        <f t="shared" ca="1" si="214"/>
        <v>14.972060429907046</v>
      </c>
      <c r="H472" s="307">
        <f t="shared" ca="1" si="215"/>
        <v>63.137783567858108</v>
      </c>
      <c r="I472" s="304">
        <f t="shared" ca="1" si="216"/>
        <v>64.888691675657029</v>
      </c>
      <c r="J472" s="306">
        <f t="shared" ca="1" si="217"/>
        <v>172.6118951702058</v>
      </c>
      <c r="K472" s="307">
        <f t="shared" ca="1" si="218"/>
        <v>1240.6867655213678</v>
      </c>
      <c r="L472" s="304">
        <f t="shared" ca="1" si="203"/>
        <v>1252.6366258792386</v>
      </c>
      <c r="M472" s="306">
        <f t="shared" ca="1" si="219"/>
        <v>1.3379638330843528</v>
      </c>
      <c r="N472" s="304">
        <f t="shared" ca="1" si="220"/>
        <v>76.659680776879554</v>
      </c>
      <c r="P472" s="310">
        <f t="shared" ca="1" si="221"/>
        <v>23</v>
      </c>
      <c r="Q472" s="304">
        <f t="shared" ca="1" si="222"/>
        <v>0</v>
      </c>
      <c r="R472" s="306">
        <f t="shared" ca="1" si="223"/>
        <v>0</v>
      </c>
      <c r="S472" s="307">
        <f t="shared" ca="1" si="224"/>
        <v>7.9789999999999939</v>
      </c>
      <c r="T472" s="304">
        <f t="shared" ca="1" si="204"/>
        <v>78.273989999999941</v>
      </c>
      <c r="U472" s="311">
        <f t="shared" ca="1" si="205"/>
        <v>0</v>
      </c>
      <c r="V472" s="306">
        <f t="shared" ca="1" si="206"/>
        <v>1.0818933947813085</v>
      </c>
      <c r="W472" s="304">
        <f t="shared" ca="1" si="207"/>
        <v>13.916974681722101</v>
      </c>
      <c r="Y472" s="314" t="str">
        <f t="shared" ca="1" si="225"/>
        <v/>
      </c>
      <c r="Z472" s="315" t="str">
        <f t="shared" ca="1" si="226"/>
        <v/>
      </c>
      <c r="AA472" s="316" t="str">
        <f t="shared" ca="1" si="227"/>
        <v/>
      </c>
      <c r="AC472" s="310" t="e">
        <f t="shared" ca="1" si="228"/>
        <v>#N/A</v>
      </c>
      <c r="AD472" s="323" t="e">
        <f t="shared" ca="1" si="229"/>
        <v>#N/A</v>
      </c>
      <c r="AE472" s="324">
        <f t="shared" ca="1" si="208"/>
        <v>1240.6867655213678</v>
      </c>
      <c r="AG472" s="306">
        <f t="shared" ca="1" si="230"/>
        <v>-11.359959328789154</v>
      </c>
      <c r="AH472" s="304">
        <f t="shared" ca="1" si="231"/>
        <v>-1.8069402095227911</v>
      </c>
    </row>
    <row r="473" spans="1:34" x14ac:dyDescent="0.2">
      <c r="A473" s="347">
        <f t="shared" ca="1" si="209"/>
        <v>0.1</v>
      </c>
      <c r="B473" s="304">
        <f t="shared" ca="1" si="210"/>
        <v>10.899999999999935</v>
      </c>
      <c r="D473" s="306">
        <f t="shared" ca="1" si="211"/>
        <v>-0.40244721437340436</v>
      </c>
      <c r="E473" s="307">
        <f t="shared" ca="1" si="212"/>
        <v>-11.507136158216346</v>
      </c>
      <c r="F473" s="304">
        <f t="shared" ca="1" si="213"/>
        <v>11.514171543106649</v>
      </c>
      <c r="G473" s="306">
        <f t="shared" ca="1" si="214"/>
        <v>14.931815708469706</v>
      </c>
      <c r="H473" s="307">
        <f t="shared" ca="1" si="215"/>
        <v>61.987069952036471</v>
      </c>
      <c r="I473" s="304">
        <f t="shared" ca="1" si="216"/>
        <v>63.760143989724213</v>
      </c>
      <c r="J473" s="306">
        <f t="shared" ca="1" si="217"/>
        <v>174.10708897712465</v>
      </c>
      <c r="K473" s="307">
        <f t="shared" ca="1" si="218"/>
        <v>1246.9430081973626</v>
      </c>
      <c r="L473" s="304">
        <f t="shared" ca="1" si="203"/>
        <v>1259.0393735401512</v>
      </c>
      <c r="M473" s="306">
        <f t="shared" ca="1" si="219"/>
        <v>1.3344137935948519</v>
      </c>
      <c r="N473" s="304">
        <f t="shared" ca="1" si="220"/>
        <v>76.456278497026375</v>
      </c>
      <c r="P473" s="310">
        <f t="shared" ca="1" si="221"/>
        <v>23</v>
      </c>
      <c r="Q473" s="304">
        <f t="shared" ca="1" si="222"/>
        <v>0</v>
      </c>
      <c r="R473" s="306">
        <f t="shared" ca="1" si="223"/>
        <v>0</v>
      </c>
      <c r="S473" s="307">
        <f t="shared" ca="1" si="224"/>
        <v>7.9789999999999939</v>
      </c>
      <c r="T473" s="304">
        <f t="shared" ca="1" si="204"/>
        <v>78.273989999999941</v>
      </c>
      <c r="U473" s="311">
        <f t="shared" ca="1" si="205"/>
        <v>0</v>
      </c>
      <c r="V473" s="306">
        <f t="shared" ca="1" si="206"/>
        <v>1.0812141213018329</v>
      </c>
      <c r="W473" s="304">
        <f t="shared" ca="1" si="207"/>
        <v>13.428658200117061</v>
      </c>
      <c r="Y473" s="314" t="str">
        <f t="shared" ca="1" si="225"/>
        <v/>
      </c>
      <c r="Z473" s="315" t="str">
        <f t="shared" ca="1" si="226"/>
        <v/>
      </c>
      <c r="AA473" s="316" t="str">
        <f t="shared" ca="1" si="227"/>
        <v/>
      </c>
      <c r="AC473" s="310" t="e">
        <f t="shared" ca="1" si="228"/>
        <v>#N/A</v>
      </c>
      <c r="AD473" s="323" t="e">
        <f t="shared" ca="1" si="229"/>
        <v>#N/A</v>
      </c>
      <c r="AE473" s="324">
        <f t="shared" ca="1" si="208"/>
        <v>1246.9430081973626</v>
      </c>
      <c r="AG473" s="306">
        <f t="shared" ca="1" si="230"/>
        <v>-11.289494630566022</v>
      </c>
      <c r="AH473" s="304">
        <f t="shared" ca="1" si="231"/>
        <v>-1.7442003611633177</v>
      </c>
    </row>
    <row r="474" spans="1:34" x14ac:dyDescent="0.2">
      <c r="A474" s="347">
        <f t="shared" ca="1" si="209"/>
        <v>0.1</v>
      </c>
      <c r="B474" s="304">
        <f t="shared" ca="1" si="210"/>
        <v>10.999999999999934</v>
      </c>
      <c r="D474" s="306">
        <f t="shared" ca="1" si="211"/>
        <v>-0.39413725425856805</v>
      </c>
      <c r="E474" s="307">
        <f t="shared" ca="1" si="212"/>
        <v>-11.4461984387854</v>
      </c>
      <c r="F474" s="304">
        <f t="shared" ca="1" si="213"/>
        <v>11.452982269926371</v>
      </c>
      <c r="G474" s="306">
        <f t="shared" ca="1" si="214"/>
        <v>14.89240198304385</v>
      </c>
      <c r="H474" s="307">
        <f t="shared" ca="1" si="215"/>
        <v>60.842450108157934</v>
      </c>
      <c r="I474" s="304">
        <f t="shared" ca="1" si="216"/>
        <v>62.638545417244927</v>
      </c>
      <c r="J474" s="306">
        <f t="shared" ca="1" si="217"/>
        <v>175.59829986170033</v>
      </c>
      <c r="K474" s="307">
        <f t="shared" ca="1" si="218"/>
        <v>1253.0844842003723</v>
      </c>
      <c r="L474" s="304">
        <f t="shared" ca="1" si="203"/>
        <v>1265.3282133336129</v>
      </c>
      <c r="M474" s="306">
        <f t="shared" ca="1" si="219"/>
        <v>1.330746111805045</v>
      </c>
      <c r="N474" s="304">
        <f t="shared" ca="1" si="220"/>
        <v>76.246135809873451</v>
      </c>
      <c r="P474" s="310">
        <f t="shared" ca="1" si="221"/>
        <v>23</v>
      </c>
      <c r="Q474" s="304">
        <f t="shared" ca="1" si="222"/>
        <v>0</v>
      </c>
      <c r="R474" s="306">
        <f t="shared" ca="1" si="223"/>
        <v>0</v>
      </c>
      <c r="S474" s="307">
        <f t="shared" ca="1" si="224"/>
        <v>7.9789999999999939</v>
      </c>
      <c r="T474" s="304">
        <f t="shared" ca="1" si="204"/>
        <v>78.273989999999941</v>
      </c>
      <c r="U474" s="311">
        <f t="shared" ca="1" si="205"/>
        <v>0</v>
      </c>
      <c r="V474" s="306">
        <f t="shared" ca="1" si="206"/>
        <v>1.0805476976260455</v>
      </c>
      <c r="W474" s="304">
        <f t="shared" ca="1" si="207"/>
        <v>12.9523807566167</v>
      </c>
      <c r="Y474" s="314" t="str">
        <f t="shared" ca="1" si="225"/>
        <v/>
      </c>
      <c r="Z474" s="315" t="str">
        <f t="shared" ca="1" si="226"/>
        <v/>
      </c>
      <c r="AA474" s="316" t="str">
        <f t="shared" ca="1" si="227"/>
        <v/>
      </c>
      <c r="AC474" s="310">
        <f t="shared" ca="1" si="228"/>
        <v>10.999999999999934</v>
      </c>
      <c r="AD474" s="323">
        <f t="shared" ca="1" si="229"/>
        <v>175.59829986170033</v>
      </c>
      <c r="AE474" s="324">
        <f t="shared" ca="1" si="208"/>
        <v>1253.0844842003723</v>
      </c>
      <c r="AG474" s="306">
        <f t="shared" ca="1" si="230"/>
        <v>-11.220198754093289</v>
      </c>
      <c r="AH474" s="304">
        <f t="shared" ca="1" si="231"/>
        <v>-1.6830001504094587</v>
      </c>
    </row>
    <row r="475" spans="1:34" x14ac:dyDescent="0.2">
      <c r="A475" s="347">
        <f t="shared" ca="1" si="209"/>
        <v>0.1</v>
      </c>
      <c r="B475" s="304">
        <f t="shared" ca="1" si="210"/>
        <v>11.099999999999934</v>
      </c>
      <c r="D475" s="306">
        <f t="shared" ca="1" si="211"/>
        <v>-0.38594393811656474</v>
      </c>
      <c r="E475" s="307">
        <f t="shared" ca="1" si="212"/>
        <v>-11.386762084863067</v>
      </c>
      <c r="F475" s="304">
        <f t="shared" ca="1" si="213"/>
        <v>11.3933008167363</v>
      </c>
      <c r="G475" s="306">
        <f t="shared" ca="1" si="214"/>
        <v>14.853807589232193</v>
      </c>
      <c r="H475" s="307">
        <f t="shared" ca="1" si="215"/>
        <v>59.703773899671624</v>
      </c>
      <c r="I475" s="304">
        <f t="shared" ca="1" si="216"/>
        <v>61.523785788595966</v>
      </c>
      <c r="J475" s="306">
        <f t="shared" ca="1" si="217"/>
        <v>177.08561034031413</v>
      </c>
      <c r="K475" s="307">
        <f t="shared" ca="1" si="218"/>
        <v>1259.1117954007639</v>
      </c>
      <c r="L475" s="304">
        <f t="shared" ca="1" si="203"/>
        <v>1271.5037659035606</v>
      </c>
      <c r="M475" s="306">
        <f t="shared" ca="1" si="219"/>
        <v>1.3269551441186178</v>
      </c>
      <c r="N475" s="304">
        <f t="shared" ca="1" si="220"/>
        <v>76.028929361170697</v>
      </c>
      <c r="P475" s="310">
        <f t="shared" ca="1" si="221"/>
        <v>23</v>
      </c>
      <c r="Q475" s="304">
        <f t="shared" ca="1" si="222"/>
        <v>0</v>
      </c>
      <c r="R475" s="306">
        <f t="shared" ca="1" si="223"/>
        <v>0</v>
      </c>
      <c r="S475" s="307">
        <f t="shared" ca="1" si="224"/>
        <v>7.9789999999999939</v>
      </c>
      <c r="T475" s="304">
        <f t="shared" ca="1" si="204"/>
        <v>78.273989999999941</v>
      </c>
      <c r="U475" s="311">
        <f t="shared" ca="1" si="205"/>
        <v>0</v>
      </c>
      <c r="V475" s="306">
        <f t="shared" ca="1" si="206"/>
        <v>1.0798940365702745</v>
      </c>
      <c r="W475" s="304">
        <f t="shared" ca="1" si="207"/>
        <v>12.487904763252565</v>
      </c>
      <c r="Y475" s="314" t="str">
        <f t="shared" ca="1" si="225"/>
        <v/>
      </c>
      <c r="Z475" s="315" t="str">
        <f t="shared" ca="1" si="226"/>
        <v/>
      </c>
      <c r="AA475" s="316" t="str">
        <f t="shared" ca="1" si="227"/>
        <v/>
      </c>
      <c r="AC475" s="310" t="e">
        <f t="shared" ca="1" si="228"/>
        <v>#N/A</v>
      </c>
      <c r="AD475" s="323" t="e">
        <f t="shared" ca="1" si="229"/>
        <v>#N/A</v>
      </c>
      <c r="AE475" s="324">
        <f t="shared" ca="1" si="208"/>
        <v>1259.1117954007639</v>
      </c>
      <c r="AG475" s="306">
        <f t="shared" ca="1" si="230"/>
        <v>-11.152017206944603</v>
      </c>
      <c r="AH475" s="304">
        <f t="shared" ca="1" si="231"/>
        <v>-1.6233087801249166</v>
      </c>
    </row>
    <row r="476" spans="1:34" x14ac:dyDescent="0.2">
      <c r="A476" s="347">
        <f t="shared" ca="1" si="209"/>
        <v>0.1</v>
      </c>
      <c r="B476" s="304">
        <f t="shared" ca="1" si="210"/>
        <v>11.199999999999934</v>
      </c>
      <c r="D476" s="306">
        <f t="shared" ca="1" si="211"/>
        <v>-0.37786429395069265</v>
      </c>
      <c r="E476" s="307">
        <f t="shared" ca="1" si="212"/>
        <v>-11.328797401626861</v>
      </c>
      <c r="F476" s="304">
        <f t="shared" ca="1" si="213"/>
        <v>11.335097352548429</v>
      </c>
      <c r="G476" s="306">
        <f t="shared" ca="1" si="214"/>
        <v>14.816021159837124</v>
      </c>
      <c r="H476" s="307">
        <f t="shared" ca="1" si="215"/>
        <v>58.570894159508939</v>
      </c>
      <c r="I476" s="304">
        <f t="shared" ca="1" si="216"/>
        <v>60.415760573323411</v>
      </c>
      <c r="J476" s="306">
        <f t="shared" ca="1" si="217"/>
        <v>178.5691017777676</v>
      </c>
      <c r="K476" s="307">
        <f t="shared" ca="1" si="218"/>
        <v>1265.0255288037229</v>
      </c>
      <c r="L476" s="304">
        <f t="shared" ca="1" si="203"/>
        <v>1277.5666372580561</v>
      </c>
      <c r="M476" s="306">
        <f t="shared" ca="1" si="219"/>
        <v>1.323034886430952</v>
      </c>
      <c r="N476" s="304">
        <f t="shared" ca="1" si="220"/>
        <v>75.804315141063739</v>
      </c>
      <c r="P476" s="310">
        <f t="shared" ca="1" si="221"/>
        <v>23</v>
      </c>
      <c r="Q476" s="304">
        <f t="shared" ca="1" si="222"/>
        <v>0</v>
      </c>
      <c r="R476" s="306">
        <f t="shared" ca="1" si="223"/>
        <v>0</v>
      </c>
      <c r="S476" s="307">
        <f t="shared" ca="1" si="224"/>
        <v>7.9789999999999939</v>
      </c>
      <c r="T476" s="304">
        <f t="shared" ca="1" si="204"/>
        <v>78.273989999999941</v>
      </c>
      <c r="U476" s="311">
        <f t="shared" ca="1" si="205"/>
        <v>0</v>
      </c>
      <c r="V476" s="306">
        <f t="shared" ca="1" si="206"/>
        <v>1.0792530531472411</v>
      </c>
      <c r="W476" s="304">
        <f t="shared" ca="1" si="207"/>
        <v>12.035000499316808</v>
      </c>
      <c r="Y476" s="314" t="str">
        <f t="shared" ca="1" si="225"/>
        <v/>
      </c>
      <c r="Z476" s="315" t="str">
        <f t="shared" ca="1" si="226"/>
        <v/>
      </c>
      <c r="AA476" s="316" t="str">
        <f t="shared" ca="1" si="227"/>
        <v/>
      </c>
      <c r="AC476" s="310" t="e">
        <f t="shared" ca="1" si="228"/>
        <v>#N/A</v>
      </c>
      <c r="AD476" s="323" t="e">
        <f t="shared" ca="1" si="229"/>
        <v>#N/A</v>
      </c>
      <c r="AE476" s="324">
        <f t="shared" ca="1" si="208"/>
        <v>1265.0255288037229</v>
      </c>
      <c r="AG476" s="306">
        <f t="shared" ca="1" si="230"/>
        <v>-11.084894620797453</v>
      </c>
      <c r="AH476" s="304">
        <f t="shared" ca="1" si="231"/>
        <v>-1.5650964736499029</v>
      </c>
    </row>
    <row r="477" spans="1:34" x14ac:dyDescent="0.2">
      <c r="A477" s="347">
        <f t="shared" ca="1" si="209"/>
        <v>0.1</v>
      </c>
      <c r="B477" s="304">
        <f t="shared" ca="1" si="210"/>
        <v>11.299999999999933</v>
      </c>
      <c r="D477" s="306">
        <f t="shared" ca="1" si="211"/>
        <v>-0.36989545065441631</v>
      </c>
      <c r="E477" s="307">
        <f t="shared" ca="1" si="212"/>
        <v>-11.272275671493563</v>
      </c>
      <c r="F477" s="304">
        <f t="shared" ca="1" si="213"/>
        <v>11.27834302805871</v>
      </c>
      <c r="G477" s="306">
        <f t="shared" ca="1" si="214"/>
        <v>14.779031614771682</v>
      </c>
      <c r="H477" s="307">
        <f t="shared" ca="1" si="215"/>
        <v>57.443666592359584</v>
      </c>
      <c r="I477" s="304">
        <f t="shared" ca="1" si="216"/>
        <v>59.314370999316765</v>
      </c>
      <c r="J477" s="306">
        <f t="shared" ca="1" si="217"/>
        <v>180.04885441649805</v>
      </c>
      <c r="K477" s="307">
        <f t="shared" ca="1" si="218"/>
        <v>1270.8262568413163</v>
      </c>
      <c r="L477" s="304">
        <f t="shared" ca="1" si="203"/>
        <v>1283.5174190691782</v>
      </c>
      <c r="M477" s="306">
        <f t="shared" ca="1" si="219"/>
        <v>1.3189789455956387</v>
      </c>
      <c r="N477" s="304">
        <f t="shared" ca="1" si="220"/>
        <v>75.571926849245514</v>
      </c>
      <c r="P477" s="310">
        <f t="shared" ca="1" si="221"/>
        <v>23</v>
      </c>
      <c r="Q477" s="304">
        <f t="shared" ca="1" si="222"/>
        <v>0</v>
      </c>
      <c r="R477" s="306">
        <f t="shared" ca="1" si="223"/>
        <v>0</v>
      </c>
      <c r="S477" s="307">
        <f t="shared" ca="1" si="224"/>
        <v>7.9789999999999939</v>
      </c>
      <c r="T477" s="304">
        <f t="shared" ca="1" si="204"/>
        <v>78.273989999999941</v>
      </c>
      <c r="U477" s="311">
        <f t="shared" ca="1" si="205"/>
        <v>0</v>
      </c>
      <c r="V477" s="306">
        <f t="shared" ca="1" si="206"/>
        <v>1.0786246645209741</v>
      </c>
      <c r="W477" s="304">
        <f t="shared" ca="1" si="207"/>
        <v>11.593445848118279</v>
      </c>
      <c r="Y477" s="314" t="str">
        <f t="shared" ca="1" si="225"/>
        <v/>
      </c>
      <c r="Z477" s="315" t="str">
        <f t="shared" ca="1" si="226"/>
        <v/>
      </c>
      <c r="AA477" s="316" t="str">
        <f t="shared" ca="1" si="227"/>
        <v/>
      </c>
      <c r="AC477" s="310" t="e">
        <f t="shared" ca="1" si="228"/>
        <v>#N/A</v>
      </c>
      <c r="AD477" s="323" t="e">
        <f t="shared" ca="1" si="229"/>
        <v>#N/A</v>
      </c>
      <c r="AE477" s="324">
        <f t="shared" ca="1" si="208"/>
        <v>1270.8262568413163</v>
      </c>
      <c r="AG477" s="306">
        <f t="shared" ca="1" si="230"/>
        <v>-11.01877453496172</v>
      </c>
      <c r="AH477" s="304">
        <f t="shared" ca="1" si="231"/>
        <v>-1.5083344403204433</v>
      </c>
    </row>
    <row r="478" spans="1:34" x14ac:dyDescent="0.2">
      <c r="A478" s="347">
        <f t="shared" ca="1" si="209"/>
        <v>0.1</v>
      </c>
      <c r="B478" s="304">
        <f t="shared" ca="1" si="210"/>
        <v>11.399999999999933</v>
      </c>
      <c r="D478" s="306">
        <f t="shared" ca="1" si="211"/>
        <v>-0.36203463597893659</v>
      </c>
      <c r="E478" s="307">
        <f t="shared" ca="1" si="212"/>
        <v>-11.217169120828867</v>
      </c>
      <c r="F478" s="304">
        <f t="shared" ca="1" si="213"/>
        <v>11.223009942209133</v>
      </c>
      <c r="G478" s="306">
        <f t="shared" ca="1" si="214"/>
        <v>14.742828151173789</v>
      </c>
      <c r="H478" s="307">
        <f t="shared" ca="1" si="215"/>
        <v>56.321949680276695</v>
      </c>
      <c r="I478" s="304">
        <f t="shared" ca="1" si="216"/>
        <v>58.21952419663581</v>
      </c>
      <c r="J478" s="306">
        <f t="shared" ca="1" si="217"/>
        <v>181.52494740479531</v>
      </c>
      <c r="K478" s="307">
        <f t="shared" ca="1" si="218"/>
        <v>1276.5145376549481</v>
      </c>
      <c r="L478" s="304">
        <f t="shared" ca="1" si="203"/>
        <v>1289.3566889634301</v>
      </c>
      <c r="M478" s="306">
        <f t="shared" ca="1" si="219"/>
        <v>1.3147805082127975</v>
      </c>
      <c r="N478" s="304">
        <f t="shared" ca="1" si="220"/>
        <v>75.331374106658771</v>
      </c>
      <c r="P478" s="310">
        <f t="shared" ca="1" si="221"/>
        <v>23</v>
      </c>
      <c r="Q478" s="304">
        <f t="shared" ca="1" si="222"/>
        <v>0</v>
      </c>
      <c r="R478" s="306">
        <f t="shared" ca="1" si="223"/>
        <v>0</v>
      </c>
      <c r="S478" s="307">
        <f t="shared" ca="1" si="224"/>
        <v>7.9789999999999939</v>
      </c>
      <c r="T478" s="304">
        <f t="shared" ca="1" si="204"/>
        <v>78.273989999999941</v>
      </c>
      <c r="U478" s="311">
        <f t="shared" ca="1" si="205"/>
        <v>0</v>
      </c>
      <c r="V478" s="306">
        <f t="shared" ca="1" si="206"/>
        <v>1.0780087899632398</v>
      </c>
      <c r="W478" s="304">
        <f t="shared" ca="1" si="207"/>
        <v>11.163026045061329</v>
      </c>
      <c r="Y478" s="314" t="str">
        <f t="shared" ca="1" si="225"/>
        <v/>
      </c>
      <c r="Z478" s="315" t="str">
        <f t="shared" ca="1" si="226"/>
        <v/>
      </c>
      <c r="AA478" s="316" t="str">
        <f t="shared" ca="1" si="227"/>
        <v/>
      </c>
      <c r="AC478" s="310" t="e">
        <f t="shared" ca="1" si="228"/>
        <v>#N/A</v>
      </c>
      <c r="AD478" s="323" t="e">
        <f t="shared" ca="1" si="229"/>
        <v>#N/A</v>
      </c>
      <c r="AE478" s="324">
        <f t="shared" ca="1" si="208"/>
        <v>1276.5145376549481</v>
      </c>
      <c r="AG478" s="306">
        <f t="shared" ca="1" si="230"/>
        <v>-10.953599161074536</v>
      </c>
      <c r="AH478" s="304">
        <f t="shared" ca="1" si="231"/>
        <v>-1.4529948424762862</v>
      </c>
    </row>
    <row r="479" spans="1:34" x14ac:dyDescent="0.2">
      <c r="A479" s="347">
        <f t="shared" ca="1" si="209"/>
        <v>0.1</v>
      </c>
      <c r="B479" s="304">
        <f t="shared" ca="1" si="210"/>
        <v>11.499999999999932</v>
      </c>
      <c r="D479" s="306">
        <f t="shared" ca="1" si="211"/>
        <v>-0.35427917475078208</v>
      </c>
      <c r="E479" s="307">
        <f t="shared" ca="1" si="212"/>
        <v>-11.163450888016683</v>
      </c>
      <c r="F479" s="304">
        <f t="shared" ca="1" si="213"/>
        <v>11.169071110115762</v>
      </c>
      <c r="G479" s="306">
        <f t="shared" ca="1" si="214"/>
        <v>14.707400233698712</v>
      </c>
      <c r="H479" s="307">
        <f t="shared" ca="1" si="215"/>
        <v>55.20560459147503</v>
      </c>
      <c r="I479" s="304">
        <f t="shared" ca="1" si="216"/>
        <v>57.131133368282569</v>
      </c>
      <c r="J479" s="306">
        <f t="shared" ca="1" si="217"/>
        <v>182.99745882403894</v>
      </c>
      <c r="K479" s="307">
        <f t="shared" ca="1" si="218"/>
        <v>1282.0909153685357</v>
      </c>
      <c r="L479" s="304">
        <f t="shared" ca="1" si="203"/>
        <v>1295.085010802992</v>
      </c>
      <c r="M479" s="306">
        <f t="shared" ca="1" si="219"/>
        <v>1.310432306451236</v>
      </c>
      <c r="N479" s="304">
        <f t="shared" ca="1" si="220"/>
        <v>75.082240497249941</v>
      </c>
      <c r="P479" s="310">
        <f t="shared" ca="1" si="221"/>
        <v>23</v>
      </c>
      <c r="Q479" s="304">
        <f t="shared" ca="1" si="222"/>
        <v>0</v>
      </c>
      <c r="R479" s="306">
        <f t="shared" ca="1" si="223"/>
        <v>0</v>
      </c>
      <c r="S479" s="307">
        <f t="shared" ca="1" si="224"/>
        <v>7.9789999999999939</v>
      </c>
      <c r="T479" s="304">
        <f t="shared" ca="1" si="204"/>
        <v>78.273989999999941</v>
      </c>
      <c r="U479" s="311">
        <f t="shared" ca="1" si="205"/>
        <v>0</v>
      </c>
      <c r="V479" s="306">
        <f t="shared" ca="1" si="206"/>
        <v>1.0774053508114376</v>
      </c>
      <c r="W479" s="304">
        <f t="shared" ca="1" si="207"/>
        <v>10.743533436522352</v>
      </c>
      <c r="Y479" s="314" t="str">
        <f t="shared" ca="1" si="225"/>
        <v/>
      </c>
      <c r="Z479" s="315" t="str">
        <f t="shared" ca="1" si="226"/>
        <v/>
      </c>
      <c r="AA479" s="316" t="str">
        <f t="shared" ca="1" si="227"/>
        <v/>
      </c>
      <c r="AC479" s="310" t="e">
        <f t="shared" ca="1" si="228"/>
        <v>#N/A</v>
      </c>
      <c r="AD479" s="323" t="e">
        <f t="shared" ca="1" si="229"/>
        <v>#N/A</v>
      </c>
      <c r="AE479" s="324">
        <f t="shared" ca="1" si="208"/>
        <v>1282.0909153685357</v>
      </c>
      <c r="AG479" s="306">
        <f t="shared" ca="1" si="230"/>
        <v>-10.889309126312646</v>
      </c>
      <c r="AH479" s="304">
        <f t="shared" ca="1" si="231"/>
        <v>-1.3990507638878729</v>
      </c>
    </row>
    <row r="480" spans="1:34" x14ac:dyDescent="0.2">
      <c r="A480" s="347">
        <f t="shared" ca="1" si="209"/>
        <v>0.1</v>
      </c>
      <c r="B480" s="304">
        <f t="shared" ca="1" si="210"/>
        <v>11.599999999999932</v>
      </c>
      <c r="D480" s="306">
        <f t="shared" ca="1" si="211"/>
        <v>-0.34662648734674195</v>
      </c>
      <c r="E480" s="307">
        <f t="shared" ca="1" si="212"/>
        <v>-11.111094992815314</v>
      </c>
      <c r="F480" s="304">
        <f t="shared" ca="1" si="213"/>
        <v>11.116500432289646</v>
      </c>
      <c r="G480" s="306">
        <f t="shared" ca="1" si="214"/>
        <v>14.672737584964038</v>
      </c>
      <c r="H480" s="307">
        <f t="shared" ca="1" si="215"/>
        <v>54.094495092193497</v>
      </c>
      <c r="I480" s="304">
        <f t="shared" ca="1" si="216"/>
        <v>56.049117990531862</v>
      </c>
      <c r="J480" s="306">
        <f t="shared" ca="1" si="217"/>
        <v>184.46646571497209</v>
      </c>
      <c r="K480" s="307">
        <f t="shared" ca="1" si="218"/>
        <v>1287.5559203527191</v>
      </c>
      <c r="L480" s="304">
        <f t="shared" ca="1" si="203"/>
        <v>1300.7029349581367</v>
      </c>
      <c r="M480" s="306">
        <f t="shared" ca="1" si="219"/>
        <v>1.3059265805820817</v>
      </c>
      <c r="N480" s="304">
        <f t="shared" ca="1" si="220"/>
        <v>74.824081421304484</v>
      </c>
      <c r="P480" s="310">
        <f t="shared" ca="1" si="221"/>
        <v>23</v>
      </c>
      <c r="Q480" s="304">
        <f t="shared" ca="1" si="222"/>
        <v>0</v>
      </c>
      <c r="R480" s="306">
        <f t="shared" ca="1" si="223"/>
        <v>0</v>
      </c>
      <c r="S480" s="307">
        <f t="shared" ca="1" si="224"/>
        <v>7.9789999999999939</v>
      </c>
      <c r="T480" s="304">
        <f t="shared" ca="1" si="204"/>
        <v>78.273989999999941</v>
      </c>
      <c r="U480" s="311">
        <f t="shared" ca="1" si="205"/>
        <v>0</v>
      </c>
      <c r="V480" s="306">
        <f t="shared" ca="1" si="206"/>
        <v>1.0768142704279087</v>
      </c>
      <c r="W480" s="304">
        <f t="shared" ca="1" si="207"/>
        <v>10.3347672490268</v>
      </c>
      <c r="Y480" s="314" t="str">
        <f t="shared" ca="1" si="225"/>
        <v/>
      </c>
      <c r="Z480" s="315" t="str">
        <f t="shared" ca="1" si="226"/>
        <v/>
      </c>
      <c r="AA480" s="316" t="str">
        <f t="shared" ca="1" si="227"/>
        <v/>
      </c>
      <c r="AC480" s="310" t="e">
        <f t="shared" ca="1" si="228"/>
        <v>#N/A</v>
      </c>
      <c r="AD480" s="323" t="e">
        <f t="shared" ca="1" si="229"/>
        <v>#N/A</v>
      </c>
      <c r="AE480" s="324">
        <f t="shared" ca="1" si="208"/>
        <v>1287.5559203527191</v>
      </c>
      <c r="AG480" s="306">
        <f t="shared" ca="1" si="230"/>
        <v>-10.825843192112444</v>
      </c>
      <c r="AH480" s="304">
        <f t="shared" ca="1" si="231"/>
        <v>-1.3464761795365785</v>
      </c>
    </row>
    <row r="481" spans="1:34" x14ac:dyDescent="0.2">
      <c r="A481" s="347">
        <f t="shared" ca="1" si="209"/>
        <v>0.1</v>
      </c>
      <c r="B481" s="304">
        <f t="shared" ca="1" si="210"/>
        <v>11.699999999999932</v>
      </c>
      <c r="D481" s="306">
        <f t="shared" ca="1" si="211"/>
        <v>-0.33907408843554337</v>
      </c>
      <c r="E481" s="307">
        <f t="shared" ca="1" si="212"/>
        <v>-11.060076306930112</v>
      </c>
      <c r="F481" s="304">
        <f t="shared" ca="1" si="213"/>
        <v>11.065272665079936</v>
      </c>
      <c r="G481" s="306">
        <f t="shared" ca="1" si="214"/>
        <v>14.638830176120484</v>
      </c>
      <c r="H481" s="307">
        <f t="shared" ca="1" si="215"/>
        <v>52.988487461500483</v>
      </c>
      <c r="I481" s="304">
        <f t="shared" ca="1" si="216"/>
        <v>54.973404045800997</v>
      </c>
      <c r="J481" s="306">
        <f t="shared" ca="1" si="217"/>
        <v>185.93204410302633</v>
      </c>
      <c r="K481" s="307">
        <f t="shared" ca="1" si="218"/>
        <v>1292.9100694804038</v>
      </c>
      <c r="L481" s="304">
        <f t="shared" ca="1" si="203"/>
        <v>1306.2109985711161</v>
      </c>
      <c r="M481" s="306">
        <f t="shared" ca="1" si="219"/>
        <v>1.3012550378627028</v>
      </c>
      <c r="N481" s="304">
        <f t="shared" ca="1" si="220"/>
        <v>74.556421739669005</v>
      </c>
      <c r="P481" s="310">
        <f t="shared" ca="1" si="221"/>
        <v>23</v>
      </c>
      <c r="Q481" s="304">
        <f t="shared" ca="1" si="222"/>
        <v>0</v>
      </c>
      <c r="R481" s="306">
        <f t="shared" ca="1" si="223"/>
        <v>0</v>
      </c>
      <c r="S481" s="307">
        <f t="shared" ca="1" si="224"/>
        <v>7.9789999999999939</v>
      </c>
      <c r="T481" s="304">
        <f t="shared" ca="1" si="204"/>
        <v>78.273989999999941</v>
      </c>
      <c r="U481" s="311">
        <f t="shared" ca="1" si="205"/>
        <v>0</v>
      </c>
      <c r="V481" s="306">
        <f t="shared" ca="1" si="206"/>
        <v>1.0762354741606119</v>
      </c>
      <c r="W481" s="304">
        <f t="shared" ca="1" si="207"/>
        <v>9.9365333682561108</v>
      </c>
      <c r="Y481" s="314" t="str">
        <f t="shared" ca="1" si="225"/>
        <v/>
      </c>
      <c r="Z481" s="315" t="str">
        <f t="shared" ca="1" si="226"/>
        <v/>
      </c>
      <c r="AA481" s="316" t="str">
        <f t="shared" ca="1" si="227"/>
        <v/>
      </c>
      <c r="AC481" s="310" t="e">
        <f t="shared" ca="1" si="228"/>
        <v>#N/A</v>
      </c>
      <c r="AD481" s="323" t="e">
        <f t="shared" ca="1" si="229"/>
        <v>#N/A</v>
      </c>
      <c r="AE481" s="324">
        <f t="shared" ca="1" si="208"/>
        <v>1292.9100694804038</v>
      </c>
      <c r="AG481" s="306">
        <f t="shared" ca="1" si="230"/>
        <v>-10.763137944969962</v>
      </c>
      <c r="AH481" s="304">
        <f t="shared" ca="1" si="231"/>
        <v>-1.2952459266859015</v>
      </c>
    </row>
    <row r="482" spans="1:34" x14ac:dyDescent="0.2">
      <c r="A482" s="347">
        <f t="shared" ca="1" si="209"/>
        <v>0.1</v>
      </c>
      <c r="B482" s="304">
        <f t="shared" ca="1" si="210"/>
        <v>11.799999999999931</v>
      </c>
      <c r="D482" s="306">
        <f t="shared" ca="1" si="211"/>
        <v>-0.33161958599800756</v>
      </c>
      <c r="E482" s="307">
        <f t="shared" ca="1" si="212"/>
        <v>-11.010370525734199</v>
      </c>
      <c r="F482" s="304">
        <f t="shared" ca="1" si="213"/>
        <v>11.015363392270537</v>
      </c>
      <c r="G482" s="306">
        <f t="shared" ca="1" si="214"/>
        <v>14.605668217520684</v>
      </c>
      <c r="H482" s="307">
        <f t="shared" ca="1" si="215"/>
        <v>51.887450408927066</v>
      </c>
      <c r="I482" s="304">
        <f t="shared" ca="1" si="216"/>
        <v>53.903924291457287</v>
      </c>
      <c r="J482" s="306">
        <f t="shared" ca="1" si="217"/>
        <v>187.39426902270839</v>
      </c>
      <c r="K482" s="307">
        <f t="shared" ca="1" si="218"/>
        <v>1298.1538663739252</v>
      </c>
      <c r="L482" s="304">
        <f t="shared" ca="1" si="203"/>
        <v>1311.6097258118079</v>
      </c>
      <c r="M482" s="306">
        <f t="shared" ca="1" si="219"/>
        <v>1.296408807365925</v>
      </c>
      <c r="N482" s="304">
        <f t="shared" ca="1" si="220"/>
        <v>74.278753185656058</v>
      </c>
      <c r="P482" s="310">
        <f t="shared" ca="1" si="221"/>
        <v>23</v>
      </c>
      <c r="Q482" s="304">
        <f t="shared" ca="1" si="222"/>
        <v>0</v>
      </c>
      <c r="R482" s="306">
        <f t="shared" ca="1" si="223"/>
        <v>0</v>
      </c>
      <c r="S482" s="307">
        <f t="shared" ca="1" si="224"/>
        <v>7.9789999999999939</v>
      </c>
      <c r="T482" s="304">
        <f t="shared" ca="1" si="204"/>
        <v>78.273989999999941</v>
      </c>
      <c r="U482" s="311">
        <f t="shared" ca="1" si="205"/>
        <v>0</v>
      </c>
      <c r="V482" s="306">
        <f t="shared" ca="1" si="206"/>
        <v>1.0756688893051178</v>
      </c>
      <c r="W482" s="304">
        <f t="shared" ca="1" si="207"/>
        <v>9.5486441274383758</v>
      </c>
      <c r="Y482" s="314" t="str">
        <f t="shared" ca="1" si="225"/>
        <v/>
      </c>
      <c r="Z482" s="315" t="str">
        <f t="shared" ca="1" si="226"/>
        <v/>
      </c>
      <c r="AA482" s="316" t="str">
        <f t="shared" ca="1" si="227"/>
        <v/>
      </c>
      <c r="AC482" s="310" t="e">
        <f t="shared" ca="1" si="228"/>
        <v>#N/A</v>
      </c>
      <c r="AD482" s="323" t="e">
        <f t="shared" ca="1" si="229"/>
        <v>#N/A</v>
      </c>
      <c r="AE482" s="324">
        <f t="shared" ca="1" si="208"/>
        <v>1298.1538663739252</v>
      </c>
      <c r="AG482" s="306">
        <f t="shared" ca="1" si="230"/>
        <v>-10.701127455409511</v>
      </c>
      <c r="AH482" s="304">
        <f t="shared" ca="1" si="231"/>
        <v>-1.2453356771846245</v>
      </c>
    </row>
    <row r="483" spans="1:34" x14ac:dyDescent="0.2">
      <c r="A483" s="347">
        <f t="shared" ca="1" si="209"/>
        <v>0.1</v>
      </c>
      <c r="B483" s="304">
        <f t="shared" ca="1" si="210"/>
        <v>11.899999999999931</v>
      </c>
      <c r="D483" s="306">
        <f t="shared" ca="1" si="211"/>
        <v>-0.3242606806400018</v>
      </c>
      <c r="E483" s="307">
        <f t="shared" ca="1" si="212"/>
        <v>-10.961954141070382</v>
      </c>
      <c r="F483" s="304">
        <f t="shared" ca="1" si="213"/>
        <v>10.966748997763158</v>
      </c>
      <c r="G483" s="306">
        <f t="shared" ca="1" si="214"/>
        <v>14.573242149456684</v>
      </c>
      <c r="H483" s="307">
        <f t="shared" ca="1" si="215"/>
        <v>50.791254994820029</v>
      </c>
      <c r="I483" s="304">
        <f t="shared" ca="1" si="216"/>
        <v>52.840618568441563</v>
      </c>
      <c r="J483" s="306">
        <f t="shared" ca="1" si="217"/>
        <v>188.85321454105724</v>
      </c>
      <c r="K483" s="307">
        <f t="shared" ca="1" si="218"/>
        <v>1303.2878016441125</v>
      </c>
      <c r="L483" s="304">
        <f t="shared" ca="1" si="203"/>
        <v>1316.8996281254065</v>
      </c>
      <c r="M483" s="306">
        <f t="shared" ca="1" si="219"/>
        <v>1.2913783903000873</v>
      </c>
      <c r="N483" s="304">
        <f t="shared" ca="1" si="220"/>
        <v>73.990531518592974</v>
      </c>
      <c r="P483" s="310">
        <f t="shared" ca="1" si="221"/>
        <v>23</v>
      </c>
      <c r="Q483" s="304">
        <f t="shared" ca="1" si="222"/>
        <v>0</v>
      </c>
      <c r="R483" s="306">
        <f t="shared" ca="1" si="223"/>
        <v>0</v>
      </c>
      <c r="S483" s="307">
        <f t="shared" ca="1" si="224"/>
        <v>7.9789999999999939</v>
      </c>
      <c r="T483" s="304">
        <f t="shared" ca="1" si="204"/>
        <v>78.273989999999941</v>
      </c>
      <c r="U483" s="311">
        <f t="shared" ca="1" si="205"/>
        <v>0</v>
      </c>
      <c r="V483" s="306">
        <f t="shared" ca="1" si="206"/>
        <v>1.0751144450678807</v>
      </c>
      <c r="W483" s="304">
        <f t="shared" ca="1" si="207"/>
        <v>9.1709181047002399</v>
      </c>
      <c r="Y483" s="314" t="str">
        <f t="shared" ca="1" si="225"/>
        <v/>
      </c>
      <c r="Z483" s="315" t="str">
        <f t="shared" ca="1" si="226"/>
        <v/>
      </c>
      <c r="AA483" s="316" t="str">
        <f t="shared" ca="1" si="227"/>
        <v/>
      </c>
      <c r="AC483" s="310" t="e">
        <f t="shared" ca="1" si="228"/>
        <v>#N/A</v>
      </c>
      <c r="AD483" s="323" t="e">
        <f t="shared" ca="1" si="229"/>
        <v>#N/A</v>
      </c>
      <c r="AE483" s="324">
        <f t="shared" ca="1" si="208"/>
        <v>1303.2878016441125</v>
      </c>
      <c r="AG483" s="306">
        <f t="shared" ca="1" si="230"/>
        <v>-10.639742900648697</v>
      </c>
      <c r="AH483" s="304">
        <f t="shared" ca="1" si="231"/>
        <v>-1.1967219109460312</v>
      </c>
    </row>
    <row r="484" spans="1:34" x14ac:dyDescent="0.2">
      <c r="A484" s="347">
        <f t="shared" ca="1" si="209"/>
        <v>0.1</v>
      </c>
      <c r="B484" s="304">
        <f t="shared" ca="1" si="210"/>
        <v>11.999999999999931</v>
      </c>
      <c r="D484" s="306">
        <f t="shared" ca="1" si="211"/>
        <v>-0.31699516521543175</v>
      </c>
      <c r="E484" s="307">
        <f t="shared" ca="1" si="212"/>
        <v>-10.914804415068501</v>
      </c>
      <c r="F484" s="304">
        <f t="shared" ca="1" si="213"/>
        <v>10.919406639280762</v>
      </c>
      <c r="G484" s="306">
        <f t="shared" ca="1" si="214"/>
        <v>14.54154263293514</v>
      </c>
      <c r="H484" s="307">
        <f t="shared" ca="1" si="215"/>
        <v>49.699774553313176</v>
      </c>
      <c r="I484" s="304">
        <f t="shared" ca="1" si="216"/>
        <v>51.783434154134916</v>
      </c>
      <c r="J484" s="306">
        <f t="shared" ca="1" si="217"/>
        <v>190.30895378017684</v>
      </c>
      <c r="K484" s="307">
        <f t="shared" ca="1" si="218"/>
        <v>1308.3123531215192</v>
      </c>
      <c r="L484" s="304">
        <f t="shared" ca="1" si="203"/>
        <v>1322.0812044724305</v>
      </c>
      <c r="M484" s="306">
        <f t="shared" ca="1" si="219"/>
        <v>1.2861536053096467</v>
      </c>
      <c r="N484" s="304">
        <f t="shared" ca="1" si="220"/>
        <v>73.691173389777418</v>
      </c>
      <c r="P484" s="310">
        <f t="shared" ca="1" si="221"/>
        <v>23</v>
      </c>
      <c r="Q484" s="304">
        <f t="shared" ca="1" si="222"/>
        <v>0</v>
      </c>
      <c r="R484" s="306">
        <f t="shared" ca="1" si="223"/>
        <v>0</v>
      </c>
      <c r="S484" s="307">
        <f t="shared" ca="1" si="224"/>
        <v>7.9789999999999939</v>
      </c>
      <c r="T484" s="304">
        <f t="shared" ca="1" si="204"/>
        <v>78.273989999999941</v>
      </c>
      <c r="U484" s="311">
        <f t="shared" ca="1" si="205"/>
        <v>0</v>
      </c>
      <c r="V484" s="306">
        <f t="shared" ca="1" si="206"/>
        <v>1.0745720725307388</v>
      </c>
      <c r="W484" s="304">
        <f t="shared" ca="1" si="207"/>
        <v>8.803179928979155</v>
      </c>
      <c r="Y484" s="314" t="str">
        <f t="shared" ca="1" si="225"/>
        <v/>
      </c>
      <c r="Z484" s="315" t="str">
        <f t="shared" ca="1" si="226"/>
        <v/>
      </c>
      <c r="AA484" s="316" t="str">
        <f t="shared" ca="1" si="227"/>
        <v/>
      </c>
      <c r="AC484" s="310">
        <f t="shared" ca="1" si="228"/>
        <v>11.999999999999931</v>
      </c>
      <c r="AD484" s="323">
        <f t="shared" ca="1" si="229"/>
        <v>190.30895378017684</v>
      </c>
      <c r="AE484" s="324">
        <f t="shared" ca="1" si="208"/>
        <v>1308.3123531215192</v>
      </c>
      <c r="AG484" s="306">
        <f t="shared" ca="1" si="230"/>
        <v>-10.578912145836936</v>
      </c>
      <c r="AH484" s="304">
        <f t="shared" ca="1" si="231"/>
        <v>-1.1493818905502251</v>
      </c>
    </row>
    <row r="485" spans="1:34" x14ac:dyDescent="0.2">
      <c r="A485" s="347">
        <f t="shared" ca="1" si="209"/>
        <v>0.1</v>
      </c>
      <c r="B485" s="304">
        <f t="shared" ca="1" si="210"/>
        <v>12.09999999999993</v>
      </c>
      <c r="D485" s="306">
        <f t="shared" ca="1" si="211"/>
        <v>-0.3098209247798045</v>
      </c>
      <c r="E485" s="307">
        <f t="shared" ca="1" si="212"/>
        <v>-10.868899354913026</v>
      </c>
      <c r="F485" s="304">
        <f t="shared" ca="1" si="213"/>
        <v>10.873314223026032</v>
      </c>
      <c r="G485" s="306">
        <f t="shared" ca="1" si="214"/>
        <v>14.51056054045716</v>
      </c>
      <c r="H485" s="307">
        <f t="shared" ca="1" si="215"/>
        <v>48.612884617821877</v>
      </c>
      <c r="I485" s="304">
        <f t="shared" ca="1" si="216"/>
        <v>50.732326164526846</v>
      </c>
      <c r="J485" s="306">
        <f t="shared" ca="1" si="217"/>
        <v>191.76155893884646</v>
      </c>
      <c r="K485" s="307">
        <f t="shared" ca="1" si="218"/>
        <v>1313.2279860800759</v>
      </c>
      <c r="L485" s="304">
        <f t="shared" ca="1" si="203"/>
        <v>1327.1549415613042</v>
      </c>
      <c r="M485" s="306">
        <f t="shared" ca="1" si="219"/>
        <v>1.2807235281830258</v>
      </c>
      <c r="N485" s="304">
        <f t="shared" ca="1" si="220"/>
        <v>73.380052887991525</v>
      </c>
      <c r="P485" s="310">
        <f t="shared" ca="1" si="221"/>
        <v>23</v>
      </c>
      <c r="Q485" s="304">
        <f t="shared" ca="1" si="222"/>
        <v>0</v>
      </c>
      <c r="R485" s="306">
        <f t="shared" ca="1" si="223"/>
        <v>0</v>
      </c>
      <c r="S485" s="307">
        <f t="shared" ca="1" si="224"/>
        <v>7.9789999999999939</v>
      </c>
      <c r="T485" s="304">
        <f t="shared" ca="1" si="204"/>
        <v>78.273989999999941</v>
      </c>
      <c r="U485" s="311">
        <f t="shared" ca="1" si="205"/>
        <v>0</v>
      </c>
      <c r="V485" s="306">
        <f t="shared" ca="1" si="206"/>
        <v>1.0740417046166111</v>
      </c>
      <c r="W485" s="304">
        <f t="shared" ca="1" si="207"/>
        <v>8.4452600941160618</v>
      </c>
      <c r="Y485" s="314" t="str">
        <f t="shared" ca="1" si="225"/>
        <v/>
      </c>
      <c r="Z485" s="315" t="str">
        <f t="shared" ca="1" si="226"/>
        <v/>
      </c>
      <c r="AA485" s="316" t="str">
        <f t="shared" ca="1" si="227"/>
        <v/>
      </c>
      <c r="AC485" s="310" t="e">
        <f t="shared" ca="1" si="228"/>
        <v>#N/A</v>
      </c>
      <c r="AD485" s="323" t="e">
        <f t="shared" ca="1" si="229"/>
        <v>#N/A</v>
      </c>
      <c r="AE485" s="324">
        <f t="shared" ca="1" si="208"/>
        <v>1313.2279860800759</v>
      </c>
      <c r="AG485" s="306">
        <f t="shared" ca="1" si="230"/>
        <v>-10.518559277988635</v>
      </c>
      <c r="AH485" s="304">
        <f t="shared" ca="1" si="231"/>
        <v>-1.1032936369193085</v>
      </c>
    </row>
    <row r="486" spans="1:34" x14ac:dyDescent="0.2">
      <c r="A486" s="347">
        <f t="shared" ca="1" si="209"/>
        <v>0.1</v>
      </c>
      <c r="B486" s="304">
        <f t="shared" ca="1" si="210"/>
        <v>12.19999999999993</v>
      </c>
      <c r="D486" s="306">
        <f t="shared" ca="1" si="211"/>
        <v>-0.30273593689863154</v>
      </c>
      <c r="E486" s="307">
        <f t="shared" ca="1" si="212"/>
        <v>-10.824217688495839</v>
      </c>
      <c r="F486" s="304">
        <f t="shared" ca="1" si="213"/>
        <v>10.828450379229528</v>
      </c>
      <c r="G486" s="306">
        <f t="shared" ca="1" si="214"/>
        <v>14.480286946767297</v>
      </c>
      <c r="H486" s="307">
        <f t="shared" ca="1" si="215"/>
        <v>47.530462848972292</v>
      </c>
      <c r="I486" s="304">
        <f t="shared" ca="1" si="216"/>
        <v>49.687258011468643</v>
      </c>
      <c r="J486" s="306">
        <f t="shared" ca="1" si="217"/>
        <v>193.21110131320768</v>
      </c>
      <c r="K486" s="307">
        <f t="shared" ca="1" si="218"/>
        <v>1318.0351534534157</v>
      </c>
      <c r="L486" s="304">
        <f t="shared" ca="1" si="203"/>
        <v>1332.1213140737714</v>
      </c>
      <c r="M486" s="306">
        <f t="shared" ca="1" si="219"/>
        <v>1.2750764253232998</v>
      </c>
      <c r="N486" s="304">
        <f t="shared" ca="1" si="220"/>
        <v>73.056497727652967</v>
      </c>
      <c r="P486" s="310">
        <f t="shared" ca="1" si="221"/>
        <v>23</v>
      </c>
      <c r="Q486" s="304">
        <f t="shared" ca="1" si="222"/>
        <v>0</v>
      </c>
      <c r="R486" s="306">
        <f t="shared" ca="1" si="223"/>
        <v>0</v>
      </c>
      <c r="S486" s="307">
        <f t="shared" ca="1" si="224"/>
        <v>7.9789999999999939</v>
      </c>
      <c r="T486" s="304">
        <f t="shared" ca="1" si="204"/>
        <v>78.273989999999941</v>
      </c>
      <c r="U486" s="311">
        <f t="shared" ca="1" si="205"/>
        <v>0</v>
      </c>
      <c r="V486" s="306">
        <f t="shared" ca="1" si="206"/>
        <v>1.0735232760563416</v>
      </c>
      <c r="W486" s="304">
        <f t="shared" ca="1" si="207"/>
        <v>8.0969947807676981</v>
      </c>
      <c r="Y486" s="314" t="str">
        <f t="shared" ca="1" si="225"/>
        <v/>
      </c>
      <c r="Z486" s="315" t="str">
        <f t="shared" ca="1" si="226"/>
        <v/>
      </c>
      <c r="AA486" s="316" t="str">
        <f t="shared" ca="1" si="227"/>
        <v/>
      </c>
      <c r="AC486" s="310" t="e">
        <f t="shared" ca="1" si="228"/>
        <v>#N/A</v>
      </c>
      <c r="AD486" s="323" t="e">
        <f t="shared" ca="1" si="229"/>
        <v>#N/A</v>
      </c>
      <c r="AE486" s="324">
        <f t="shared" ca="1" si="208"/>
        <v>1318.0351534534157</v>
      </c>
      <c r="AG486" s="306">
        <f t="shared" ca="1" si="230"/>
        <v>-10.45860408585353</v>
      </c>
      <c r="AH486" s="304">
        <f t="shared" ca="1" si="231"/>
        <v>-1.0584359060178052</v>
      </c>
    </row>
    <row r="487" spans="1:34" x14ac:dyDescent="0.2">
      <c r="A487" s="347">
        <f t="shared" ca="1" si="209"/>
        <v>0.1</v>
      </c>
      <c r="B487" s="304">
        <f t="shared" ca="1" si="210"/>
        <v>12.29999999999993</v>
      </c>
      <c r="D487" s="306">
        <f t="shared" ca="1" si="211"/>
        <v>-0.29573827233919076</v>
      </c>
      <c r="E487" s="307">
        <f t="shared" ca="1" si="212"/>
        <v>-10.780738840888459</v>
      </c>
      <c r="F487" s="304">
        <f t="shared" ca="1" si="213"/>
        <v>10.784794438521635</v>
      </c>
      <c r="G487" s="306">
        <f t="shared" ca="1" si="214"/>
        <v>14.450713119533377</v>
      </c>
      <c r="H487" s="307">
        <f t="shared" ca="1" si="215"/>
        <v>46.452388964883447</v>
      </c>
      <c r="I487" s="304">
        <f t="shared" ca="1" si="216"/>
        <v>48.648201921632001</v>
      </c>
      <c r="J487" s="306">
        <f t="shared" ca="1" si="217"/>
        <v>194.6576513165227</v>
      </c>
      <c r="K487" s="307">
        <f t="shared" ca="1" si="218"/>
        <v>1322.7342960441085</v>
      </c>
      <c r="L487" s="304">
        <f t="shared" ca="1" si="203"/>
        <v>1336.9807848833761</v>
      </c>
      <c r="M487" s="306">
        <f t="shared" ca="1" si="219"/>
        <v>1.2691996802572032</v>
      </c>
      <c r="N487" s="304">
        <f t="shared" ca="1" si="220"/>
        <v>72.719785038091302</v>
      </c>
      <c r="P487" s="310">
        <f t="shared" ca="1" si="221"/>
        <v>23</v>
      </c>
      <c r="Q487" s="304">
        <f t="shared" ca="1" si="222"/>
        <v>0</v>
      </c>
      <c r="R487" s="306">
        <f t="shared" ca="1" si="223"/>
        <v>0</v>
      </c>
      <c r="S487" s="307">
        <f t="shared" ca="1" si="224"/>
        <v>7.9789999999999939</v>
      </c>
      <c r="T487" s="304">
        <f t="shared" ca="1" si="204"/>
        <v>78.273989999999941</v>
      </c>
      <c r="U487" s="311">
        <f t="shared" ca="1" si="205"/>
        <v>0</v>
      </c>
      <c r="V487" s="306">
        <f t="shared" ca="1" si="206"/>
        <v>1.0730167233566619</v>
      </c>
      <c r="W487" s="304">
        <f t="shared" ca="1" si="207"/>
        <v>7.7582256857962957</v>
      </c>
      <c r="Y487" s="314" t="str">
        <f t="shared" ca="1" si="225"/>
        <v/>
      </c>
      <c r="Z487" s="315" t="str">
        <f t="shared" ca="1" si="226"/>
        <v/>
      </c>
      <c r="AA487" s="316" t="str">
        <f t="shared" ca="1" si="227"/>
        <v/>
      </c>
      <c r="AC487" s="310" t="e">
        <f t="shared" ca="1" si="228"/>
        <v>#N/A</v>
      </c>
      <c r="AD487" s="323" t="e">
        <f t="shared" ca="1" si="229"/>
        <v>#N/A</v>
      </c>
      <c r="AE487" s="324">
        <f t="shared" ca="1" si="208"/>
        <v>1322.7342960441085</v>
      </c>
      <c r="AG487" s="306">
        <f t="shared" ca="1" si="230"/>
        <v>-10.398961477944146</v>
      </c>
      <c r="AH487" s="304">
        <f t="shared" ca="1" si="231"/>
        <v>-1.0147881665331124</v>
      </c>
    </row>
    <row r="488" spans="1:34" x14ac:dyDescent="0.2">
      <c r="A488" s="347">
        <f t="shared" ca="1" si="209"/>
        <v>0.1</v>
      </c>
      <c r="B488" s="304">
        <f t="shared" ca="1" si="210"/>
        <v>12.399999999999929</v>
      </c>
      <c r="D488" s="306">
        <f t="shared" ca="1" si="211"/>
        <v>-0.28882609617901567</v>
      </c>
      <c r="E488" s="307">
        <f t="shared" ca="1" si="212"/>
        <v>-10.738442911566825</v>
      </c>
      <c r="F488" s="304">
        <f t="shared" ca="1" si="213"/>
        <v>10.742326409061205</v>
      </c>
      <c r="G488" s="306">
        <f t="shared" ca="1" si="214"/>
        <v>14.421830509915475</v>
      </c>
      <c r="H488" s="307">
        <f t="shared" ca="1" si="215"/>
        <v>45.378544673726765</v>
      </c>
      <c r="I488" s="304">
        <f t="shared" ca="1" si="216"/>
        <v>47.615139524757716</v>
      </c>
      <c r="J488" s="306">
        <f t="shared" ca="1" si="217"/>
        <v>196.10127849799514</v>
      </c>
      <c r="K488" s="307">
        <f t="shared" ca="1" si="218"/>
        <v>1327.3258427260391</v>
      </c>
      <c r="L488" s="304">
        <f t="shared" ca="1" si="203"/>
        <v>1341.7338052672512</v>
      </c>
      <c r="M488" s="306">
        <f t="shared" ca="1" si="219"/>
        <v>1.2630797123677164</v>
      </c>
      <c r="N488" s="304">
        <f t="shared" ca="1" si="220"/>
        <v>72.369136707268126</v>
      </c>
      <c r="P488" s="310">
        <f t="shared" ca="1" si="221"/>
        <v>23</v>
      </c>
      <c r="Q488" s="304">
        <f t="shared" ca="1" si="222"/>
        <v>0</v>
      </c>
      <c r="R488" s="306">
        <f t="shared" ca="1" si="223"/>
        <v>0</v>
      </c>
      <c r="S488" s="307">
        <f t="shared" ca="1" si="224"/>
        <v>7.9789999999999939</v>
      </c>
      <c r="T488" s="304">
        <f t="shared" ca="1" si="204"/>
        <v>78.273989999999941</v>
      </c>
      <c r="U488" s="311">
        <f t="shared" ca="1" si="205"/>
        <v>0</v>
      </c>
      <c r="V488" s="306">
        <f t="shared" ca="1" si="206"/>
        <v>1.0725219847692289</v>
      </c>
      <c r="W488" s="304">
        <f t="shared" ca="1" si="207"/>
        <v>7.4287998588113666</v>
      </c>
      <c r="Y488" s="314" t="str">
        <f t="shared" ca="1" si="225"/>
        <v/>
      </c>
      <c r="Z488" s="315" t="str">
        <f t="shared" ca="1" si="226"/>
        <v/>
      </c>
      <c r="AA488" s="316" t="str">
        <f t="shared" ca="1" si="227"/>
        <v/>
      </c>
      <c r="AC488" s="310" t="e">
        <f t="shared" ca="1" si="228"/>
        <v>#N/A</v>
      </c>
      <c r="AD488" s="323" t="e">
        <f t="shared" ca="1" si="229"/>
        <v>#N/A</v>
      </c>
      <c r="AE488" s="324">
        <f t="shared" ca="1" si="208"/>
        <v>1327.3258427260391</v>
      </c>
      <c r="AG488" s="306">
        <f t="shared" ca="1" si="230"/>
        <v>-10.339540829749565</v>
      </c>
      <c r="AH488" s="304">
        <f t="shared" ca="1" si="231"/>
        <v>-0.97233057849308202</v>
      </c>
    </row>
    <row r="489" spans="1:34" x14ac:dyDescent="0.2">
      <c r="A489" s="347">
        <f t="shared" ca="1" si="209"/>
        <v>0.1</v>
      </c>
      <c r="B489" s="304">
        <f t="shared" ca="1" si="210"/>
        <v>12.499999999999929</v>
      </c>
      <c r="D489" s="306">
        <f t="shared" ca="1" si="211"/>
        <v>-0.28199766937004256</v>
      </c>
      <c r="E489" s="307">
        <f t="shared" ca="1" si="212"/>
        <v>-10.697310652319565</v>
      </c>
      <c r="F489" s="304">
        <f t="shared" ca="1" si="213"/>
        <v>10.701026954351613</v>
      </c>
      <c r="G489" s="306">
        <f t="shared" ca="1" si="214"/>
        <v>14.393630742978472</v>
      </c>
      <c r="H489" s="307">
        <f t="shared" ca="1" si="215"/>
        <v>44.308813608494809</v>
      </c>
      <c r="I489" s="304">
        <f t="shared" ca="1" si="216"/>
        <v>46.588062519893974</v>
      </c>
      <c r="J489" s="306">
        <f t="shared" ca="1" si="217"/>
        <v>197.54205156063983</v>
      </c>
      <c r="K489" s="307">
        <f t="shared" ca="1" si="218"/>
        <v>1331.8102106401502</v>
      </c>
      <c r="L489" s="304">
        <f t="shared" ca="1" si="203"/>
        <v>1346.3808151114408</v>
      </c>
      <c r="M489" s="306">
        <f t="shared" ca="1" si="219"/>
        <v>1.2567018869341173</v>
      </c>
      <c r="N489" s="304">
        <f t="shared" ca="1" si="220"/>
        <v>72.003714227451695</v>
      </c>
      <c r="P489" s="310">
        <f t="shared" ca="1" si="221"/>
        <v>23</v>
      </c>
      <c r="Q489" s="304">
        <f t="shared" ca="1" si="222"/>
        <v>0</v>
      </c>
      <c r="R489" s="306">
        <f t="shared" ca="1" si="223"/>
        <v>0</v>
      </c>
      <c r="S489" s="307">
        <f t="shared" ca="1" si="224"/>
        <v>7.9789999999999939</v>
      </c>
      <c r="T489" s="304">
        <f t="shared" ca="1" si="204"/>
        <v>78.273989999999941</v>
      </c>
      <c r="U489" s="311">
        <f t="shared" ca="1" si="205"/>
        <v>0</v>
      </c>
      <c r="V489" s="306">
        <f t="shared" ca="1" si="206"/>
        <v>1.0720390002607076</v>
      </c>
      <c r="W489" s="304">
        <f t="shared" ca="1" si="207"/>
        <v>7.1085695455546434</v>
      </c>
      <c r="Y489" s="314" t="str">
        <f t="shared" ca="1" si="225"/>
        <v/>
      </c>
      <c r="Z489" s="315" t="str">
        <f t="shared" ca="1" si="226"/>
        <v/>
      </c>
      <c r="AA489" s="316" t="str">
        <f t="shared" ca="1" si="227"/>
        <v/>
      </c>
      <c r="AC489" s="310" t="e">
        <f t="shared" ca="1" si="228"/>
        <v>#N/A</v>
      </c>
      <c r="AD489" s="323" t="e">
        <f t="shared" ca="1" si="229"/>
        <v>#N/A</v>
      </c>
      <c r="AE489" s="324">
        <f t="shared" ca="1" si="208"/>
        <v>1331.8102106401502</v>
      </c>
      <c r="AG489" s="306">
        <f t="shared" ca="1" si="230"/>
        <v>-10.28024524977706</v>
      </c>
      <c r="AH489" s="304">
        <f t="shared" ca="1" si="231"/>
        <v>-0.93104397277996898</v>
      </c>
    </row>
    <row r="490" spans="1:34" x14ac:dyDescent="0.2">
      <c r="A490" s="347">
        <f t="shared" ca="1" si="209"/>
        <v>0.1</v>
      </c>
      <c r="B490" s="304">
        <f t="shared" ca="1" si="210"/>
        <v>12.599999999999929</v>
      </c>
      <c r="D490" s="306">
        <f t="shared" ca="1" si="211"/>
        <v>-0.27525135080372687</v>
      </c>
      <c r="E490" s="307">
        <f t="shared" ca="1" si="212"/>
        <v>-10.657323445767725</v>
      </c>
      <c r="F490" s="304">
        <f t="shared" ca="1" si="213"/>
        <v>10.660877371672077</v>
      </c>
      <c r="G490" s="306">
        <f t="shared" ca="1" si="214"/>
        <v>14.366105607898099</v>
      </c>
      <c r="H490" s="307">
        <f t="shared" ca="1" si="215"/>
        <v>43.243081263918036</v>
      </c>
      <c r="I490" s="304">
        <f t="shared" ca="1" si="216"/>
        <v>45.566973429613476</v>
      </c>
      <c r="J490" s="306">
        <f t="shared" ca="1" si="217"/>
        <v>198.98003837818365</v>
      </c>
      <c r="K490" s="307">
        <f t="shared" ca="1" si="218"/>
        <v>1336.1878053837709</v>
      </c>
      <c r="L490" s="304">
        <f t="shared" ca="1" si="203"/>
        <v>1350.9222431099731</v>
      </c>
      <c r="M490" s="306">
        <f t="shared" ca="1" si="219"/>
        <v>1.2500504154496985</v>
      </c>
      <c r="N490" s="304">
        <f t="shared" ca="1" si="220"/>
        <v>71.622612983842885</v>
      </c>
      <c r="P490" s="310">
        <f t="shared" ca="1" si="221"/>
        <v>23</v>
      </c>
      <c r="Q490" s="304">
        <f t="shared" ca="1" si="222"/>
        <v>0</v>
      </c>
      <c r="R490" s="306">
        <f t="shared" ca="1" si="223"/>
        <v>0</v>
      </c>
      <c r="S490" s="307">
        <f t="shared" ca="1" si="224"/>
        <v>7.9789999999999939</v>
      </c>
      <c r="T490" s="304">
        <f t="shared" ca="1" si="204"/>
        <v>78.273989999999941</v>
      </c>
      <c r="U490" s="311">
        <f t="shared" ca="1" si="205"/>
        <v>0</v>
      </c>
      <c r="V490" s="306">
        <f t="shared" ca="1" si="206"/>
        <v>1.0715677114838578</v>
      </c>
      <c r="W490" s="304">
        <f t="shared" ca="1" si="207"/>
        <v>6.7973920378341539</v>
      </c>
      <c r="Y490" s="314" t="str">
        <f t="shared" ca="1" si="225"/>
        <v/>
      </c>
      <c r="Z490" s="315" t="str">
        <f t="shared" ca="1" si="226"/>
        <v/>
      </c>
      <c r="AA490" s="316" t="str">
        <f t="shared" ca="1" si="227"/>
        <v/>
      </c>
      <c r="AC490" s="310" t="e">
        <f t="shared" ca="1" si="228"/>
        <v>#N/A</v>
      </c>
      <c r="AD490" s="323" t="e">
        <f t="shared" ca="1" si="229"/>
        <v>#N/A</v>
      </c>
      <c r="AE490" s="324">
        <f t="shared" ca="1" si="208"/>
        <v>1336.1878053837709</v>
      </c>
      <c r="AG490" s="306">
        <f t="shared" ca="1" si="230"/>
        <v>-10.220970752445497</v>
      </c>
      <c r="AH490" s="304">
        <f t="shared" ca="1" si="231"/>
        <v>-0.89090983150202396</v>
      </c>
    </row>
    <row r="491" spans="1:34" x14ac:dyDescent="0.2">
      <c r="A491" s="347">
        <f t="shared" ca="1" si="209"/>
        <v>0.1</v>
      </c>
      <c r="B491" s="304">
        <f t="shared" ca="1" si="210"/>
        <v>12.699999999999928</v>
      </c>
      <c r="D491" s="306">
        <f t="shared" ca="1" si="211"/>
        <v>-0.2685855999297847</v>
      </c>
      <c r="E491" s="307">
        <f t="shared" ca="1" si="212"/>
        <v>-10.61846328441972</v>
      </c>
      <c r="F491" s="304">
        <f t="shared" ca="1" si="213"/>
        <v>10.621859571047777</v>
      </c>
      <c r="G491" s="306">
        <f t="shared" ca="1" si="214"/>
        <v>14.33924704790512</v>
      </c>
      <c r="H491" s="307">
        <f t="shared" ca="1" si="215"/>
        <v>42.181234935476063</v>
      </c>
      <c r="I491" s="304">
        <f t="shared" ca="1" si="216"/>
        <v>44.551886453692198</v>
      </c>
      <c r="J491" s="306">
        <f t="shared" ca="1" si="217"/>
        <v>200.41530601097381</v>
      </c>
      <c r="K491" s="307">
        <f t="shared" ca="1" si="218"/>
        <v>1340.4590211937407</v>
      </c>
      <c r="L491" s="304">
        <f t="shared" ca="1" si="203"/>
        <v>1355.3585069579021</v>
      </c>
      <c r="M491" s="306">
        <f t="shared" ca="1" si="219"/>
        <v>1.2431082450602879</v>
      </c>
      <c r="N491" s="304">
        <f t="shared" ca="1" si="220"/>
        <v>71.224855919868972</v>
      </c>
      <c r="P491" s="310">
        <f t="shared" ca="1" si="221"/>
        <v>23</v>
      </c>
      <c r="Q491" s="304">
        <f t="shared" ca="1" si="222"/>
        <v>0</v>
      </c>
      <c r="R491" s="306">
        <f t="shared" ca="1" si="223"/>
        <v>0</v>
      </c>
      <c r="S491" s="307">
        <f t="shared" ca="1" si="224"/>
        <v>7.9789999999999939</v>
      </c>
      <c r="T491" s="304">
        <f t="shared" ca="1" si="204"/>
        <v>78.273989999999941</v>
      </c>
      <c r="U491" s="311">
        <f t="shared" ca="1" si="205"/>
        <v>0</v>
      </c>
      <c r="V491" s="306">
        <f t="shared" ca="1" si="206"/>
        <v>1.0711080617496036</v>
      </c>
      <c r="W491" s="304">
        <f t="shared" ca="1" si="207"/>
        <v>6.4951295297279046</v>
      </c>
      <c r="Y491" s="314" t="str">
        <f t="shared" ca="1" si="225"/>
        <v/>
      </c>
      <c r="Z491" s="315" t="str">
        <f t="shared" ca="1" si="226"/>
        <v/>
      </c>
      <c r="AA491" s="316" t="str">
        <f t="shared" ca="1" si="227"/>
        <v/>
      </c>
      <c r="AC491" s="310" t="e">
        <f t="shared" ca="1" si="228"/>
        <v>#N/A</v>
      </c>
      <c r="AD491" s="323" t="e">
        <f t="shared" ca="1" si="229"/>
        <v>#N/A</v>
      </c>
      <c r="AE491" s="324">
        <f t="shared" ca="1" si="208"/>
        <v>1340.4590211937407</v>
      </c>
      <c r="AG491" s="306">
        <f t="shared" ca="1" si="230"/>
        <v>-10.161605323967457</v>
      </c>
      <c r="AH491" s="304">
        <f t="shared" ca="1" si="231"/>
        <v>-0.85191026918588286</v>
      </c>
    </row>
    <row r="492" spans="1:34" x14ac:dyDescent="0.2">
      <c r="A492" s="347">
        <f t="shared" ca="1" si="209"/>
        <v>0.1</v>
      </c>
      <c r="B492" s="304">
        <f t="shared" ca="1" si="210"/>
        <v>12.799999999999928</v>
      </c>
      <c r="D492" s="306">
        <f t="shared" ca="1" si="211"/>
        <v>-0.26199897998968635</v>
      </c>
      <c r="E492" s="307">
        <f t="shared" ca="1" si="212"/>
        <v>-10.580712750179906</v>
      </c>
      <c r="F492" s="304">
        <f t="shared" ca="1" si="213"/>
        <v>10.583956054677063</v>
      </c>
      <c r="G492" s="306">
        <f t="shared" ca="1" si="214"/>
        <v>14.313047149906151</v>
      </c>
      <c r="H492" s="307">
        <f t="shared" ca="1" si="215"/>
        <v>41.123163660458076</v>
      </c>
      <c r="I492" s="304">
        <f t="shared" ca="1" si="216"/>
        <v>43.542828435464045</v>
      </c>
      <c r="J492" s="306">
        <f t="shared" ca="1" si="217"/>
        <v>201.84792072086438</v>
      </c>
      <c r="K492" s="307">
        <f t="shared" ca="1" si="218"/>
        <v>1344.6242411235373</v>
      </c>
      <c r="L492" s="304">
        <f t="shared" ca="1" si="203"/>
        <v>1359.6900135385217</v>
      </c>
      <c r="M492" s="306">
        <f t="shared" ca="1" si="219"/>
        <v>1.2358569358252334</v>
      </c>
      <c r="N492" s="304">
        <f t="shared" ca="1" si="220"/>
        <v>70.809386504756105</v>
      </c>
      <c r="P492" s="310">
        <f t="shared" ca="1" si="221"/>
        <v>23</v>
      </c>
      <c r="Q492" s="304">
        <f t="shared" ca="1" si="222"/>
        <v>0</v>
      </c>
      <c r="R492" s="306">
        <f t="shared" ca="1" si="223"/>
        <v>0</v>
      </c>
      <c r="S492" s="307">
        <f t="shared" ca="1" si="224"/>
        <v>7.9789999999999939</v>
      </c>
      <c r="T492" s="304">
        <f t="shared" ca="1" si="204"/>
        <v>78.273989999999941</v>
      </c>
      <c r="U492" s="311">
        <f t="shared" ca="1" si="205"/>
        <v>0</v>
      </c>
      <c r="V492" s="306">
        <f t="shared" ca="1" si="206"/>
        <v>1.0706599960000394</v>
      </c>
      <c r="W492" s="304">
        <f t="shared" ca="1" si="207"/>
        <v>6.2016489797906527</v>
      </c>
      <c r="Y492" s="314" t="str">
        <f t="shared" ca="1" si="225"/>
        <v/>
      </c>
      <c r="Z492" s="315" t="str">
        <f t="shared" ca="1" si="226"/>
        <v/>
      </c>
      <c r="AA492" s="316" t="str">
        <f t="shared" ca="1" si="227"/>
        <v/>
      </c>
      <c r="AC492" s="310" t="e">
        <f t="shared" ca="1" si="228"/>
        <v>#N/A</v>
      </c>
      <c r="AD492" s="323" t="e">
        <f t="shared" ca="1" si="229"/>
        <v>#N/A</v>
      </c>
      <c r="AE492" s="324">
        <f t="shared" ca="1" si="208"/>
        <v>1344.6242411235373</v>
      </c>
      <c r="AG492" s="306">
        <f t="shared" ca="1" si="230"/>
        <v>-10.102027865156726</v>
      </c>
      <c r="AH492" s="304">
        <f t="shared" ca="1" si="231"/>
        <v>-0.81402801475471986</v>
      </c>
    </row>
    <row r="493" spans="1:34" x14ac:dyDescent="0.2">
      <c r="A493" s="347">
        <f t="shared" ca="1" si="209"/>
        <v>0.1</v>
      </c>
      <c r="B493" s="304">
        <f t="shared" ca="1" si="210"/>
        <v>12.899999999999928</v>
      </c>
      <c r="D493" s="306">
        <f t="shared" ca="1" si="211"/>
        <v>-0.25549016193581675</v>
      </c>
      <c r="E493" s="307">
        <f t="shared" ca="1" si="212"/>
        <v>-10.544054994221998</v>
      </c>
      <c r="F493" s="304">
        <f t="shared" ca="1" si="213"/>
        <v>10.547149896726786</v>
      </c>
      <c r="G493" s="306">
        <f t="shared" ca="1" si="214"/>
        <v>14.287498133712569</v>
      </c>
      <c r="H493" s="307">
        <f t="shared" ca="1" si="215"/>
        <v>40.068758161035873</v>
      </c>
      <c r="I493" s="304">
        <f t="shared" ca="1" si="216"/>
        <v>42.539839956074339</v>
      </c>
      <c r="J493" s="306">
        <f t="shared" ca="1" si="217"/>
        <v>203.27794798504533</v>
      </c>
      <c r="K493" s="307">
        <f t="shared" ca="1" si="218"/>
        <v>1348.6838372146121</v>
      </c>
      <c r="L493" s="304">
        <f t="shared" ca="1" si="203"/>
        <v>1363.9171591049587</v>
      </c>
      <c r="M493" s="306">
        <f t="shared" ca="1" si="219"/>
        <v>1.2282765243458853</v>
      </c>
      <c r="N493" s="304">
        <f t="shared" ca="1" si="220"/>
        <v>70.375060920016935</v>
      </c>
      <c r="P493" s="310">
        <f t="shared" ca="1" si="221"/>
        <v>23</v>
      </c>
      <c r="Q493" s="304">
        <f t="shared" ca="1" si="222"/>
        <v>0</v>
      </c>
      <c r="R493" s="306">
        <f t="shared" ca="1" si="223"/>
        <v>0</v>
      </c>
      <c r="S493" s="307">
        <f t="shared" ca="1" si="224"/>
        <v>7.9789999999999939</v>
      </c>
      <c r="T493" s="304">
        <f t="shared" ca="1" si="204"/>
        <v>78.273989999999941</v>
      </c>
      <c r="U493" s="311">
        <f t="shared" ca="1" si="205"/>
        <v>0</v>
      </c>
      <c r="V493" s="306">
        <f t="shared" ca="1" si="206"/>
        <v>1.0702234607823529</v>
      </c>
      <c r="W493" s="304">
        <f t="shared" ca="1" si="207"/>
        <v>5.9168219790098586</v>
      </c>
      <c r="Y493" s="314" t="str">
        <f t="shared" ca="1" si="225"/>
        <v/>
      </c>
      <c r="Z493" s="315" t="str">
        <f t="shared" ca="1" si="226"/>
        <v/>
      </c>
      <c r="AA493" s="316" t="str">
        <f t="shared" ca="1" si="227"/>
        <v/>
      </c>
      <c r="AC493" s="310" t="e">
        <f t="shared" ca="1" si="228"/>
        <v>#N/A</v>
      </c>
      <c r="AD493" s="323" t="e">
        <f t="shared" ca="1" si="229"/>
        <v>#N/A</v>
      </c>
      <c r="AE493" s="324">
        <f t="shared" ca="1" si="208"/>
        <v>1348.6838372146121</v>
      </c>
      <c r="AG493" s="306">
        <f t="shared" ca="1" si="230"/>
        <v>-10.042106992531799</v>
      </c>
      <c r="AH493" s="304">
        <f t="shared" ca="1" si="231"/>
        <v>-0.77724639425876141</v>
      </c>
    </row>
    <row r="494" spans="1:34" x14ac:dyDescent="0.2">
      <c r="A494" s="347">
        <f t="shared" ca="1" si="209"/>
        <v>0.1</v>
      </c>
      <c r="B494" s="304">
        <f t="shared" ca="1" si="210"/>
        <v>12.999999999999927</v>
      </c>
      <c r="D494" s="306">
        <f t="shared" ca="1" si="211"/>
        <v>-0.24905792911852614</v>
      </c>
      <c r="E494" s="307">
        <f t="shared" ca="1" si="212"/>
        <v>-10.508473717129755</v>
      </c>
      <c r="F494" s="304">
        <f t="shared" ca="1" si="213"/>
        <v>10.511424723398045</v>
      </c>
      <c r="G494" s="306">
        <f t="shared" ca="1" si="214"/>
        <v>14.262592340800717</v>
      </c>
      <c r="H494" s="307">
        <f t="shared" ca="1" si="215"/>
        <v>39.017910789322897</v>
      </c>
      <c r="I494" s="304">
        <f t="shared" ca="1" si="216"/>
        <v>41.542976574186731</v>
      </c>
      <c r="J494" s="306">
        <f t="shared" ca="1" si="217"/>
        <v>204.705452508771</v>
      </c>
      <c r="K494" s="307">
        <f t="shared" ca="1" si="218"/>
        <v>1352.6381706621301</v>
      </c>
      <c r="L494" s="304">
        <f t="shared" ca="1" si="203"/>
        <v>1368.0403294563412</v>
      </c>
      <c r="M494" s="306">
        <f t="shared" ca="1" si="219"/>
        <v>1.2203453721343778</v>
      </c>
      <c r="N494" s="304">
        <f t="shared" ca="1" si="220"/>
        <v>69.920639371621704</v>
      </c>
      <c r="P494" s="310">
        <f t="shared" ca="1" si="221"/>
        <v>23</v>
      </c>
      <c r="Q494" s="304">
        <f t="shared" ca="1" si="222"/>
        <v>0</v>
      </c>
      <c r="R494" s="306">
        <f t="shared" ca="1" si="223"/>
        <v>0</v>
      </c>
      <c r="S494" s="307">
        <f t="shared" ca="1" si="224"/>
        <v>7.9789999999999939</v>
      </c>
      <c r="T494" s="304">
        <f t="shared" ca="1" si="204"/>
        <v>78.273989999999941</v>
      </c>
      <c r="U494" s="311">
        <f t="shared" ca="1" si="205"/>
        <v>0</v>
      </c>
      <c r="V494" s="306">
        <f t="shared" ca="1" si="206"/>
        <v>1.069798404223629</v>
      </c>
      <c r="W494" s="304">
        <f t="shared" ca="1" si="207"/>
        <v>5.6405246242683678</v>
      </c>
      <c r="Y494" s="314" t="str">
        <f t="shared" ca="1" si="225"/>
        <v/>
      </c>
      <c r="Z494" s="315" t="str">
        <f t="shared" ca="1" si="226"/>
        <v/>
      </c>
      <c r="AA494" s="316" t="str">
        <f t="shared" ca="1" si="227"/>
        <v/>
      </c>
      <c r="AC494" s="310">
        <f t="shared" ca="1" si="228"/>
        <v>12.999999999999927</v>
      </c>
      <c r="AD494" s="323">
        <f t="shared" ca="1" si="229"/>
        <v>204.705452508771</v>
      </c>
      <c r="AE494" s="324">
        <f t="shared" ca="1" si="208"/>
        <v>1352.6381706621301</v>
      </c>
      <c r="AG494" s="306">
        <f t="shared" ca="1" si="230"/>
        <v>-9.9816996760964276</v>
      </c>
      <c r="AH494" s="304">
        <f t="shared" ca="1" si="231"/>
        <v>-0.74154931432633953</v>
      </c>
    </row>
    <row r="495" spans="1:34" x14ac:dyDescent="0.2">
      <c r="A495" s="347">
        <f t="shared" ca="1" si="209"/>
        <v>0.1</v>
      </c>
      <c r="B495" s="304">
        <f t="shared" ca="1" si="210"/>
        <v>13.099999999999927</v>
      </c>
      <c r="D495" s="306">
        <f t="shared" ca="1" si="211"/>
        <v>-0.24270118283640968</v>
      </c>
      <c r="E495" s="307">
        <f t="shared" ca="1" si="212"/>
        <v>-10.473953149196056</v>
      </c>
      <c r="F495" s="304">
        <f t="shared" ca="1" si="213"/>
        <v>10.47676469315333</v>
      </c>
      <c r="G495" s="306">
        <f t="shared" ca="1" si="214"/>
        <v>14.238322222517077</v>
      </c>
      <c r="H495" s="307">
        <f t="shared" ca="1" si="215"/>
        <v>37.970515474403292</v>
      </c>
      <c r="I495" s="304">
        <f t="shared" ca="1" si="216"/>
        <v>40.552310231405109</v>
      </c>
      <c r="J495" s="306">
        <f t="shared" ca="1" si="217"/>
        <v>206.13049823693689</v>
      </c>
      <c r="K495" s="307">
        <f t="shared" ca="1" si="218"/>
        <v>1356.4875919753163</v>
      </c>
      <c r="L495" s="304">
        <f t="shared" ca="1" si="203"/>
        <v>1372.059900108738</v>
      </c>
      <c r="M495" s="306">
        <f t="shared" ca="1" si="219"/>
        <v>1.2120399969079425</v>
      </c>
      <c r="N495" s="304">
        <f t="shared" ca="1" si="220"/>
        <v>69.444776423874458</v>
      </c>
      <c r="P495" s="310">
        <f t="shared" ca="1" si="221"/>
        <v>23</v>
      </c>
      <c r="Q495" s="304">
        <f t="shared" ca="1" si="222"/>
        <v>0</v>
      </c>
      <c r="R495" s="306">
        <f t="shared" ca="1" si="223"/>
        <v>0</v>
      </c>
      <c r="S495" s="307">
        <f t="shared" ca="1" si="224"/>
        <v>7.9789999999999939</v>
      </c>
      <c r="T495" s="304">
        <f t="shared" ca="1" si="204"/>
        <v>78.273989999999941</v>
      </c>
      <c r="U495" s="311">
        <f t="shared" ca="1" si="205"/>
        <v>0</v>
      </c>
      <c r="V495" s="306">
        <f t="shared" ca="1" si="206"/>
        <v>1.0693847760065054</v>
      </c>
      <c r="W495" s="304">
        <f t="shared" ca="1" si="207"/>
        <v>5.3726373970820429</v>
      </c>
      <c r="Y495" s="314" t="str">
        <f t="shared" ca="1" si="225"/>
        <v/>
      </c>
      <c r="Z495" s="315" t="str">
        <f t="shared" ca="1" si="226"/>
        <v/>
      </c>
      <c r="AA495" s="316" t="str">
        <f t="shared" ca="1" si="227"/>
        <v/>
      </c>
      <c r="AC495" s="310" t="e">
        <f t="shared" ca="1" si="228"/>
        <v>#N/A</v>
      </c>
      <c r="AD495" s="323" t="e">
        <f t="shared" ca="1" si="229"/>
        <v>#N/A</v>
      </c>
      <c r="AE495" s="324">
        <f t="shared" ca="1" si="208"/>
        <v>1356.4875919753163</v>
      </c>
      <c r="AG495" s="306">
        <f t="shared" ca="1" si="230"/>
        <v>-9.9206496886982709</v>
      </c>
      <c r="AH495" s="304">
        <f t="shared" ca="1" si="231"/>
        <v>-0.70692124630509734</v>
      </c>
    </row>
    <row r="496" spans="1:34" x14ac:dyDescent="0.2">
      <c r="A496" s="347">
        <f t="shared" ca="1" si="209"/>
        <v>0.1</v>
      </c>
      <c r="B496" s="304">
        <f t="shared" ca="1" si="210"/>
        <v>13.199999999999926</v>
      </c>
      <c r="D496" s="306">
        <f t="shared" ca="1" si="211"/>
        <v>-0.23641894886032791</v>
      </c>
      <c r="E496" s="307">
        <f t="shared" ca="1" si="212"/>
        <v>-10.440478030757495</v>
      </c>
      <c r="F496" s="304">
        <f t="shared" ca="1" si="213"/>
        <v>10.443154476982045</v>
      </c>
      <c r="G496" s="306">
        <f t="shared" ca="1" si="214"/>
        <v>14.214680327631044</v>
      </c>
      <c r="H496" s="307">
        <f t="shared" ca="1" si="215"/>
        <v>36.926467671327543</v>
      </c>
      <c r="I496" s="304">
        <f t="shared" ca="1" si="216"/>
        <v>39.567930846815067</v>
      </c>
      <c r="J496" s="306">
        <f t="shared" ca="1" si="217"/>
        <v>207.5531483644443</v>
      </c>
      <c r="K496" s="307">
        <f t="shared" ca="1" si="218"/>
        <v>1360.2324411326028</v>
      </c>
      <c r="L496" s="304">
        <f t="shared" ca="1" si="203"/>
        <v>1375.9762364610638</v>
      </c>
      <c r="M496" s="306">
        <f t="shared" ca="1" si="219"/>
        <v>1.2033348847922978</v>
      </c>
      <c r="N496" s="304">
        <f t="shared" ca="1" si="220"/>
        <v>68.94601023945981</v>
      </c>
      <c r="P496" s="310">
        <f t="shared" ca="1" si="221"/>
        <v>23</v>
      </c>
      <c r="Q496" s="304">
        <f t="shared" ca="1" si="222"/>
        <v>0</v>
      </c>
      <c r="R496" s="306">
        <f t="shared" ca="1" si="223"/>
        <v>0</v>
      </c>
      <c r="S496" s="307">
        <f t="shared" ca="1" si="224"/>
        <v>7.9789999999999939</v>
      </c>
      <c r="T496" s="304">
        <f t="shared" ca="1" si="204"/>
        <v>78.273989999999941</v>
      </c>
      <c r="U496" s="311">
        <f t="shared" ca="1" si="205"/>
        <v>0</v>
      </c>
      <c r="V496" s="306">
        <f t="shared" ca="1" si="206"/>
        <v>1.0689825273456539</v>
      </c>
      <c r="W496" s="304">
        <f t="shared" ca="1" si="207"/>
        <v>5.1130450473904938</v>
      </c>
      <c r="Y496" s="314" t="str">
        <f t="shared" ca="1" si="225"/>
        <v/>
      </c>
      <c r="Z496" s="315" t="str">
        <f t="shared" ca="1" si="226"/>
        <v/>
      </c>
      <c r="AA496" s="316" t="str">
        <f t="shared" ca="1" si="227"/>
        <v/>
      </c>
      <c r="AC496" s="310" t="e">
        <f t="shared" ca="1" si="228"/>
        <v>#N/A</v>
      </c>
      <c r="AD496" s="323" t="e">
        <f t="shared" ca="1" si="229"/>
        <v>#N/A</v>
      </c>
      <c r="AE496" s="324">
        <f t="shared" ca="1" si="208"/>
        <v>1360.2324411326028</v>
      </c>
      <c r="AG496" s="306">
        <f t="shared" ca="1" si="230"/>
        <v>-9.8587858378241275</v>
      </c>
      <c r="AH496" s="304">
        <f t="shared" ca="1" si="231"/>
        <v>-0.67334721106429962</v>
      </c>
    </row>
    <row r="497" spans="1:34" x14ac:dyDescent="0.2">
      <c r="A497" s="347">
        <f t="shared" ca="1" si="209"/>
        <v>0.1</v>
      </c>
      <c r="B497" s="304">
        <f t="shared" ca="1" si="210"/>
        <v>13.299999999999926</v>
      </c>
      <c r="D497" s="306">
        <f t="shared" ca="1" si="211"/>
        <v>-0.23021038505928032</v>
      </c>
      <c r="E497" s="307">
        <f t="shared" ca="1" si="212"/>
        <v>-10.408033592424241</v>
      </c>
      <c r="F497" s="304">
        <f t="shared" ca="1" si="213"/>
        <v>10.410579238564038</v>
      </c>
      <c r="G497" s="306">
        <f t="shared" ca="1" si="214"/>
        <v>14.191659289125116</v>
      </c>
      <c r="H497" s="307">
        <f t="shared" ca="1" si="215"/>
        <v>35.885664312085119</v>
      </c>
      <c r="I497" s="304">
        <f t="shared" ca="1" si="216"/>
        <v>38.589948127696033</v>
      </c>
      <c r="J497" s="306">
        <f t="shared" ca="1" si="217"/>
        <v>208.97346534528211</v>
      </c>
      <c r="K497" s="307">
        <f t="shared" ca="1" si="218"/>
        <v>1363.8730477317736</v>
      </c>
      <c r="L497" s="304">
        <f t="shared" ca="1" si="203"/>
        <v>1379.7896939561379</v>
      </c>
      <c r="M497" s="306">
        <f t="shared" ca="1" si="219"/>
        <v>1.1942022812045587</v>
      </c>
      <c r="N497" s="304">
        <f t="shared" ca="1" si="220"/>
        <v>68.422750597916334</v>
      </c>
      <c r="P497" s="310">
        <f t="shared" ca="1" si="221"/>
        <v>23</v>
      </c>
      <c r="Q497" s="304">
        <f t="shared" ca="1" si="222"/>
        <v>0</v>
      </c>
      <c r="R497" s="306">
        <f t="shared" ca="1" si="223"/>
        <v>0</v>
      </c>
      <c r="S497" s="307">
        <f t="shared" ca="1" si="224"/>
        <v>7.9789999999999939</v>
      </c>
      <c r="T497" s="304">
        <f t="shared" ca="1" si="204"/>
        <v>78.273989999999941</v>
      </c>
      <c r="U497" s="311">
        <f t="shared" ca="1" si="205"/>
        <v>0</v>
      </c>
      <c r="V497" s="306">
        <f t="shared" ca="1" si="206"/>
        <v>1.0685916109650535</v>
      </c>
      <c r="W497" s="304">
        <f t="shared" ca="1" si="207"/>
        <v>4.8616364821879099</v>
      </c>
      <c r="Y497" s="314" t="str">
        <f t="shared" ca="1" si="225"/>
        <v/>
      </c>
      <c r="Z497" s="315" t="str">
        <f t="shared" ca="1" si="226"/>
        <v/>
      </c>
      <c r="AA497" s="316" t="str">
        <f t="shared" ca="1" si="227"/>
        <v/>
      </c>
      <c r="AC497" s="310" t="e">
        <f t="shared" ca="1" si="228"/>
        <v>#N/A</v>
      </c>
      <c r="AD497" s="323" t="e">
        <f t="shared" ca="1" si="229"/>
        <v>#N/A</v>
      </c>
      <c r="AE497" s="324">
        <f t="shared" ca="1" si="208"/>
        <v>1363.8730477317736</v>
      </c>
      <c r="AG497" s="306">
        <f t="shared" ca="1" si="230"/>
        <v>-9.7959199460050304</v>
      </c>
      <c r="AH497" s="304">
        <f t="shared" ca="1" si="231"/>
        <v>-0.64081276443044211</v>
      </c>
    </row>
    <row r="498" spans="1:34" x14ac:dyDescent="0.2">
      <c r="A498" s="347">
        <f t="shared" ca="1" si="209"/>
        <v>0.1</v>
      </c>
      <c r="B498" s="304">
        <f t="shared" ca="1" si="210"/>
        <v>13.399999999999926</v>
      </c>
      <c r="D498" s="306">
        <f t="shared" ca="1" si="211"/>
        <v>-0.22407479027662669</v>
      </c>
      <c r="E498" s="307">
        <f t="shared" ca="1" si="212"/>
        <v>-10.376605535043367</v>
      </c>
      <c r="F498" s="304">
        <f t="shared" ca="1" si="213"/>
        <v>10.379024614169202</v>
      </c>
      <c r="G498" s="306">
        <f t="shared" ca="1" si="214"/>
        <v>14.169251810097453</v>
      </c>
      <c r="H498" s="307">
        <f t="shared" ca="1" si="215"/>
        <v>34.848003758580781</v>
      </c>
      <c r="I498" s="304">
        <f t="shared" ca="1" si="216"/>
        <v>37.618493627682781</v>
      </c>
      <c r="J498" s="306">
        <f t="shared" ca="1" si="217"/>
        <v>210.39151090024325</v>
      </c>
      <c r="K498" s="307">
        <f t="shared" ca="1" si="218"/>
        <v>1367.4097311353069</v>
      </c>
      <c r="L498" s="304">
        <f t="shared" ca="1" si="203"/>
        <v>1383.5006182370932</v>
      </c>
      <c r="M498" s="306">
        <f t="shared" ca="1" si="219"/>
        <v>1.1846119579666035</v>
      </c>
      <c r="N498" s="304">
        <f t="shared" ca="1" si="220"/>
        <v>67.873265552215258</v>
      </c>
      <c r="P498" s="310">
        <f t="shared" ca="1" si="221"/>
        <v>23</v>
      </c>
      <c r="Q498" s="304">
        <f t="shared" ca="1" si="222"/>
        <v>0</v>
      </c>
      <c r="R498" s="306">
        <f t="shared" ca="1" si="223"/>
        <v>0</v>
      </c>
      <c r="S498" s="307">
        <f t="shared" ca="1" si="224"/>
        <v>7.9789999999999939</v>
      </c>
      <c r="T498" s="304">
        <f t="shared" ca="1" si="204"/>
        <v>78.273989999999941</v>
      </c>
      <c r="U498" s="311">
        <f t="shared" ca="1" si="205"/>
        <v>0</v>
      </c>
      <c r="V498" s="306">
        <f t="shared" ca="1" si="206"/>
        <v>1.0682119810760282</v>
      </c>
      <c r="W498" s="304">
        <f t="shared" ca="1" si="207"/>
        <v>4.6183046587892305</v>
      </c>
      <c r="Y498" s="314" t="str">
        <f t="shared" ca="1" si="225"/>
        <v/>
      </c>
      <c r="Z498" s="315" t="str">
        <f t="shared" ca="1" si="226"/>
        <v/>
      </c>
      <c r="AA498" s="316" t="str">
        <f t="shared" ca="1" si="227"/>
        <v/>
      </c>
      <c r="AC498" s="310" t="e">
        <f t="shared" ca="1" si="228"/>
        <v>#N/A</v>
      </c>
      <c r="AD498" s="323" t="e">
        <f t="shared" ca="1" si="229"/>
        <v>#N/A</v>
      </c>
      <c r="AE498" s="324">
        <f t="shared" ca="1" si="208"/>
        <v>1367.4097311353069</v>
      </c>
      <c r="AG498" s="306">
        <f t="shared" ca="1" si="230"/>
        <v>-9.7318445405954108</v>
      </c>
      <c r="AH498" s="304">
        <f t="shared" ca="1" si="231"/>
        <v>-0.60930398322946655</v>
      </c>
    </row>
    <row r="499" spans="1:34" x14ac:dyDescent="0.2">
      <c r="A499" s="347">
        <f t="shared" ca="1" si="209"/>
        <v>0.1</v>
      </c>
      <c r="B499" s="304">
        <f t="shared" ca="1" si="210"/>
        <v>13.499999999999925</v>
      </c>
      <c r="D499" s="306">
        <f t="shared" ca="1" si="211"/>
        <v>-0.21801161462875085</v>
      </c>
      <c r="E499" s="307">
        <f t="shared" ca="1" si="212"/>
        <v>-10.346180009207185</v>
      </c>
      <c r="F499" s="304">
        <f t="shared" ca="1" si="213"/>
        <v>10.348476692104564</v>
      </c>
      <c r="G499" s="306">
        <f t="shared" ca="1" si="214"/>
        <v>14.147450648634578</v>
      </c>
      <c r="H499" s="307">
        <f t="shared" ca="1" si="215"/>
        <v>33.813385757660065</v>
      </c>
      <c r="I499" s="304">
        <f t="shared" ca="1" si="216"/>
        <v>36.653723088546947</v>
      </c>
      <c r="J499" s="306">
        <f t="shared" ca="1" si="217"/>
        <v>211.80734602317986</v>
      </c>
      <c r="K499" s="307">
        <f t="shared" ca="1" si="218"/>
        <v>1370.8428006111189</v>
      </c>
      <c r="L499" s="304">
        <f t="shared" ca="1" si="203"/>
        <v>1387.1093452993239</v>
      </c>
      <c r="M499" s="306">
        <f t="shared" ca="1" si="219"/>
        <v>1.1745309539821009</v>
      </c>
      <c r="N499" s="304">
        <f t="shared" ca="1" si="220"/>
        <v>67.295666570648692</v>
      </c>
      <c r="P499" s="310">
        <f t="shared" ca="1" si="221"/>
        <v>23</v>
      </c>
      <c r="Q499" s="304">
        <f t="shared" ca="1" si="222"/>
        <v>0</v>
      </c>
      <c r="R499" s="306">
        <f t="shared" ca="1" si="223"/>
        <v>0</v>
      </c>
      <c r="S499" s="307">
        <f t="shared" ca="1" si="224"/>
        <v>7.9789999999999939</v>
      </c>
      <c r="T499" s="304">
        <f t="shared" ca="1" si="204"/>
        <v>78.273989999999941</v>
      </c>
      <c r="U499" s="311">
        <f t="shared" ca="1" si="205"/>
        <v>0</v>
      </c>
      <c r="V499" s="306">
        <f t="shared" ca="1" si="206"/>
        <v>1.067843593356028</v>
      </c>
      <c r="W499" s="304">
        <f t="shared" ca="1" si="207"/>
        <v>4.3829464825340168</v>
      </c>
      <c r="Y499" s="314" t="str">
        <f t="shared" ca="1" si="225"/>
        <v/>
      </c>
      <c r="Z499" s="315" t="str">
        <f t="shared" ca="1" si="226"/>
        <v/>
      </c>
      <c r="AA499" s="316" t="str">
        <f t="shared" ca="1" si="227"/>
        <v/>
      </c>
      <c r="AC499" s="310" t="e">
        <f t="shared" ca="1" si="228"/>
        <v>#N/A</v>
      </c>
      <c r="AD499" s="323" t="e">
        <f t="shared" ca="1" si="229"/>
        <v>#N/A</v>
      </c>
      <c r="AE499" s="324">
        <f t="shared" ca="1" si="208"/>
        <v>1370.8428006111189</v>
      </c>
      <c r="AG499" s="306">
        <f t="shared" ca="1" si="230"/>
        <v>-9.6663302074757986</v>
      </c>
      <c r="AH499" s="304">
        <f t="shared" ca="1" si="231"/>
        <v>-0.57880745190991778</v>
      </c>
    </row>
    <row r="500" spans="1:34" x14ac:dyDescent="0.2">
      <c r="A500" s="347">
        <f t="shared" ca="1" si="209"/>
        <v>0.1</v>
      </c>
      <c r="B500" s="304">
        <f t="shared" ca="1" si="210"/>
        <v>13.599999999999925</v>
      </c>
      <c r="D500" s="306">
        <f t="shared" ca="1" si="211"/>
        <v>-0.21202047142554206</v>
      </c>
      <c r="E500" s="307">
        <f t="shared" ca="1" si="212"/>
        <v>-10.316743594085251</v>
      </c>
      <c r="F500" s="304">
        <f t="shared" ca="1" si="213"/>
        <v>10.318921991487414</v>
      </c>
      <c r="G500" s="306">
        <f t="shared" ca="1" si="214"/>
        <v>14.126248601492025</v>
      </c>
      <c r="H500" s="307">
        <f t="shared" ca="1" si="215"/>
        <v>32.781711398251538</v>
      </c>
      <c r="I500" s="304">
        <f t="shared" ca="1" si="216"/>
        <v>35.695819107416632</v>
      </c>
      <c r="J500" s="306">
        <f t="shared" ca="1" si="217"/>
        <v>213.22103098568618</v>
      </c>
      <c r="K500" s="307">
        <f t="shared" ca="1" si="218"/>
        <v>1374.1725554689144</v>
      </c>
      <c r="L500" s="304">
        <f t="shared" ca="1" si="203"/>
        <v>1390.6162016381679</v>
      </c>
      <c r="M500" s="306">
        <f t="shared" ca="1" si="219"/>
        <v>1.1639232866074227</v>
      </c>
      <c r="N500" s="304">
        <f t="shared" ca="1" si="220"/>
        <v>66.687891999601021</v>
      </c>
      <c r="P500" s="310">
        <f t="shared" ca="1" si="221"/>
        <v>23</v>
      </c>
      <c r="Q500" s="304">
        <f t="shared" ca="1" si="222"/>
        <v>0</v>
      </c>
      <c r="R500" s="306">
        <f t="shared" ca="1" si="223"/>
        <v>0</v>
      </c>
      <c r="S500" s="307">
        <f t="shared" ca="1" si="224"/>
        <v>7.9789999999999939</v>
      </c>
      <c r="T500" s="304">
        <f t="shared" ca="1" si="204"/>
        <v>78.273989999999941</v>
      </c>
      <c r="U500" s="311">
        <f t="shared" ca="1" si="205"/>
        <v>0</v>
      </c>
      <c r="V500" s="306">
        <f t="shared" ca="1" si="206"/>
        <v>1.0674864049281096</v>
      </c>
      <c r="W500" s="304">
        <f t="shared" ca="1" si="207"/>
        <v>4.1554627087366178</v>
      </c>
      <c r="Y500" s="314" t="str">
        <f t="shared" ca="1" si="225"/>
        <v/>
      </c>
      <c r="Z500" s="315" t="str">
        <f t="shared" ca="1" si="226"/>
        <v/>
      </c>
      <c r="AA500" s="316" t="str">
        <f t="shared" ca="1" si="227"/>
        <v/>
      </c>
      <c r="AC500" s="310" t="e">
        <f t="shared" ca="1" si="228"/>
        <v>#N/A</v>
      </c>
      <c r="AD500" s="323" t="e">
        <f t="shared" ca="1" si="229"/>
        <v>#N/A</v>
      </c>
      <c r="AE500" s="324">
        <f t="shared" ca="1" si="208"/>
        <v>1374.1725554689144</v>
      </c>
      <c r="AG500" s="306">
        <f t="shared" ca="1" si="230"/>
        <v>-9.5991225561368765</v>
      </c>
      <c r="AH500" s="304">
        <f t="shared" ca="1" si="231"/>
        <v>-0.54931024972227349</v>
      </c>
    </row>
    <row r="501" spans="1:34" x14ac:dyDescent="0.2">
      <c r="A501" s="347">
        <f t="shared" ca="1" si="209"/>
        <v>0.1</v>
      </c>
      <c r="B501" s="304">
        <f t="shared" ca="1" si="210"/>
        <v>13.699999999999925</v>
      </c>
      <c r="D501" s="306">
        <f t="shared" ca="1" si="211"/>
        <v>-0.20610115094352349</v>
      </c>
      <c r="E501" s="307">
        <f t="shared" ca="1" si="212"/>
        <v>-10.28828327531801</v>
      </c>
      <c r="F501" s="304">
        <f t="shared" ca="1" si="213"/>
        <v>10.290347440082309</v>
      </c>
      <c r="G501" s="306">
        <f t="shared" ca="1" si="214"/>
        <v>14.105638486397671</v>
      </c>
      <c r="H501" s="307">
        <f t="shared" ca="1" si="215"/>
        <v>31.752883070719736</v>
      </c>
      <c r="I501" s="304">
        <f t="shared" ca="1" si="216"/>
        <v>34.744994177748012</v>
      </c>
      <c r="J501" s="306">
        <f t="shared" ca="1" si="217"/>
        <v>214.63262534008066</v>
      </c>
      <c r="K501" s="307">
        <f t="shared" ca="1" si="218"/>
        <v>1377.3992851923631</v>
      </c>
      <c r="L501" s="304">
        <f t="shared" ca="1" si="203"/>
        <v>1394.0215043925284</v>
      </c>
      <c r="M501" s="306">
        <f t="shared" ca="1" si="219"/>
        <v>1.1527496306780571</v>
      </c>
      <c r="N501" s="304">
        <f t="shared" ca="1" si="220"/>
        <v>66.047688673117037</v>
      </c>
      <c r="P501" s="310">
        <f t="shared" ca="1" si="221"/>
        <v>23</v>
      </c>
      <c r="Q501" s="304">
        <f t="shared" ca="1" si="222"/>
        <v>0</v>
      </c>
      <c r="R501" s="306">
        <f t="shared" ca="1" si="223"/>
        <v>0</v>
      </c>
      <c r="S501" s="307">
        <f t="shared" ca="1" si="224"/>
        <v>7.9789999999999939</v>
      </c>
      <c r="T501" s="304">
        <f t="shared" ca="1" si="204"/>
        <v>78.273989999999941</v>
      </c>
      <c r="U501" s="311">
        <f t="shared" ca="1" si="205"/>
        <v>0</v>
      </c>
      <c r="V501" s="306">
        <f t="shared" ca="1" si="206"/>
        <v>1.067140374341101</v>
      </c>
      <c r="W501" s="304">
        <f t="shared" ca="1" si="207"/>
        <v>3.9357578486965239</v>
      </c>
      <c r="Y501" s="314" t="str">
        <f t="shared" ca="1" si="225"/>
        <v/>
      </c>
      <c r="Z501" s="315" t="str">
        <f t="shared" ca="1" si="226"/>
        <v/>
      </c>
      <c r="AA501" s="316" t="str">
        <f t="shared" ca="1" si="227"/>
        <v/>
      </c>
      <c r="AC501" s="310" t="e">
        <f t="shared" ca="1" si="228"/>
        <v>#N/A</v>
      </c>
      <c r="AD501" s="323" t="e">
        <f t="shared" ca="1" si="229"/>
        <v>#N/A</v>
      </c>
      <c r="AE501" s="324">
        <f t="shared" ca="1" si="208"/>
        <v>1377.3992851923631</v>
      </c>
      <c r="AG501" s="306">
        <f t="shared" ca="1" si="230"/>
        <v>-9.5299387355852794</v>
      </c>
      <c r="AH501" s="304">
        <f t="shared" ca="1" si="231"/>
        <v>-0.52079993843045758</v>
      </c>
    </row>
    <row r="502" spans="1:34" x14ac:dyDescent="0.2">
      <c r="A502" s="347">
        <f t="shared" ca="1" si="209"/>
        <v>0.1</v>
      </c>
      <c r="B502" s="304">
        <f t="shared" ca="1" si="210"/>
        <v>13.799999999999924</v>
      </c>
      <c r="D502" s="306">
        <f t="shared" ca="1" si="211"/>
        <v>-0.20025363631860596</v>
      </c>
      <c r="E502" s="307">
        <f t="shared" ca="1" si="212"/>
        <v>-10.260786421659883</v>
      </c>
      <c r="F502" s="304">
        <f t="shared" ca="1" si="213"/>
        <v>10.262740350889652</v>
      </c>
      <c r="G502" s="306">
        <f t="shared" ca="1" si="214"/>
        <v>14.08561312276581</v>
      </c>
      <c r="H502" s="307">
        <f t="shared" ca="1" si="215"/>
        <v>30.726804428553748</v>
      </c>
      <c r="I502" s="304">
        <f t="shared" ca="1" si="216"/>
        <v>33.801494159797471</v>
      </c>
      <c r="J502" s="306">
        <f t="shared" ca="1" si="217"/>
        <v>216.04218792053885</v>
      </c>
      <c r="K502" s="307">
        <f t="shared" ca="1" si="218"/>
        <v>1380.5232695673267</v>
      </c>
      <c r="L502" s="304">
        <f t="shared" ca="1" si="203"/>
        <v>1397.3255614846366</v>
      </c>
      <c r="M502" s="306">
        <f t="shared" ca="1" si="219"/>
        <v>1.1409669620470582</v>
      </c>
      <c r="N502" s="304">
        <f t="shared" ca="1" si="220"/>
        <v>65.372591489159618</v>
      </c>
      <c r="P502" s="310">
        <f t="shared" ca="1" si="221"/>
        <v>23</v>
      </c>
      <c r="Q502" s="304">
        <f t="shared" ca="1" si="222"/>
        <v>0</v>
      </c>
      <c r="R502" s="306">
        <f t="shared" ca="1" si="223"/>
        <v>0</v>
      </c>
      <c r="S502" s="307">
        <f t="shared" ca="1" si="224"/>
        <v>7.9789999999999939</v>
      </c>
      <c r="T502" s="304">
        <f t="shared" ca="1" si="204"/>
        <v>78.273989999999941</v>
      </c>
      <c r="U502" s="311">
        <f t="shared" ca="1" si="205"/>
        <v>0</v>
      </c>
      <c r="V502" s="306">
        <f t="shared" ca="1" si="206"/>
        <v>1.0668054615504088</v>
      </c>
      <c r="W502" s="304">
        <f t="shared" ca="1" si="207"/>
        <v>3.7237400795867539</v>
      </c>
      <c r="Y502" s="314" t="str">
        <f t="shared" ca="1" si="225"/>
        <v/>
      </c>
      <c r="Z502" s="315" t="str">
        <f t="shared" ca="1" si="226"/>
        <v/>
      </c>
      <c r="AA502" s="316" t="str">
        <f t="shared" ca="1" si="227"/>
        <v/>
      </c>
      <c r="AC502" s="310" t="e">
        <f t="shared" ca="1" si="228"/>
        <v>#N/A</v>
      </c>
      <c r="AD502" s="323" t="e">
        <f t="shared" ca="1" si="229"/>
        <v>#N/A</v>
      </c>
      <c r="AE502" s="324">
        <f t="shared" ca="1" si="208"/>
        <v>1380.5232695673267</v>
      </c>
      <c r="AG502" s="306">
        <f t="shared" ca="1" si="230"/>
        <v>-9.4584634315627962</v>
      </c>
      <c r="AH502" s="304">
        <f t="shared" ca="1" si="231"/>
        <v>-0.49326455053221291</v>
      </c>
    </row>
    <row r="503" spans="1:34" x14ac:dyDescent="0.2">
      <c r="A503" s="347">
        <f t="shared" ca="1" si="209"/>
        <v>0.1</v>
      </c>
      <c r="B503" s="304">
        <f t="shared" ca="1" si="210"/>
        <v>13.899999999999924</v>
      </c>
      <c r="D503" s="306">
        <f t="shared" ca="1" si="211"/>
        <v>-0.19447812186677896</v>
      </c>
      <c r="E503" s="307">
        <f t="shared" ca="1" si="212"/>
        <v>-10.234240759997503</v>
      </c>
      <c r="F503" s="304">
        <f t="shared" ca="1" si="213"/>
        <v>10.236088397111423</v>
      </c>
      <c r="G503" s="306">
        <f t="shared" ca="1" si="214"/>
        <v>14.066165310579132</v>
      </c>
      <c r="H503" s="307">
        <f t="shared" ca="1" si="215"/>
        <v>29.703380352553999</v>
      </c>
      <c r="I503" s="304">
        <f t="shared" ca="1" si="216"/>
        <v>32.865602244794339</v>
      </c>
      <c r="J503" s="306">
        <f t="shared" ca="1" si="217"/>
        <v>217.44977684220609</v>
      </c>
      <c r="K503" s="307">
        <f t="shared" ca="1" si="218"/>
        <v>1383.5447788063821</v>
      </c>
      <c r="L503" s="304">
        <f t="shared" ca="1" si="203"/>
        <v>1400.5286717561787</v>
      </c>
      <c r="M503" s="306">
        <f t="shared" ca="1" si="219"/>
        <v>1.1285281624930217</v>
      </c>
      <c r="N503" s="304">
        <f t="shared" ca="1" si="220"/>
        <v>64.659900772504116</v>
      </c>
      <c r="P503" s="310">
        <f t="shared" ca="1" si="221"/>
        <v>23</v>
      </c>
      <c r="Q503" s="304">
        <f t="shared" ca="1" si="222"/>
        <v>0</v>
      </c>
      <c r="R503" s="306">
        <f t="shared" ca="1" si="223"/>
        <v>0</v>
      </c>
      <c r="S503" s="307">
        <f t="shared" ca="1" si="224"/>
        <v>7.9789999999999939</v>
      </c>
      <c r="T503" s="304">
        <f t="shared" ca="1" si="204"/>
        <v>78.273989999999941</v>
      </c>
      <c r="U503" s="311">
        <f t="shared" ca="1" si="205"/>
        <v>0</v>
      </c>
      <c r="V503" s="306">
        <f t="shared" ca="1" si="206"/>
        <v>1.0664816278994484</v>
      </c>
      <c r="W503" s="304">
        <f t="shared" ca="1" si="207"/>
        <v>3.5193211580411199</v>
      </c>
      <c r="Y503" s="314" t="str">
        <f t="shared" ca="1" si="225"/>
        <v/>
      </c>
      <c r="Z503" s="315" t="str">
        <f t="shared" ca="1" si="226"/>
        <v/>
      </c>
      <c r="AA503" s="316" t="str">
        <f t="shared" ca="1" si="227"/>
        <v/>
      </c>
      <c r="AC503" s="310" t="e">
        <f t="shared" ca="1" si="228"/>
        <v>#N/A</v>
      </c>
      <c r="AD503" s="323" t="e">
        <f t="shared" ca="1" si="229"/>
        <v>#N/A</v>
      </c>
      <c r="AE503" s="324">
        <f t="shared" ca="1" si="208"/>
        <v>1383.5447788063821</v>
      </c>
      <c r="AG503" s="306">
        <f t="shared" ca="1" si="230"/>
        <v>-9.38434426576055</v>
      </c>
      <c r="AH503" s="304">
        <f t="shared" ca="1" si="231"/>
        <v>-0.46669257796550406</v>
      </c>
    </row>
    <row r="504" spans="1:34" x14ac:dyDescent="0.2">
      <c r="A504" s="347">
        <f t="shared" ca="1" si="209"/>
        <v>0.1</v>
      </c>
      <c r="B504" s="304">
        <f t="shared" ca="1" si="210"/>
        <v>13.999999999999924</v>
      </c>
      <c r="D504" s="306">
        <f t="shared" ca="1" si="211"/>
        <v>-0.18877503418799202</v>
      </c>
      <c r="E504" s="307">
        <f t="shared" ca="1" si="212"/>
        <v>-10.208634348292147</v>
      </c>
      <c r="F504" s="304">
        <f t="shared" ca="1" si="213"/>
        <v>10.210379585043002</v>
      </c>
      <c r="G504" s="306">
        <f t="shared" ca="1" si="214"/>
        <v>14.047287807160332</v>
      </c>
      <c r="H504" s="307">
        <f t="shared" ca="1" si="215"/>
        <v>28.682516917724783</v>
      </c>
      <c r="I504" s="304">
        <f t="shared" ca="1" si="216"/>
        <v>31.937643486531123</v>
      </c>
      <c r="J504" s="306">
        <f t="shared" ca="1" si="217"/>
        <v>218.85544949809307</v>
      </c>
      <c r="K504" s="307">
        <f t="shared" ca="1" si="218"/>
        <v>1386.4640736698959</v>
      </c>
      <c r="L504" s="304">
        <f t="shared" ca="1" si="203"/>
        <v>1403.6311251010127</v>
      </c>
      <c r="M504" s="306">
        <f t="shared" ca="1" si="219"/>
        <v>1.1153815830231317</v>
      </c>
      <c r="N504" s="304">
        <f t="shared" ca="1" si="220"/>
        <v>63.906657253846078</v>
      </c>
      <c r="P504" s="310">
        <f t="shared" ca="1" si="221"/>
        <v>23</v>
      </c>
      <c r="Q504" s="304">
        <f t="shared" ca="1" si="222"/>
        <v>0</v>
      </c>
      <c r="R504" s="306">
        <f t="shared" ca="1" si="223"/>
        <v>0</v>
      </c>
      <c r="S504" s="307">
        <f t="shared" ca="1" si="224"/>
        <v>7.9789999999999939</v>
      </c>
      <c r="T504" s="304">
        <f t="shared" ca="1" si="204"/>
        <v>78.273989999999941</v>
      </c>
      <c r="U504" s="311">
        <f t="shared" ca="1" si="205"/>
        <v>0</v>
      </c>
      <c r="V504" s="306">
        <f t="shared" ca="1" si="206"/>
        <v>1.0661688361016497</v>
      </c>
      <c r="W504" s="304">
        <f t="shared" ca="1" si="207"/>
        <v>3.3224163372624993</v>
      </c>
      <c r="Y504" s="314" t="str">
        <f t="shared" ca="1" si="225"/>
        <v/>
      </c>
      <c r="Z504" s="315" t="str">
        <f t="shared" ca="1" si="226"/>
        <v/>
      </c>
      <c r="AA504" s="316" t="str">
        <f t="shared" ca="1" si="227"/>
        <v/>
      </c>
      <c r="AC504" s="310">
        <f t="shared" ca="1" si="228"/>
        <v>13.999999999999924</v>
      </c>
      <c r="AD504" s="323">
        <f t="shared" ca="1" si="229"/>
        <v>218.85544949809307</v>
      </c>
      <c r="AE504" s="324">
        <f t="shared" ca="1" si="208"/>
        <v>1386.4640736698959</v>
      </c>
      <c r="AG504" s="306">
        <f t="shared" ca="1" si="230"/>
        <v>-9.3071865072339399</v>
      </c>
      <c r="AH504" s="304">
        <f t="shared" ca="1" si="231"/>
        <v>-0.44107296127849638</v>
      </c>
    </row>
    <row r="505" spans="1:34" x14ac:dyDescent="0.2">
      <c r="A505" s="347">
        <f t="shared" ca="1" si="209"/>
        <v>0.1</v>
      </c>
      <c r="B505" s="304">
        <f t="shared" ca="1" si="210"/>
        <v>14.099999999999923</v>
      </c>
      <c r="D505" s="306">
        <f t="shared" ca="1" si="211"/>
        <v>-0.18314505646128487</v>
      </c>
      <c r="E505" s="307">
        <f t="shared" ca="1" si="212"/>
        <v>-10.183955545900528</v>
      </c>
      <c r="F505" s="304">
        <f t="shared" ca="1" si="213"/>
        <v>10.185602224345123</v>
      </c>
      <c r="G505" s="306">
        <f t="shared" ca="1" si="214"/>
        <v>14.028973301514204</v>
      </c>
      <c r="H505" s="307">
        <f t="shared" ca="1" si="215"/>
        <v>27.664121363134729</v>
      </c>
      <c r="I505" s="304">
        <f t="shared" ca="1" si="216"/>
        <v>31.017989984666087</v>
      </c>
      <c r="J505" s="306">
        <f t="shared" ca="1" si="217"/>
        <v>220.25926255352678</v>
      </c>
      <c r="K505" s="307">
        <f t="shared" ca="1" si="218"/>
        <v>1389.281405583939</v>
      </c>
      <c r="L505" s="304">
        <f t="shared" ca="1" si="203"/>
        <v>1406.6332025947306</v>
      </c>
      <c r="M505" s="306">
        <f t="shared" ca="1" si="219"/>
        <v>1.1014705630188326</v>
      </c>
      <c r="N505" s="304">
        <f t="shared" ca="1" si="220"/>
        <v>63.109614518877684</v>
      </c>
      <c r="P505" s="310">
        <f t="shared" ca="1" si="221"/>
        <v>23</v>
      </c>
      <c r="Q505" s="304">
        <f t="shared" ca="1" si="222"/>
        <v>0</v>
      </c>
      <c r="R505" s="306">
        <f t="shared" ca="1" si="223"/>
        <v>0</v>
      </c>
      <c r="S505" s="307">
        <f t="shared" ca="1" si="224"/>
        <v>7.9789999999999939</v>
      </c>
      <c r="T505" s="304">
        <f t="shared" ca="1" si="204"/>
        <v>78.273989999999941</v>
      </c>
      <c r="U505" s="311">
        <f t="shared" ca="1" si="205"/>
        <v>0</v>
      </c>
      <c r="V505" s="306">
        <f t="shared" ca="1" si="206"/>
        <v>1.0658670502230121</v>
      </c>
      <c r="W505" s="304">
        <f t="shared" ca="1" si="207"/>
        <v>3.1329442874741922</v>
      </c>
      <c r="Y505" s="314" t="str">
        <f t="shared" ca="1" si="225"/>
        <v/>
      </c>
      <c r="Z505" s="315" t="str">
        <f t="shared" ca="1" si="226"/>
        <v/>
      </c>
      <c r="AA505" s="316" t="str">
        <f t="shared" ca="1" si="227"/>
        <v/>
      </c>
      <c r="AC505" s="310" t="e">
        <f t="shared" ca="1" si="228"/>
        <v>#N/A</v>
      </c>
      <c r="AD505" s="323" t="e">
        <f t="shared" ca="1" si="229"/>
        <v>#N/A</v>
      </c>
      <c r="AE505" s="324">
        <f t="shared" ca="1" si="208"/>
        <v>1389.281405583939</v>
      </c>
      <c r="AG505" s="306">
        <f t="shared" ca="1" si="230"/>
        <v>-9.2265469954754344</v>
      </c>
      <c r="AH505" s="304">
        <f t="shared" ca="1" si="231"/>
        <v>-0.41639507924081987</v>
      </c>
    </row>
    <row r="506" spans="1:34" x14ac:dyDescent="0.2">
      <c r="A506" s="347">
        <f t="shared" ca="1" si="209"/>
        <v>0.1</v>
      </c>
      <c r="B506" s="304">
        <f t="shared" ca="1" si="210"/>
        <v>14.199999999999923</v>
      </c>
      <c r="D506" s="306">
        <f t="shared" ca="1" si="211"/>
        <v>-0.17758915639785663</v>
      </c>
      <c r="E506" s="307">
        <f t="shared" ca="1" si="212"/>
        <v>-10.16019298061083</v>
      </c>
      <c r="F506" s="304">
        <f t="shared" ca="1" si="213"/>
        <v>10.161744895032728</v>
      </c>
      <c r="G506" s="306">
        <f t="shared" ca="1" si="214"/>
        <v>14.011214385874419</v>
      </c>
      <c r="H506" s="307">
        <f t="shared" ca="1" si="215"/>
        <v>26.648102065073648</v>
      </c>
      <c r="I506" s="304">
        <f t="shared" ca="1" si="216"/>
        <v>30.107066815575322</v>
      </c>
      <c r="J506" s="306">
        <f t="shared" ca="1" si="217"/>
        <v>221.6612719378962</v>
      </c>
      <c r="K506" s="307">
        <f t="shared" ca="1" si="218"/>
        <v>1391.9970167553495</v>
      </c>
      <c r="L506" s="304">
        <f t="shared" ca="1" si="203"/>
        <v>1409.5351766213282</v>
      </c>
      <c r="M506" s="306">
        <f t="shared" ca="1" si="219"/>
        <v>1.086732903469793</v>
      </c>
      <c r="N506" s="304">
        <f t="shared" ca="1" si="220"/>
        <v>62.265208826817037</v>
      </c>
      <c r="P506" s="310">
        <f t="shared" ca="1" si="221"/>
        <v>23</v>
      </c>
      <c r="Q506" s="304">
        <f t="shared" ca="1" si="222"/>
        <v>0</v>
      </c>
      <c r="R506" s="306">
        <f t="shared" ca="1" si="223"/>
        <v>0</v>
      </c>
      <c r="S506" s="307">
        <f t="shared" ca="1" si="224"/>
        <v>7.9789999999999939</v>
      </c>
      <c r="T506" s="304">
        <f t="shared" ca="1" si="204"/>
        <v>78.273989999999941</v>
      </c>
      <c r="U506" s="311">
        <f t="shared" ca="1" si="205"/>
        <v>0</v>
      </c>
      <c r="V506" s="306">
        <f t="shared" ca="1" si="206"/>
        <v>1.0655762356651692</v>
      </c>
      <c r="W506" s="304">
        <f t="shared" ca="1" si="207"/>
        <v>2.9508270195343407</v>
      </c>
      <c r="Y506" s="314" t="str">
        <f t="shared" ca="1" si="225"/>
        <v/>
      </c>
      <c r="Z506" s="315" t="str">
        <f t="shared" ca="1" si="226"/>
        <v/>
      </c>
      <c r="AA506" s="316" t="str">
        <f t="shared" ca="1" si="227"/>
        <v/>
      </c>
      <c r="AC506" s="310" t="e">
        <f t="shared" ca="1" si="228"/>
        <v>#N/A</v>
      </c>
      <c r="AD506" s="323" t="e">
        <f t="shared" ca="1" si="229"/>
        <v>#N/A</v>
      </c>
      <c r="AE506" s="324">
        <f t="shared" ca="1" si="208"/>
        <v>1391.9970167553495</v>
      </c>
      <c r="AG506" s="306">
        <f t="shared" ca="1" si="230"/>
        <v>-9.1419271642815385</v>
      </c>
      <c r="AH506" s="304">
        <f t="shared" ca="1" si="231"/>
        <v>-0.39264873887381807</v>
      </c>
    </row>
    <row r="507" spans="1:34" x14ac:dyDescent="0.2">
      <c r="A507" s="347">
        <f t="shared" ca="1" si="209"/>
        <v>0.1</v>
      </c>
      <c r="B507" s="304">
        <f t="shared" ca="1" si="210"/>
        <v>14.299999999999923</v>
      </c>
      <c r="D507" s="306">
        <f t="shared" ca="1" si="211"/>
        <v>-0.17210861838265404</v>
      </c>
      <c r="E507" s="307">
        <f t="shared" ca="1" si="212"/>
        <v>-10.13733551158589</v>
      </c>
      <c r="F507" s="304">
        <f t="shared" ca="1" si="213"/>
        <v>10.138796410372484</v>
      </c>
      <c r="G507" s="306">
        <f t="shared" ca="1" si="214"/>
        <v>13.994003524036154</v>
      </c>
      <c r="H507" s="307">
        <f t="shared" ca="1" si="215"/>
        <v>25.63436851391506</v>
      </c>
      <c r="I507" s="304">
        <f t="shared" ca="1" si="216"/>
        <v>29.20535881885268</v>
      </c>
      <c r="J507" s="306">
        <f t="shared" ca="1" si="217"/>
        <v>223.06153283339174</v>
      </c>
      <c r="K507" s="307">
        <f t="shared" ca="1" si="218"/>
        <v>1394.6111402842989</v>
      </c>
      <c r="L507" s="304">
        <f t="shared" ca="1" si="203"/>
        <v>1412.3373109972895</v>
      </c>
      <c r="M507" s="306">
        <f t="shared" ca="1" si="219"/>
        <v>1.0711002938862639</v>
      </c>
      <c r="N507" s="304">
        <f t="shared" ca="1" si="220"/>
        <v>61.369526274905056</v>
      </c>
      <c r="P507" s="310">
        <f t="shared" ca="1" si="221"/>
        <v>23</v>
      </c>
      <c r="Q507" s="304">
        <f t="shared" ca="1" si="222"/>
        <v>0</v>
      </c>
      <c r="R507" s="306">
        <f t="shared" ca="1" si="223"/>
        <v>0</v>
      </c>
      <c r="S507" s="307">
        <f t="shared" ca="1" si="224"/>
        <v>7.9789999999999939</v>
      </c>
      <c r="T507" s="304">
        <f t="shared" ca="1" si="204"/>
        <v>78.273989999999941</v>
      </c>
      <c r="U507" s="311">
        <f t="shared" ca="1" si="205"/>
        <v>0</v>
      </c>
      <c r="V507" s="306">
        <f t="shared" ca="1" si="206"/>
        <v>1.0652963591489177</v>
      </c>
      <c r="W507" s="304">
        <f t="shared" ca="1" si="207"/>
        <v>2.7759898115291559</v>
      </c>
      <c r="Y507" s="314" t="str">
        <f t="shared" ca="1" si="225"/>
        <v/>
      </c>
      <c r="Z507" s="315" t="str">
        <f t="shared" ca="1" si="226"/>
        <v/>
      </c>
      <c r="AA507" s="316" t="str">
        <f t="shared" ca="1" si="227"/>
        <v/>
      </c>
      <c r="AC507" s="310" t="e">
        <f t="shared" ca="1" si="228"/>
        <v>#N/A</v>
      </c>
      <c r="AD507" s="323" t="e">
        <f t="shared" ca="1" si="229"/>
        <v>#N/A</v>
      </c>
      <c r="AE507" s="324">
        <f t="shared" ca="1" si="208"/>
        <v>1394.6111402842989</v>
      </c>
      <c r="AG507" s="306">
        <f t="shared" ca="1" si="230"/>
        <v>-9.0527650468245771</v>
      </c>
      <c r="AH507" s="304">
        <f t="shared" ca="1" si="231"/>
        <v>-0.36982416587722056</v>
      </c>
    </row>
    <row r="508" spans="1:34" x14ac:dyDescent="0.2">
      <c r="A508" s="347">
        <f t="shared" ca="1" si="209"/>
        <v>0.1</v>
      </c>
      <c r="B508" s="304">
        <f t="shared" ca="1" si="210"/>
        <v>14.399999999999922</v>
      </c>
      <c r="D508" s="306">
        <f t="shared" ca="1" si="211"/>
        <v>-0.16670508040281584</v>
      </c>
      <c r="E508" s="307">
        <f t="shared" ca="1" si="212"/>
        <v>-10.115372187226312</v>
      </c>
      <c r="F508" s="304">
        <f t="shared" ca="1" si="213"/>
        <v>10.116745774701652</v>
      </c>
      <c r="G508" s="306">
        <f t="shared" ca="1" si="214"/>
        <v>13.977333015995873</v>
      </c>
      <c r="H508" s="307">
        <f t="shared" ca="1" si="215"/>
        <v>24.62283129519243</v>
      </c>
      <c r="I508" s="304">
        <f t="shared" ca="1" si="216"/>
        <v>28.313418360055994</v>
      </c>
      <c r="J508" s="306">
        <f t="shared" ca="1" si="217"/>
        <v>224.46009966039333</v>
      </c>
      <c r="K508" s="307">
        <f t="shared" ca="1" si="218"/>
        <v>1397.1240002747543</v>
      </c>
      <c r="L508" s="304">
        <f t="shared" ca="1" si="203"/>
        <v>1415.0398610934201</v>
      </c>
      <c r="M508" s="306">
        <f t="shared" ca="1" si="219"/>
        <v>1.0544976946055347</v>
      </c>
      <c r="N508" s="304">
        <f t="shared" ca="1" si="220"/>
        <v>60.41826740717233</v>
      </c>
      <c r="P508" s="310">
        <f t="shared" ca="1" si="221"/>
        <v>23</v>
      </c>
      <c r="Q508" s="304">
        <f t="shared" ca="1" si="222"/>
        <v>0</v>
      </c>
      <c r="R508" s="306">
        <f t="shared" ca="1" si="223"/>
        <v>0</v>
      </c>
      <c r="S508" s="307">
        <f t="shared" ca="1" si="224"/>
        <v>7.9789999999999939</v>
      </c>
      <c r="T508" s="304">
        <f t="shared" ca="1" si="204"/>
        <v>78.273989999999941</v>
      </c>
      <c r="U508" s="311">
        <f t="shared" ca="1" si="205"/>
        <v>0</v>
      </c>
      <c r="V508" s="306">
        <f t="shared" ca="1" si="206"/>
        <v>1.0650273886981636</v>
      </c>
      <c r="W508" s="304">
        <f t="shared" ca="1" si="207"/>
        <v>2.6083611381539002</v>
      </c>
      <c r="Y508" s="314" t="str">
        <f t="shared" ca="1" si="225"/>
        <v/>
      </c>
      <c r="Z508" s="315" t="str">
        <f t="shared" ca="1" si="226"/>
        <v/>
      </c>
      <c r="AA508" s="316" t="str">
        <f t="shared" ca="1" si="227"/>
        <v/>
      </c>
      <c r="AC508" s="310" t="e">
        <f t="shared" ca="1" si="228"/>
        <v>#N/A</v>
      </c>
      <c r="AD508" s="323" t="e">
        <f t="shared" ca="1" si="229"/>
        <v>#N/A</v>
      </c>
      <c r="AE508" s="324">
        <f t="shared" ca="1" si="208"/>
        <v>1397.1240002747543</v>
      </c>
      <c r="AG508" s="306">
        <f t="shared" ca="1" si="230"/>
        <v>-8.9584261370727507</v>
      </c>
      <c r="AH508" s="304">
        <f t="shared" ca="1" si="231"/>
        <v>-0.34791199542914625</v>
      </c>
    </row>
    <row r="509" spans="1:34" x14ac:dyDescent="0.2">
      <c r="A509" s="347">
        <f t="shared" ca="1" si="209"/>
        <v>0.1</v>
      </c>
      <c r="B509" s="304">
        <f t="shared" ca="1" si="210"/>
        <v>14.499999999999922</v>
      </c>
      <c r="D509" s="306">
        <f t="shared" ca="1" si="211"/>
        <v>-0.16138057643022616</v>
      </c>
      <c r="E509" s="307">
        <f t="shared" ca="1" si="212"/>
        <v>-10.094292196745608</v>
      </c>
      <c r="F509" s="304">
        <f t="shared" ca="1" si="213"/>
        <v>10.095582134960233</v>
      </c>
      <c r="G509" s="306">
        <f t="shared" ca="1" si="214"/>
        <v>13.96119495835285</v>
      </c>
      <c r="H509" s="307">
        <f t="shared" ca="1" si="215"/>
        <v>23.613402075517868</v>
      </c>
      <c r="I509" s="304">
        <f t="shared" ca="1" si="216"/>
        <v>27.431874202197861</v>
      </c>
      <c r="J509" s="306">
        <f t="shared" ca="1" si="217"/>
        <v>225.85702605911075</v>
      </c>
      <c r="K509" s="307">
        <f t="shared" ca="1" si="218"/>
        <v>1399.5358119432899</v>
      </c>
      <c r="L509" s="304">
        <f t="shared" ca="1" si="203"/>
        <v>1417.6430739548052</v>
      </c>
      <c r="M509" s="306">
        <f t="shared" ca="1" si="219"/>
        <v>1.0368426794354788</v>
      </c>
      <c r="N509" s="304">
        <f t="shared" ca="1" si="220"/>
        <v>59.406709550688689</v>
      </c>
      <c r="P509" s="310">
        <f t="shared" ca="1" si="221"/>
        <v>23</v>
      </c>
      <c r="Q509" s="304">
        <f t="shared" ca="1" si="222"/>
        <v>0</v>
      </c>
      <c r="R509" s="306">
        <f t="shared" ca="1" si="223"/>
        <v>0</v>
      </c>
      <c r="S509" s="307">
        <f t="shared" ca="1" si="224"/>
        <v>7.9789999999999939</v>
      </c>
      <c r="T509" s="304">
        <f t="shared" ca="1" si="204"/>
        <v>78.273989999999941</v>
      </c>
      <c r="U509" s="311">
        <f t="shared" ca="1" si="205"/>
        <v>0</v>
      </c>
      <c r="V509" s="306">
        <f t="shared" ca="1" si="206"/>
        <v>1.0647692936242394</v>
      </c>
      <c r="W509" s="304">
        <f t="shared" ca="1" si="207"/>
        <v>2.4478726026806044</v>
      </c>
      <c r="Y509" s="314" t="str">
        <f t="shared" ca="1" si="225"/>
        <v/>
      </c>
      <c r="Z509" s="315" t="str">
        <f t="shared" ca="1" si="226"/>
        <v/>
      </c>
      <c r="AA509" s="316" t="str">
        <f t="shared" ca="1" si="227"/>
        <v/>
      </c>
      <c r="AC509" s="310" t="e">
        <f t="shared" ca="1" si="228"/>
        <v>#N/A</v>
      </c>
      <c r="AD509" s="323" t="e">
        <f t="shared" ca="1" si="229"/>
        <v>#N/A</v>
      </c>
      <c r="AE509" s="324">
        <f t="shared" ca="1" si="208"/>
        <v>1399.5358119432899</v>
      </c>
      <c r="AG509" s="306">
        <f t="shared" ca="1" si="230"/>
        <v>-8.8581929837816702</v>
      </c>
      <c r="AH509" s="304">
        <f t="shared" ca="1" si="231"/>
        <v>-0.32690326333549347</v>
      </c>
    </row>
    <row r="510" spans="1:34" x14ac:dyDescent="0.2">
      <c r="A510" s="347">
        <f t="shared" ca="1" si="209"/>
        <v>0.1</v>
      </c>
      <c r="B510" s="304">
        <f t="shared" ca="1" si="210"/>
        <v>14.599999999999921</v>
      </c>
      <c r="D510" s="306">
        <f t="shared" ca="1" si="211"/>
        <v>-0.15613758499078853</v>
      </c>
      <c r="E510" s="307">
        <f t="shared" ca="1" si="212"/>
        <v>-10.074084813978045</v>
      </c>
      <c r="F510" s="304">
        <f t="shared" ca="1" si="213"/>
        <v>10.075294724456938</v>
      </c>
      <c r="G510" s="306">
        <f t="shared" ca="1" si="214"/>
        <v>13.945581199853772</v>
      </c>
      <c r="H510" s="307">
        <f t="shared" ca="1" si="215"/>
        <v>22.605993594120065</v>
      </c>
      <c r="I510" s="304">
        <f t="shared" ca="1" si="216"/>
        <v>26.56144162840399</v>
      </c>
      <c r="J510" s="306">
        <f t="shared" ca="1" si="217"/>
        <v>227.25236486702107</v>
      </c>
      <c r="K510" s="307">
        <f t="shared" ca="1" si="218"/>
        <v>1401.8467817267717</v>
      </c>
      <c r="L510" s="304">
        <f t="shared" ca="1" si="203"/>
        <v>1420.1471884193415</v>
      </c>
      <c r="M510" s="306">
        <f t="shared" ca="1" si="219"/>
        <v>1.018044748339201</v>
      </c>
      <c r="N510" s="304">
        <f t="shared" ca="1" si="220"/>
        <v>58.32966743529424</v>
      </c>
      <c r="P510" s="310">
        <f t="shared" ca="1" si="221"/>
        <v>23</v>
      </c>
      <c r="Q510" s="304">
        <f t="shared" ca="1" si="222"/>
        <v>0</v>
      </c>
      <c r="R510" s="306">
        <f t="shared" ca="1" si="223"/>
        <v>0</v>
      </c>
      <c r="S510" s="307">
        <f t="shared" ca="1" si="224"/>
        <v>7.9789999999999939</v>
      </c>
      <c r="T510" s="304">
        <f t="shared" ca="1" si="204"/>
        <v>78.273989999999941</v>
      </c>
      <c r="U510" s="311">
        <f t="shared" ca="1" si="205"/>
        <v>0</v>
      </c>
      <c r="V510" s="306">
        <f t="shared" ca="1" si="206"/>
        <v>1.0645220445105217</v>
      </c>
      <c r="W510" s="304">
        <f t="shared" ca="1" si="207"/>
        <v>2.2944588712978407</v>
      </c>
      <c r="Y510" s="314" t="str">
        <f t="shared" ca="1" si="225"/>
        <v/>
      </c>
      <c r="Z510" s="315" t="str">
        <f t="shared" ca="1" si="226"/>
        <v/>
      </c>
      <c r="AA510" s="316" t="str">
        <f t="shared" ca="1" si="227"/>
        <v/>
      </c>
      <c r="AC510" s="310" t="e">
        <f t="shared" ca="1" si="228"/>
        <v>#N/A</v>
      </c>
      <c r="AD510" s="323" t="e">
        <f t="shared" ca="1" si="229"/>
        <v>#N/A</v>
      </c>
      <c r="AE510" s="324">
        <f t="shared" ca="1" si="208"/>
        <v>1401.8467817267717</v>
      </c>
      <c r="AG510" s="306">
        <f t="shared" ca="1" si="230"/>
        <v>-8.7512534050801722</v>
      </c>
      <c r="AH510" s="304">
        <f t="shared" ca="1" si="231"/>
        <v>-0.30678939750352252</v>
      </c>
    </row>
    <row r="511" spans="1:34" x14ac:dyDescent="0.2">
      <c r="A511" s="347">
        <f t="shared" ca="1" si="209"/>
        <v>0.1</v>
      </c>
      <c r="B511" s="304">
        <f t="shared" ca="1" si="210"/>
        <v>14.699999999999921</v>
      </c>
      <c r="D511" s="306">
        <f t="shared" ca="1" si="211"/>
        <v>-0.15097908470712648</v>
      </c>
      <c r="E511" s="307">
        <f t="shared" ca="1" si="212"/>
        <v>-10.054739331607864</v>
      </c>
      <c r="F511" s="304">
        <f t="shared" ca="1" si="213"/>
        <v>10.055872797057507</v>
      </c>
      <c r="G511" s="306">
        <f t="shared" ca="1" si="214"/>
        <v>13.930483291383059</v>
      </c>
      <c r="H511" s="307">
        <f t="shared" ca="1" si="215"/>
        <v>21.600519660959279</v>
      </c>
      <c r="I511" s="304">
        <f t="shared" ca="1" si="216"/>
        <v>25.702933963946428</v>
      </c>
      <c r="J511" s="306">
        <f t="shared" ca="1" si="217"/>
        <v>228.64616809158292</v>
      </c>
      <c r="K511" s="307">
        <f t="shared" ca="1" si="218"/>
        <v>1404.0571073895258</v>
      </c>
      <c r="L511" s="304">
        <f t="shared" ca="1" si="203"/>
        <v>1422.5524352353436</v>
      </c>
      <c r="M511" s="306">
        <f t="shared" ca="1" si="219"/>
        <v>0.99800462673292922</v>
      </c>
      <c r="N511" s="304">
        <f t="shared" ca="1" si="220"/>
        <v>57.181453046325935</v>
      </c>
      <c r="P511" s="310">
        <f t="shared" ca="1" si="221"/>
        <v>23</v>
      </c>
      <c r="Q511" s="304">
        <f t="shared" ca="1" si="222"/>
        <v>0</v>
      </c>
      <c r="R511" s="306">
        <f t="shared" ca="1" si="223"/>
        <v>0</v>
      </c>
      <c r="S511" s="307">
        <f t="shared" ca="1" si="224"/>
        <v>7.9789999999999939</v>
      </c>
      <c r="T511" s="304">
        <f t="shared" ca="1" si="204"/>
        <v>78.273989999999941</v>
      </c>
      <c r="U511" s="311">
        <f t="shared" ca="1" si="205"/>
        <v>0</v>
      </c>
      <c r="V511" s="306">
        <f t="shared" ca="1" si="206"/>
        <v>1.064285613197288</v>
      </c>
      <c r="W511" s="304">
        <f t="shared" ca="1" si="207"/>
        <v>2.1480576095897055</v>
      </c>
      <c r="Y511" s="314" t="str">
        <f t="shared" ca="1" si="225"/>
        <v/>
      </c>
      <c r="Z511" s="315" t="str">
        <f t="shared" ca="1" si="226"/>
        <v/>
      </c>
      <c r="AA511" s="316" t="str">
        <f t="shared" ca="1" si="227"/>
        <v/>
      </c>
      <c r="AC511" s="310" t="e">
        <f t="shared" ca="1" si="228"/>
        <v>#N/A</v>
      </c>
      <c r="AD511" s="323" t="e">
        <f t="shared" ca="1" si="229"/>
        <v>#N/A</v>
      </c>
      <c r="AE511" s="324">
        <f t="shared" ca="1" si="208"/>
        <v>1404.0571073895258</v>
      </c>
      <c r="AG511" s="306">
        <f t="shared" ca="1" si="230"/>
        <v>-8.6366872406812778</v>
      </c>
      <c r="AH511" s="304">
        <f t="shared" ca="1" si="231"/>
        <v>-0.28756220971272622</v>
      </c>
    </row>
    <row r="512" spans="1:34" x14ac:dyDescent="0.2">
      <c r="A512" s="347">
        <f t="shared" ca="1" si="209"/>
        <v>0.1</v>
      </c>
      <c r="B512" s="304">
        <f t="shared" ca="1" si="210"/>
        <v>14.799999999999921</v>
      </c>
      <c r="D512" s="306">
        <f t="shared" ca="1" si="211"/>
        <v>-0.14590861763213986</v>
      </c>
      <c r="E512" s="307">
        <f t="shared" ca="1" si="212"/>
        <v>-10.036244983604838</v>
      </c>
      <c r="F512" s="304">
        <f t="shared" ca="1" si="213"/>
        <v>10.037305549580156</v>
      </c>
      <c r="G512" s="306">
        <f t="shared" ca="1" si="214"/>
        <v>13.915892429619845</v>
      </c>
      <c r="H512" s="307">
        <f t="shared" ca="1" si="215"/>
        <v>20.596895162598795</v>
      </c>
      <c r="I512" s="304">
        <f t="shared" ca="1" si="216"/>
        <v>24.857275644201973</v>
      </c>
      <c r="J512" s="306">
        <f t="shared" ca="1" si="217"/>
        <v>230.03848687763306</v>
      </c>
      <c r="K512" s="307">
        <f t="shared" ca="1" si="218"/>
        <v>1406.1669781307037</v>
      </c>
      <c r="L512" s="304">
        <f t="shared" ca="1" si="203"/>
        <v>1424.8590371788312</v>
      </c>
      <c r="M512" s="306">
        <f t="shared" ca="1" si="219"/>
        <v>0.97661357769071888</v>
      </c>
      <c r="N512" s="304">
        <f t="shared" ca="1" si="220"/>
        <v>55.955836216849924</v>
      </c>
      <c r="P512" s="310">
        <f t="shared" ca="1" si="221"/>
        <v>23</v>
      </c>
      <c r="Q512" s="304">
        <f t="shared" ca="1" si="222"/>
        <v>0</v>
      </c>
      <c r="R512" s="306">
        <f t="shared" ca="1" si="223"/>
        <v>0</v>
      </c>
      <c r="S512" s="307">
        <f t="shared" ca="1" si="224"/>
        <v>7.9789999999999939</v>
      </c>
      <c r="T512" s="304">
        <f t="shared" ca="1" si="204"/>
        <v>78.273989999999941</v>
      </c>
      <c r="U512" s="311">
        <f t="shared" ca="1" si="205"/>
        <v>0</v>
      </c>
      <c r="V512" s="306">
        <f t="shared" ca="1" si="206"/>
        <v>1.0640599727667328</v>
      </c>
      <c r="W512" s="304">
        <f t="shared" ca="1" si="207"/>
        <v>2.008609420897546</v>
      </c>
      <c r="Y512" s="314" t="str">
        <f t="shared" ca="1" si="225"/>
        <v/>
      </c>
      <c r="Z512" s="315" t="str">
        <f t="shared" ca="1" si="226"/>
        <v/>
      </c>
      <c r="AA512" s="316" t="str">
        <f t="shared" ca="1" si="227"/>
        <v/>
      </c>
      <c r="AC512" s="310" t="e">
        <f t="shared" ca="1" si="228"/>
        <v>#N/A</v>
      </c>
      <c r="AD512" s="323" t="e">
        <f t="shared" ca="1" si="229"/>
        <v>#N/A</v>
      </c>
      <c r="AE512" s="324">
        <f t="shared" ca="1" si="208"/>
        <v>1406.1669781307037</v>
      </c>
      <c r="AG512" s="306">
        <f t="shared" ca="1" si="230"/>
        <v>-8.5134516144146755</v>
      </c>
      <c r="AH512" s="304">
        <f t="shared" ca="1" si="231"/>
        <v>-0.26921388765380461</v>
      </c>
    </row>
    <row r="513" spans="1:34" x14ac:dyDescent="0.2">
      <c r="A513" s="347">
        <f t="shared" ca="1" si="209"/>
        <v>0.1</v>
      </c>
      <c r="B513" s="304">
        <f t="shared" ca="1" si="210"/>
        <v>14.89999999999992</v>
      </c>
      <c r="D513" s="306">
        <f t="shared" ca="1" si="211"/>
        <v>-0.14093036117974753</v>
      </c>
      <c r="E513" s="307">
        <f t="shared" ca="1" si="212"/>
        <v>-10.018590853164977</v>
      </c>
      <c r="F513" s="304">
        <f t="shared" ca="1" si="213"/>
        <v>10.019582029696807</v>
      </c>
      <c r="G513" s="306">
        <f t="shared" ca="1" si="214"/>
        <v>13.90179939350187</v>
      </c>
      <c r="H513" s="307">
        <f t="shared" ca="1" si="215"/>
        <v>19.595036077282298</v>
      </c>
      <c r="I513" s="304">
        <f t="shared" ca="1" si="216"/>
        <v>24.025516961080438</v>
      </c>
      <c r="J513" s="306">
        <f t="shared" ca="1" si="217"/>
        <v>231.42937146878916</v>
      </c>
      <c r="K513" s="307">
        <f t="shared" ca="1" si="218"/>
        <v>1408.1765746926978</v>
      </c>
      <c r="L513" s="304">
        <f t="shared" ca="1" si="203"/>
        <v>1427.0672091712072</v>
      </c>
      <c r="M513" s="306">
        <f t="shared" ca="1" si="219"/>
        <v>0.95375276686946298</v>
      </c>
      <c r="N513" s="304">
        <f t="shared" ca="1" si="220"/>
        <v>54.646008240544958</v>
      </c>
      <c r="P513" s="310">
        <f t="shared" ca="1" si="221"/>
        <v>23</v>
      </c>
      <c r="Q513" s="304">
        <f t="shared" ca="1" si="222"/>
        <v>0</v>
      </c>
      <c r="R513" s="306">
        <f t="shared" ca="1" si="223"/>
        <v>0</v>
      </c>
      <c r="S513" s="307">
        <f t="shared" ca="1" si="224"/>
        <v>7.9789999999999939</v>
      </c>
      <c r="T513" s="304">
        <f t="shared" ca="1" si="204"/>
        <v>78.273989999999941</v>
      </c>
      <c r="U513" s="311">
        <f t="shared" ca="1" si="205"/>
        <v>0</v>
      </c>
      <c r="V513" s="306">
        <f t="shared" ca="1" si="206"/>
        <v>1.0638450975280396</v>
      </c>
      <c r="W513" s="304">
        <f t="shared" ca="1" si="207"/>
        <v>1.8760577862776842</v>
      </c>
      <c r="Y513" s="314" t="str">
        <f t="shared" ca="1" si="225"/>
        <v/>
      </c>
      <c r="Z513" s="315" t="str">
        <f t="shared" ca="1" si="226"/>
        <v/>
      </c>
      <c r="AA513" s="316" t="str">
        <f t="shared" ca="1" si="227"/>
        <v/>
      </c>
      <c r="AC513" s="310" t="e">
        <f t="shared" ca="1" si="228"/>
        <v>#N/A</v>
      </c>
      <c r="AD513" s="323" t="e">
        <f t="shared" ca="1" si="229"/>
        <v>#N/A</v>
      </c>
      <c r="AE513" s="324">
        <f t="shared" ca="1" si="208"/>
        <v>1408.1765746926978</v>
      </c>
      <c r="AG513" s="306">
        <f t="shared" ca="1" si="230"/>
        <v>-8.3803647755921578</v>
      </c>
      <c r="AH513" s="304">
        <f t="shared" ca="1" si="231"/>
        <v>-0.25173698720360288</v>
      </c>
    </row>
    <row r="514" spans="1:34" x14ac:dyDescent="0.2">
      <c r="A514" s="347">
        <f t="shared" ca="1" si="209"/>
        <v>0.1</v>
      </c>
      <c r="B514" s="304">
        <f t="shared" ca="1" si="210"/>
        <v>14.99999999999992</v>
      </c>
      <c r="D514" s="306">
        <f t="shared" ca="1" si="211"/>
        <v>-0.13604920937885714</v>
      </c>
      <c r="E514" s="307">
        <f t="shared" ca="1" si="212"/>
        <v>-10.00176576287747</v>
      </c>
      <c r="F514" s="304">
        <f t="shared" ca="1" si="213"/>
        <v>10.002691026060965</v>
      </c>
      <c r="G514" s="306">
        <f t="shared" ca="1" si="214"/>
        <v>13.888194472563985</v>
      </c>
      <c r="H514" s="307">
        <f t="shared" ca="1" si="215"/>
        <v>18.594859500994552</v>
      </c>
      <c r="I514" s="304">
        <f t="shared" ca="1" si="216"/>
        <v>23.20885058699556</v>
      </c>
      <c r="J514" s="306">
        <f t="shared" ca="1" si="217"/>
        <v>232.81887116209245</v>
      </c>
      <c r="K514" s="307">
        <f t="shared" ca="1" si="218"/>
        <v>1410.0860694716116</v>
      </c>
      <c r="L514" s="304">
        <f t="shared" ca="1" si="203"/>
        <v>1429.1771583981777</v>
      </c>
      <c r="M514" s="306">
        <f t="shared" ca="1" si="219"/>
        <v>0.9292927384389964</v>
      </c>
      <c r="N514" s="304">
        <f t="shared" ca="1" si="220"/>
        <v>53.244551844709221</v>
      </c>
      <c r="P514" s="310">
        <f t="shared" ca="1" si="221"/>
        <v>23</v>
      </c>
      <c r="Q514" s="304">
        <f t="shared" ca="1" si="222"/>
        <v>0</v>
      </c>
      <c r="R514" s="306">
        <f t="shared" ca="1" si="223"/>
        <v>0</v>
      </c>
      <c r="S514" s="307">
        <f t="shared" ca="1" si="224"/>
        <v>7.9789999999999939</v>
      </c>
      <c r="T514" s="304">
        <f t="shared" ca="1" si="204"/>
        <v>78.273989999999941</v>
      </c>
      <c r="U514" s="311">
        <f t="shared" ca="1" si="205"/>
        <v>0</v>
      </c>
      <c r="V514" s="306">
        <f t="shared" ca="1" si="206"/>
        <v>1.0636409630024106</v>
      </c>
      <c r="W514" s="304">
        <f t="shared" ca="1" si="207"/>
        <v>1.7503490057302586</v>
      </c>
      <c r="Y514" s="314" t="str">
        <f t="shared" ca="1" si="225"/>
        <v/>
      </c>
      <c r="Z514" s="315" t="str">
        <f t="shared" ca="1" si="226"/>
        <v/>
      </c>
      <c r="AA514" s="316" t="str">
        <f t="shared" ca="1" si="227"/>
        <v/>
      </c>
      <c r="AC514" s="310">
        <f t="shared" ca="1" si="228"/>
        <v>14.99999999999992</v>
      </c>
      <c r="AD514" s="323">
        <f t="shared" ca="1" si="229"/>
        <v>232.81887116209245</v>
      </c>
      <c r="AE514" s="324">
        <f t="shared" ca="1" si="208"/>
        <v>1410.0860694716116</v>
      </c>
      <c r="AG514" s="306">
        <f t="shared" ca="1" si="230"/>
        <v>-8.2360887425267606</v>
      </c>
      <c r="AH514" s="304">
        <f t="shared" ca="1" si="231"/>
        <v>-0.2351244249000734</v>
      </c>
    </row>
    <row r="515" spans="1:34" x14ac:dyDescent="0.2">
      <c r="A515" s="347">
        <f t="shared" ca="1" si="209"/>
        <v>0.1</v>
      </c>
      <c r="B515" s="304">
        <f t="shared" ca="1" si="210"/>
        <v>15.09999999999992</v>
      </c>
      <c r="D515" s="306">
        <f t="shared" ca="1" si="211"/>
        <v>-0.13127086398744697</v>
      </c>
      <c r="E515" s="307">
        <f t="shared" ca="1" si="212"/>
        <v>-9.9857581431656115</v>
      </c>
      <c r="F515" s="304">
        <f t="shared" ca="1" si="213"/>
        <v>9.9866209367097909</v>
      </c>
      <c r="G515" s="306">
        <f t="shared" ca="1" si="214"/>
        <v>13.87506738616524</v>
      </c>
      <c r="H515" s="307">
        <f t="shared" ca="1" si="215"/>
        <v>17.596283686677992</v>
      </c>
      <c r="I515" s="304">
        <f t="shared" ca="1" si="216"/>
        <v>22.408629912439455</v>
      </c>
      <c r="J515" s="306">
        <f t="shared" ca="1" si="217"/>
        <v>234.2070342550289</v>
      </c>
      <c r="K515" s="307">
        <f t="shared" ca="1" si="218"/>
        <v>1411.8956266309951</v>
      </c>
      <c r="L515" s="304">
        <f t="shared" ca="1" si="203"/>
        <v>1431.189084430938</v>
      </c>
      <c r="M515" s="306">
        <f t="shared" ca="1" si="219"/>
        <v>0.9030930850511647</v>
      </c>
      <c r="N515" s="304">
        <f t="shared" ca="1" si="220"/>
        <v>51.743422280880836</v>
      </c>
      <c r="P515" s="310">
        <f t="shared" ca="1" si="221"/>
        <v>23</v>
      </c>
      <c r="Q515" s="304">
        <f t="shared" ca="1" si="222"/>
        <v>0</v>
      </c>
      <c r="R515" s="306">
        <f t="shared" ca="1" si="223"/>
        <v>0</v>
      </c>
      <c r="S515" s="307">
        <f t="shared" ca="1" si="224"/>
        <v>7.9789999999999939</v>
      </c>
      <c r="T515" s="304">
        <f t="shared" ca="1" si="204"/>
        <v>78.273989999999941</v>
      </c>
      <c r="U515" s="311">
        <f t="shared" ca="1" si="205"/>
        <v>0</v>
      </c>
      <c r="V515" s="306">
        <f t="shared" ca="1" si="206"/>
        <v>1.0634475459079098</v>
      </c>
      <c r="W515" s="304">
        <f t="shared" ca="1" si="207"/>
        <v>1.6314321403264362</v>
      </c>
      <c r="Y515" s="314" t="str">
        <f t="shared" ca="1" si="225"/>
        <v/>
      </c>
      <c r="Z515" s="315" t="str">
        <f t="shared" ca="1" si="226"/>
        <v/>
      </c>
      <c r="AA515" s="316" t="str">
        <f t="shared" ca="1" si="227"/>
        <v/>
      </c>
      <c r="AC515" s="310" t="e">
        <f t="shared" ca="1" si="228"/>
        <v>#N/A</v>
      </c>
      <c r="AD515" s="323" t="e">
        <f t="shared" ca="1" si="229"/>
        <v>#N/A</v>
      </c>
      <c r="AE515" s="324">
        <f t="shared" ca="1" si="208"/>
        <v>1411.8956266309951</v>
      </c>
      <c r="AG515" s="306">
        <f t="shared" ca="1" si="230"/>
        <v>-8.0791112109524388</v>
      </c>
      <c r="AH515" s="304">
        <f t="shared" ca="1" si="231"/>
        <v>-0.21936947057654593</v>
      </c>
    </row>
    <row r="516" spans="1:34" x14ac:dyDescent="0.2">
      <c r="A516" s="347">
        <f t="shared" ca="1" si="209"/>
        <v>0.1</v>
      </c>
      <c r="B516" s="304">
        <f t="shared" ca="1" si="210"/>
        <v>15.199999999999919</v>
      </c>
      <c r="D516" s="306">
        <f t="shared" ca="1" si="211"/>
        <v>-0.1266019356495317</v>
      </c>
      <c r="E516" s="307">
        <f t="shared" ca="1" si="212"/>
        <v>-9.9705558742866334</v>
      </c>
      <c r="F516" s="304">
        <f t="shared" ca="1" si="213"/>
        <v>9.9713596110250631</v>
      </c>
      <c r="G516" s="306">
        <f t="shared" ca="1" si="214"/>
        <v>13.862407192600287</v>
      </c>
      <c r="H516" s="307">
        <f t="shared" ca="1" si="215"/>
        <v>16.599228099249331</v>
      </c>
      <c r="I516" s="304">
        <f t="shared" ca="1" si="216"/>
        <v>21.626389126813674</v>
      </c>
      <c r="J516" s="306">
        <f t="shared" ca="1" si="217"/>
        <v>235.59390798396717</v>
      </c>
      <c r="K516" s="307">
        <f t="shared" ca="1" si="218"/>
        <v>1413.6054022202916</v>
      </c>
      <c r="L516" s="304">
        <f t="shared" ref="L516:L579" ca="1" si="232">SQRT(pos_x^2+pos_z^2)</f>
        <v>1433.1031793508625</v>
      </c>
      <c r="M516" s="306">
        <f t="shared" ca="1" si="219"/>
        <v>0.87500242729031563</v>
      </c>
      <c r="N516" s="304">
        <f t="shared" ca="1" si="220"/>
        <v>50.133946147437769</v>
      </c>
      <c r="P516" s="310">
        <f t="shared" ca="1" si="221"/>
        <v>23</v>
      </c>
      <c r="Q516" s="304">
        <f t="shared" ca="1" si="222"/>
        <v>0</v>
      </c>
      <c r="R516" s="306">
        <f t="shared" ca="1" si="223"/>
        <v>0</v>
      </c>
      <c r="S516" s="307">
        <f t="shared" ca="1" si="224"/>
        <v>7.9789999999999939</v>
      </c>
      <c r="T516" s="304">
        <f t="shared" ref="T516:T579" ca="1" si="233">m*g</f>
        <v>78.273989999999941</v>
      </c>
      <c r="U516" s="311">
        <f t="shared" ref="U516:U579" ca="1" si="234">IF(pos_xz&lt;L_rampe,Poids*COS(Beta),0)</f>
        <v>0</v>
      </c>
      <c r="V516" s="306">
        <f t="shared" ref="V516:V579" ca="1" si="235">Rho_moyen*(20000-Alt_rampe-pos_z)/(20000+Alt_rampe+pos_z)</f>
        <v>1.0632648241439708</v>
      </c>
      <c r="W516" s="304">
        <f t="shared" ref="W516:W579" ca="1" si="236">1/2*Rho*Sref*Cx*vit_xz^2</f>
        <v>1.5192589548020139</v>
      </c>
      <c r="Y516" s="314" t="str">
        <f t="shared" ca="1" si="225"/>
        <v/>
      </c>
      <c r="Z516" s="315" t="str">
        <f t="shared" ca="1" si="226"/>
        <v/>
      </c>
      <c r="AA516" s="316" t="str">
        <f t="shared" ca="1" si="227"/>
        <v/>
      </c>
      <c r="AC516" s="310" t="e">
        <f t="shared" ca="1" si="228"/>
        <v>#N/A</v>
      </c>
      <c r="AD516" s="323" t="e">
        <f t="shared" ca="1" si="229"/>
        <v>#N/A</v>
      </c>
      <c r="AE516" s="324">
        <f t="shared" ref="AE516:AE579" ca="1" si="237">IF(t&lt;T_para, pos_z, NA())</f>
        <v>1413.6054022202916</v>
      </c>
      <c r="AG516" s="306">
        <f t="shared" ca="1" si="230"/>
        <v>-7.9077275477609481</v>
      </c>
      <c r="AH516" s="304">
        <f t="shared" ca="1" si="231"/>
        <v>-0.20446574010858973</v>
      </c>
    </row>
    <row r="517" spans="1:34" x14ac:dyDescent="0.2">
      <c r="A517" s="347">
        <f t="shared" ref="A517:A580" ca="1" si="238">IF(B516+0.01&lt;=T_ini+ROUNDUP(Temps_fin_propu,0), 0.01, IF(K516&gt;0, 0.1, 0.0001))</f>
        <v>0.1</v>
      </c>
      <c r="B517" s="304">
        <f t="shared" ref="B517:B580" ca="1" si="239">B516+pas</f>
        <v>15.299999999999919</v>
      </c>
      <c r="D517" s="306">
        <f t="shared" ref="D517:D580" ca="1" si="240">IF(AND(L516&lt;L_rampe,Poussee&lt;Poids*SIN(M516)),0,(-W516+Poussee)/m*COS(M516)-U516/m*SIN(M516))</f>
        <v>-0.12205005468165711</v>
      </c>
      <c r="E517" s="307">
        <f t="shared" ref="E517:E580" ca="1" si="241">IF(AND(L516&lt;L_rampe,Poussee&lt;Poids*SIN(M516)),0,(-W516+Poussee)/m*SIN(M516)+U516/m*COS(M516)-Poids/m)</f>
        <v>-9.9561460963481245</v>
      </c>
      <c r="F517" s="304">
        <f t="shared" ref="F517:F580" ca="1" si="242">SQRT(acc_x^2+acc_z^2)</f>
        <v>9.9568941597104352</v>
      </c>
      <c r="G517" s="306">
        <f t="shared" ref="G517:G580" ca="1" si="243">G516+acc_x*pas</f>
        <v>13.850202187132121</v>
      </c>
      <c r="H517" s="307">
        <f t="shared" ref="H517:H580" ca="1" si="244">H516+acc_z*pas</f>
        <v>15.603613489614519</v>
      </c>
      <c r="I517" s="304">
        <f t="shared" ref="I517:I580" ca="1" si="245">SQRT(vit_x^2+vit_z^2)</f>
        <v>20.863864803955178</v>
      </c>
      <c r="J517" s="306">
        <f t="shared" ref="J517:J580" ca="1" si="246">J516+0.5*(vit_x+G516)*pas*(K516&gt;=0)</f>
        <v>236.97953845295379</v>
      </c>
      <c r="K517" s="307">
        <f t="shared" ref="K517:K580" ca="1" si="247">K516+0.5*(vit_z+H516)*pas</f>
        <v>1415.2155442997348</v>
      </c>
      <c r="L517" s="304">
        <f t="shared" ca="1" si="232"/>
        <v>1434.9196278791958</v>
      </c>
      <c r="M517" s="306">
        <f t="shared" ref="M517:M580" ca="1" si="248">IF(AND(L516&gt;L_rampe,G517&gt;0),ATAN2(G517,H517),$M$4)</f>
        <v>0.84485885928117022</v>
      </c>
      <c r="N517" s="304">
        <f t="shared" ref="N517:N580" ca="1" si="249">DEGREES(Beta)</f>
        <v>48.406846921048171</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7.9789999999999939</v>
      </c>
      <c r="T517" s="304">
        <f t="shared" ca="1" si="233"/>
        <v>78.273989999999941</v>
      </c>
      <c r="U517" s="311">
        <f t="shared" ca="1" si="234"/>
        <v>0</v>
      </c>
      <c r="V517" s="306">
        <f t="shared" ca="1" si="235"/>
        <v>1.0630927767753771</v>
      </c>
      <c r="W517" s="304">
        <f t="shared" ca="1" si="236"/>
        <v>1.4137838601126784</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f t="shared" ca="1" si="237"/>
        <v>1415.2155442997348</v>
      </c>
      <c r="AG517" s="306">
        <f t="shared" ref="AG517:AG580" ca="1" si="259">IF(AND(L516&lt;L_rampe,Poussee&lt;Poids*SIN(M516)),0,(-W516+Poussee)/m-Poids*SIN(M516)/m)</f>
        <v>-7.7200242083689954</v>
      </c>
      <c r="AH517" s="304">
        <f t="shared" ref="AH517:AH580" ca="1" si="260">IF(AND(L516&lt;L_rampe,Poussee&lt;Poids*SIN(M516)), g*SIN(M516), (-W516+Poussee)/m)</f>
        <v>-0.19040718821932762</v>
      </c>
    </row>
    <row r="518" spans="1:34" x14ac:dyDescent="0.2">
      <c r="A518" s="347">
        <f t="shared" ca="1" si="238"/>
        <v>0.1</v>
      </c>
      <c r="B518" s="304">
        <f t="shared" ca="1" si="239"/>
        <v>15.399999999999919</v>
      </c>
      <c r="D518" s="306">
        <f t="shared" ca="1" si="240"/>
        <v>-0.11762399013513812</v>
      </c>
      <c r="E518" s="307">
        <f t="shared" ca="1" si="241"/>
        <v>-9.9425149809639688</v>
      </c>
      <c r="F518" s="304">
        <f t="shared" ca="1" si="242"/>
        <v>9.9432107264076546</v>
      </c>
      <c r="G518" s="306">
        <f t="shared" ca="1" si="243"/>
        <v>13.838439788118608</v>
      </c>
      <c r="H518" s="307">
        <f t="shared" ca="1" si="244"/>
        <v>14.609361991518123</v>
      </c>
      <c r="I518" s="304">
        <f t="shared" ca="1" si="245"/>
        <v>20.12301850042877</v>
      </c>
      <c r="J518" s="306">
        <f t="shared" ca="1" si="246"/>
        <v>238.36397055171633</v>
      </c>
      <c r="K518" s="307">
        <f t="shared" ca="1" si="247"/>
        <v>1416.7261930737914</v>
      </c>
      <c r="L518" s="304">
        <f t="shared" ca="1" si="232"/>
        <v>1436.6386075135727</v>
      </c>
      <c r="M518" s="306">
        <f t="shared" ca="1" si="248"/>
        <v>0.81249106760954803</v>
      </c>
      <c r="N518" s="304">
        <f t="shared" ca="1" si="249"/>
        <v>46.552309066105529</v>
      </c>
      <c r="P518" s="310">
        <f t="shared" ca="1" si="250"/>
        <v>23</v>
      </c>
      <c r="Q518" s="304">
        <f t="shared" ca="1" si="251"/>
        <v>0</v>
      </c>
      <c r="R518" s="306">
        <f t="shared" ca="1" si="252"/>
        <v>0</v>
      </c>
      <c r="S518" s="307">
        <f t="shared" ca="1" si="253"/>
        <v>7.9789999999999939</v>
      </c>
      <c r="T518" s="304">
        <f t="shared" ca="1" si="233"/>
        <v>78.273989999999941</v>
      </c>
      <c r="U518" s="311">
        <f t="shared" ca="1" si="234"/>
        <v>0</v>
      </c>
      <c r="V518" s="306">
        <f t="shared" ca="1" si="235"/>
        <v>1.0629313840154846</v>
      </c>
      <c r="W518" s="304">
        <f t="shared" ca="1" si="236"/>
        <v>1.314963855357743</v>
      </c>
      <c r="Y518" s="314" t="str">
        <f t="shared" ca="1" si="254"/>
        <v/>
      </c>
      <c r="Z518" s="315" t="str">
        <f t="shared" ca="1" si="255"/>
        <v/>
      </c>
      <c r="AA518" s="316" t="str">
        <f t="shared" ca="1" si="256"/>
        <v/>
      </c>
      <c r="AC518" s="310" t="e">
        <f t="shared" ca="1" si="257"/>
        <v>#N/A</v>
      </c>
      <c r="AD518" s="323" t="e">
        <f t="shared" ca="1" si="258"/>
        <v>#N/A</v>
      </c>
      <c r="AE518" s="324">
        <f t="shared" ca="1" si="237"/>
        <v>1416.7261930737914</v>
      </c>
      <c r="AG518" s="306">
        <f t="shared" ca="1" si="259"/>
        <v>-7.5138656426384651</v>
      </c>
      <c r="AH518" s="304">
        <f t="shared" ca="1" si="260"/>
        <v>-0.1771881012799448</v>
      </c>
    </row>
    <row r="519" spans="1:34" x14ac:dyDescent="0.2">
      <c r="A519" s="347">
        <f t="shared" ca="1" si="238"/>
        <v>0.1</v>
      </c>
      <c r="B519" s="304">
        <f t="shared" ca="1" si="239"/>
        <v>15.499999999999918</v>
      </c>
      <c r="D519" s="306">
        <f t="shared" ca="1" si="240"/>
        <v>-0.11333377436600649</v>
      </c>
      <c r="E519" s="307">
        <f t="shared" ca="1" si="241"/>
        <v>-9.9296474574395024</v>
      </c>
      <c r="F519" s="304">
        <f t="shared" ca="1" si="242"/>
        <v>9.9302942138411403</v>
      </c>
      <c r="G519" s="306">
        <f t="shared" ca="1" si="243"/>
        <v>13.827106410682008</v>
      </c>
      <c r="H519" s="307">
        <f t="shared" ca="1" si="244"/>
        <v>13.616397245774172</v>
      </c>
      <c r="I519" s="304">
        <f t="shared" ca="1" si="245"/>
        <v>19.406059508489868</v>
      </c>
      <c r="J519" s="306">
        <f t="shared" ca="1" si="246"/>
        <v>239.74724786165638</v>
      </c>
      <c r="K519" s="307">
        <f t="shared" ca="1" si="247"/>
        <v>1418.137481035656</v>
      </c>
      <c r="L519" s="304">
        <f t="shared" ca="1" si="232"/>
        <v>1438.2602886735747</v>
      </c>
      <c r="M519" s="306">
        <f t="shared" ca="1" si="248"/>
        <v>0.77772038918831776</v>
      </c>
      <c r="N519" s="304">
        <f t="shared" ca="1" si="249"/>
        <v>44.560095941762427</v>
      </c>
      <c r="P519" s="310">
        <f t="shared" ca="1" si="250"/>
        <v>23</v>
      </c>
      <c r="Q519" s="304">
        <f t="shared" ca="1" si="251"/>
        <v>0</v>
      </c>
      <c r="R519" s="306">
        <f t="shared" ca="1" si="252"/>
        <v>0</v>
      </c>
      <c r="S519" s="307">
        <f t="shared" ca="1" si="253"/>
        <v>7.9789999999999939</v>
      </c>
      <c r="T519" s="304">
        <f t="shared" ca="1" si="233"/>
        <v>78.273989999999941</v>
      </c>
      <c r="U519" s="311">
        <f t="shared" ca="1" si="234"/>
        <v>0</v>
      </c>
      <c r="V519" s="306">
        <f t="shared" ca="1" si="235"/>
        <v>1.0627806272084237</v>
      </c>
      <c r="W519" s="304">
        <f t="shared" ca="1" si="236"/>
        <v>1.2227584683731798</v>
      </c>
      <c r="Y519" s="314" t="str">
        <f t="shared" ca="1" si="254"/>
        <v/>
      </c>
      <c r="Z519" s="315" t="str">
        <f t="shared" ca="1" si="255"/>
        <v/>
      </c>
      <c r="AA519" s="316" t="str">
        <f t="shared" ca="1" si="256"/>
        <v/>
      </c>
      <c r="AC519" s="310" t="e">
        <f t="shared" ca="1" si="257"/>
        <v>#N/A</v>
      </c>
      <c r="AD519" s="323" t="e">
        <f t="shared" ca="1" si="258"/>
        <v>#N/A</v>
      </c>
      <c r="AE519" s="324">
        <f t="shared" ca="1" si="237"/>
        <v>1418.137481035656</v>
      </c>
      <c r="AG519" s="306">
        <f t="shared" ca="1" si="259"/>
        <v>-7.2868877382034425</v>
      </c>
      <c r="AH519" s="304">
        <f t="shared" ca="1" si="260"/>
        <v>-0.16480309003104951</v>
      </c>
    </row>
    <row r="520" spans="1:34" x14ac:dyDescent="0.2">
      <c r="A520" s="347">
        <f t="shared" ca="1" si="238"/>
        <v>0.1</v>
      </c>
      <c r="B520" s="304">
        <f t="shared" ca="1" si="239"/>
        <v>15.599999999999918</v>
      </c>
      <c r="D520" s="306">
        <f t="shared" ca="1" si="240"/>
        <v>-0.10919082830346755</v>
      </c>
      <c r="E520" s="307">
        <f t="shared" ca="1" si="241"/>
        <v>-9.917526885930851</v>
      </c>
      <c r="F520" s="304">
        <f t="shared" ca="1" si="242"/>
        <v>9.9181279569355674</v>
      </c>
      <c r="G520" s="306">
        <f t="shared" ca="1" si="243"/>
        <v>13.816187327851662</v>
      </c>
      <c r="H520" s="307">
        <f t="shared" ca="1" si="244"/>
        <v>12.624644557181087</v>
      </c>
      <c r="I520" s="304">
        <f t="shared" ca="1" si="245"/>
        <v>18.71546639743319</v>
      </c>
      <c r="J520" s="306">
        <f t="shared" ca="1" si="246"/>
        <v>241.12941254858305</v>
      </c>
      <c r="K520" s="307">
        <f t="shared" ca="1" si="247"/>
        <v>1419.4495331258038</v>
      </c>
      <c r="L520" s="304">
        <f t="shared" ca="1" si="232"/>
        <v>1439.784834858003</v>
      </c>
      <c r="M520" s="306">
        <f t="shared" ca="1" si="248"/>
        <v>0.74036413577200799</v>
      </c>
      <c r="N520" s="304">
        <f t="shared" ca="1" si="249"/>
        <v>42.419740282586716</v>
      </c>
      <c r="P520" s="310">
        <f t="shared" ca="1" si="250"/>
        <v>23</v>
      </c>
      <c r="Q520" s="304">
        <f t="shared" ca="1" si="251"/>
        <v>0</v>
      </c>
      <c r="R520" s="306">
        <f t="shared" ca="1" si="252"/>
        <v>0</v>
      </c>
      <c r="S520" s="307">
        <f t="shared" ca="1" si="253"/>
        <v>7.9789999999999939</v>
      </c>
      <c r="T520" s="304">
        <f t="shared" ca="1" si="233"/>
        <v>78.273989999999941</v>
      </c>
      <c r="U520" s="311">
        <f t="shared" ca="1" si="234"/>
        <v>0</v>
      </c>
      <c r="V520" s="306">
        <f t="shared" ca="1" si="235"/>
        <v>1.0626404888099514</v>
      </c>
      <c r="W520" s="304">
        <f t="shared" ca="1" si="236"/>
        <v>1.1371296941695581</v>
      </c>
      <c r="Y520" s="314" t="str">
        <f t="shared" ca="1" si="254"/>
        <v/>
      </c>
      <c r="Z520" s="315" t="str">
        <f t="shared" ca="1" si="255"/>
        <v>Para</v>
      </c>
      <c r="AA520" s="316" t="str">
        <f t="shared" ca="1" si="256"/>
        <v/>
      </c>
      <c r="AC520" s="310" t="e">
        <f t="shared" ca="1" si="257"/>
        <v>#N/A</v>
      </c>
      <c r="AD520" s="323" t="e">
        <f t="shared" ca="1" si="258"/>
        <v>#N/A</v>
      </c>
      <c r="AE520" s="324">
        <f t="shared" ca="1" si="237"/>
        <v>1419.4495331258038</v>
      </c>
      <c r="AG520" s="306">
        <f t="shared" ca="1" si="259"/>
        <v>-7.0365021253677877</v>
      </c>
      <c r="AH520" s="304">
        <f t="shared" ca="1" si="260"/>
        <v>-0.15324708213725791</v>
      </c>
    </row>
    <row r="521" spans="1:34" x14ac:dyDescent="0.2">
      <c r="A521" s="347">
        <f t="shared" ca="1" si="238"/>
        <v>0.1</v>
      </c>
      <c r="B521" s="304">
        <f t="shared" ca="1" si="239"/>
        <v>15.699999999999918</v>
      </c>
      <c r="D521" s="306">
        <f t="shared" ca="1" si="240"/>
        <v>-0.10520807977825819</v>
      </c>
      <c r="E521" s="307">
        <f t="shared" ca="1" si="241"/>
        <v>-9.906134670168127</v>
      </c>
      <c r="F521" s="304">
        <f t="shared" ca="1" si="242"/>
        <v>9.9066933354958362</v>
      </c>
      <c r="G521" s="306">
        <f t="shared" ca="1" si="243"/>
        <v>13.805666519873835</v>
      </c>
      <c r="H521" s="307">
        <f t="shared" ca="1" si="244"/>
        <v>11.634031090164275</v>
      </c>
      <c r="I521" s="304">
        <f t="shared" ca="1" si="245"/>
        <v>18.05400530256027</v>
      </c>
      <c r="J521" s="306">
        <f t="shared" ca="1" si="246"/>
        <v>242.51050524096931</v>
      </c>
      <c r="K521" s="307">
        <f t="shared" ca="1" si="247"/>
        <v>1420.6624669081712</v>
      </c>
      <c r="L521" s="304">
        <f t="shared" ca="1" si="232"/>
        <v>1441.2124028171006</v>
      </c>
      <c r="M521" s="306">
        <f t="shared" ca="1" si="248"/>
        <v>0.70024056876566432</v>
      </c>
      <c r="N521" s="304">
        <f t="shared" ca="1" si="249"/>
        <v>40.120829234112861</v>
      </c>
      <c r="P521" s="310">
        <f t="shared" ca="1" si="250"/>
        <v>23</v>
      </c>
      <c r="Q521" s="304">
        <f t="shared" ca="1" si="251"/>
        <v>0</v>
      </c>
      <c r="R521" s="306">
        <f t="shared" ca="1" si="252"/>
        <v>0</v>
      </c>
      <c r="S521" s="307">
        <f t="shared" ca="1" si="253"/>
        <v>7.9789999999999939</v>
      </c>
      <c r="T521" s="304">
        <f t="shared" ca="1" si="233"/>
        <v>78.273989999999941</v>
      </c>
      <c r="U521" s="311">
        <f t="shared" ca="1" si="234"/>
        <v>0</v>
      </c>
      <c r="V521" s="306">
        <f t="shared" ca="1" si="235"/>
        <v>1.0625109523665721</v>
      </c>
      <c r="W521" s="304">
        <f t="shared" ca="1" si="236"/>
        <v>1.0580419302459905</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-6.7599172255954185</v>
      </c>
      <c r="AH521" s="304">
        <f t="shared" ca="1" si="260"/>
        <v>-0.14251531447168303</v>
      </c>
    </row>
    <row r="522" spans="1:34" x14ac:dyDescent="0.2">
      <c r="A522" s="347">
        <f t="shared" ca="1" si="238"/>
        <v>0.1</v>
      </c>
      <c r="B522" s="304">
        <f t="shared" ca="1" si="239"/>
        <v>15.799999999999917</v>
      </c>
      <c r="D522" s="306">
        <f t="shared" ca="1" si="240"/>
        <v>-0.10140006352162036</v>
      </c>
      <c r="E522" s="307">
        <f t="shared" ca="1" si="241"/>
        <v>-9.8954498035177778</v>
      </c>
      <c r="F522" s="304">
        <f t="shared" ca="1" si="242"/>
        <v>9.8959693202243812</v>
      </c>
      <c r="G522" s="306">
        <f t="shared" ca="1" si="243"/>
        <v>13.795526513521674</v>
      </c>
      <c r="H522" s="307">
        <f t="shared" ca="1" si="244"/>
        <v>10.644486109812497</v>
      </c>
      <c r="I522" s="304">
        <f t="shared" ca="1" si="245"/>
        <v>17.424742073479042</v>
      </c>
      <c r="J522" s="306">
        <f t="shared" ca="1" si="246"/>
        <v>243.89056489263908</v>
      </c>
      <c r="K522" s="307">
        <f t="shared" ca="1" si="247"/>
        <v>1421.7763927681699</v>
      </c>
      <c r="L522" s="304">
        <f t="shared" ca="1" si="232"/>
        <v>1442.5431427435783</v>
      </c>
      <c r="M522" s="306">
        <f t="shared" ca="1" si="248"/>
        <v>0.65717593996775747</v>
      </c>
      <c r="N522" s="304">
        <f t="shared" ca="1" si="249"/>
        <v>37.653407757695255</v>
      </c>
      <c r="P522" s="310">
        <f t="shared" ca="1" si="250"/>
        <v>23</v>
      </c>
      <c r="Q522" s="304">
        <f t="shared" ca="1" si="251"/>
        <v>0</v>
      </c>
      <c r="R522" s="306">
        <f t="shared" ca="1" si="252"/>
        <v>0</v>
      </c>
      <c r="S522" s="307">
        <f t="shared" ca="1" si="253"/>
        <v>7.9789999999999939</v>
      </c>
      <c r="T522" s="304">
        <f t="shared" ca="1" si="233"/>
        <v>78.273989999999941</v>
      </c>
      <c r="U522" s="311">
        <f t="shared" ca="1" si="234"/>
        <v>0</v>
      </c>
      <c r="V522" s="306">
        <f t="shared" ca="1" si="235"/>
        <v>1.0623920024924745</v>
      </c>
      <c r="W522" s="304">
        <f t="shared" ca="1" si="236"/>
        <v>0.98546190764909436</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-6.4541836658724616</v>
      </c>
      <c r="AH522" s="304">
        <f t="shared" ca="1" si="260"/>
        <v>-0.13260332500889727</v>
      </c>
    </row>
    <row r="523" spans="1:34" x14ac:dyDescent="0.2">
      <c r="A523" s="347">
        <f t="shared" ca="1" si="238"/>
        <v>0.1</v>
      </c>
      <c r="B523" s="304">
        <f t="shared" ca="1" si="239"/>
        <v>15.899999999999917</v>
      </c>
      <c r="D523" s="306">
        <f t="shared" ca="1" si="240"/>
        <v>-9.7782986739085573E-2</v>
      </c>
      <c r="E523" s="307">
        <f t="shared" ca="1" si="241"/>
        <v>-9.88544834501967</v>
      </c>
      <c r="F523" s="304">
        <f t="shared" ca="1" si="242"/>
        <v>9.8859319487111463</v>
      </c>
      <c r="G523" s="306">
        <f t="shared" ca="1" si="243"/>
        <v>13.785748214847764</v>
      </c>
      <c r="H523" s="307">
        <f t="shared" ca="1" si="244"/>
        <v>9.6559412753105303</v>
      </c>
      <c r="I523" s="304">
        <f t="shared" ca="1" si="245"/>
        <v>16.831044404772506</v>
      </c>
      <c r="J523" s="306">
        <f t="shared" ca="1" si="246"/>
        <v>245.26962862905754</v>
      </c>
      <c r="K523" s="307">
        <f t="shared" ca="1" si="247"/>
        <v>1422.791414137426</v>
      </c>
      <c r="L523" s="304">
        <f t="shared" ca="1" si="232"/>
        <v>1443.7771984870146</v>
      </c>
      <c r="M523" s="306">
        <f t="shared" ca="1" si="248"/>
        <v>0.61101399318011396</v>
      </c>
      <c r="N523" s="304">
        <f t="shared" ca="1" si="249"/>
        <v>35.008523032655795</v>
      </c>
      <c r="P523" s="310">
        <f t="shared" ca="1" si="250"/>
        <v>23</v>
      </c>
      <c r="Q523" s="304">
        <f t="shared" ca="1" si="251"/>
        <v>0</v>
      </c>
      <c r="R523" s="306">
        <f t="shared" ca="1" si="252"/>
        <v>0</v>
      </c>
      <c r="S523" s="307">
        <f t="shared" ca="1" si="253"/>
        <v>7.9789999999999939</v>
      </c>
      <c r="T523" s="304">
        <f t="shared" ca="1" si="233"/>
        <v>78.273989999999941</v>
      </c>
      <c r="U523" s="311">
        <f t="shared" ca="1" si="234"/>
        <v>0</v>
      </c>
      <c r="V523" s="306">
        <f t="shared" ca="1" si="235"/>
        <v>1.0622836248437586</v>
      </c>
      <c r="W523" s="304">
        <f t="shared" ca="1" si="236"/>
        <v>0.9193586164719828</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-6.1162733390568027</v>
      </c>
      <c r="AH523" s="304">
        <f t="shared" ca="1" si="260"/>
        <v>-0.12350694418462152</v>
      </c>
    </row>
    <row r="524" spans="1:34" x14ac:dyDescent="0.2">
      <c r="A524" s="347">
        <f t="shared" ca="1" si="238"/>
        <v>0.1</v>
      </c>
      <c r="B524" s="304">
        <f t="shared" ca="1" si="239"/>
        <v>15.999999999999917</v>
      </c>
      <c r="D524" s="306">
        <f t="shared" ca="1" si="240"/>
        <v>-9.4374738682264842E-2</v>
      </c>
      <c r="E524" s="307">
        <f t="shared" ca="1" si="241"/>
        <v>-9.8761028273827929</v>
      </c>
      <c r="F524" s="304">
        <f t="shared" ca="1" si="242"/>
        <v>9.8765537333798648</v>
      </c>
      <c r="G524" s="306">
        <f t="shared" ca="1" si="243"/>
        <v>13.776310740979538</v>
      </c>
      <c r="H524" s="307">
        <f t="shared" ca="1" si="244"/>
        <v>8.6683309925722511</v>
      </c>
      <c r="I524" s="304">
        <f t="shared" ca="1" si="245"/>
        <v>16.276569043530543</v>
      </c>
      <c r="J524" s="306">
        <f t="shared" ca="1" si="246"/>
        <v>246.64773157684891</v>
      </c>
      <c r="K524" s="307">
        <f t="shared" ca="1" si="247"/>
        <v>1423.7076277508202</v>
      </c>
      <c r="L524" s="304">
        <f t="shared" ca="1" si="232"/>
        <v>1444.9147077969251</v>
      </c>
      <c r="M524" s="306">
        <f t="shared" ca="1" si="248"/>
        <v>0.5616282070978208</v>
      </c>
      <c r="N524" s="304">
        <f t="shared" ca="1" si="249"/>
        <v>32.178925922204478</v>
      </c>
      <c r="P524" s="310">
        <f t="shared" ca="1" si="250"/>
        <v>23</v>
      </c>
      <c r="Q524" s="304">
        <f t="shared" ca="1" si="251"/>
        <v>0</v>
      </c>
      <c r="R524" s="306">
        <f t="shared" ca="1" si="252"/>
        <v>0</v>
      </c>
      <c r="S524" s="307">
        <f t="shared" ca="1" si="253"/>
        <v>7.9789999999999939</v>
      </c>
      <c r="T524" s="304">
        <f t="shared" ca="1" si="233"/>
        <v>78.273989999999941</v>
      </c>
      <c r="U524" s="311">
        <f t="shared" ca="1" si="234"/>
        <v>0</v>
      </c>
      <c r="V524" s="306">
        <f t="shared" ca="1" si="235"/>
        <v>1.0621858060893588</v>
      </c>
      <c r="W524" s="304">
        <f t="shared" ca="1" si="236"/>
        <v>0.85970322431327095</v>
      </c>
      <c r="Y524" s="314" t="str">
        <f t="shared" ca="1" si="254"/>
        <v/>
      </c>
      <c r="Z524" s="315" t="str">
        <f t="shared" ca="1" si="255"/>
        <v/>
      </c>
      <c r="AA524" s="316" t="str">
        <f t="shared" ca="1" si="256"/>
        <v/>
      </c>
      <c r="AC524" s="310">
        <f t="shared" ca="1" si="257"/>
        <v>15.999999999999917</v>
      </c>
      <c r="AD524" s="323">
        <f t="shared" ca="1" si="258"/>
        <v>246.64773157684891</v>
      </c>
      <c r="AE524" s="324" t="e">
        <f t="shared" ca="1" si="237"/>
        <v>#N/A</v>
      </c>
      <c r="AG524" s="306">
        <f t="shared" ca="1" si="259"/>
        <v>-5.7432024413198528</v>
      </c>
      <c r="AH524" s="304">
        <f t="shared" ca="1" si="260"/>
        <v>-0.11522228555858924</v>
      </c>
    </row>
    <row r="525" spans="1:34" x14ac:dyDescent="0.2">
      <c r="A525" s="347">
        <f t="shared" ca="1" si="238"/>
        <v>0.1</v>
      </c>
      <c r="B525" s="304">
        <f t="shared" ca="1" si="239"/>
        <v>16.099999999999916</v>
      </c>
      <c r="D525" s="306">
        <f t="shared" ca="1" si="240"/>
        <v>-9.1194816954586894E-2</v>
      </c>
      <c r="E525" s="307">
        <f t="shared" ca="1" si="241"/>
        <v>-9.8673816076765704</v>
      </c>
      <c r="F525" s="304">
        <f t="shared" ca="1" si="242"/>
        <v>9.8678030121275331</v>
      </c>
      <c r="G525" s="306">
        <f t="shared" ca="1" si="243"/>
        <v>13.767191259284079</v>
      </c>
      <c r="H525" s="307">
        <f t="shared" ca="1" si="244"/>
        <v>7.6815928318045943</v>
      </c>
      <c r="I525" s="304">
        <f t="shared" ca="1" si="245"/>
        <v>15.765228307999211</v>
      </c>
      <c r="J525" s="306">
        <f t="shared" ca="1" si="246"/>
        <v>248.02490667686209</v>
      </c>
      <c r="K525" s="307">
        <f t="shared" ca="1" si="247"/>
        <v>1424.525123942039</v>
      </c>
      <c r="L525" s="304">
        <f t="shared" ca="1" si="232"/>
        <v>1445.9558026005318</v>
      </c>
      <c r="M525" s="306">
        <f t="shared" ca="1" si="248"/>
        <v>0.50893680096667859</v>
      </c>
      <c r="N525" s="304">
        <f t="shared" ca="1" si="249"/>
        <v>29.15993073428028</v>
      </c>
      <c r="P525" s="310">
        <f t="shared" ca="1" si="250"/>
        <v>23</v>
      </c>
      <c r="Q525" s="304">
        <f t="shared" ca="1" si="251"/>
        <v>0</v>
      </c>
      <c r="R525" s="306">
        <f t="shared" ca="1" si="252"/>
        <v>0</v>
      </c>
      <c r="S525" s="307">
        <f t="shared" ca="1" si="253"/>
        <v>7.9789999999999939</v>
      </c>
      <c r="T525" s="304">
        <f t="shared" ca="1" si="233"/>
        <v>78.273989999999941</v>
      </c>
      <c r="U525" s="311">
        <f t="shared" ca="1" si="234"/>
        <v>0</v>
      </c>
      <c r="V525" s="306">
        <f t="shared" ca="1" si="235"/>
        <v>1.06209853387799</v>
      </c>
      <c r="W525" s="304">
        <f t="shared" ca="1" si="236"/>
        <v>0.8064689860589167</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-5.3322083855374816</v>
      </c>
      <c r="AH525" s="304">
        <f t="shared" ca="1" si="260"/>
        <v>-0.10774573559509608</v>
      </c>
    </row>
    <row r="526" spans="1:34" x14ac:dyDescent="0.2">
      <c r="A526" s="347">
        <f t="shared" ca="1" si="238"/>
        <v>0.1</v>
      </c>
      <c r="B526" s="304">
        <f t="shared" ca="1" si="239"/>
        <v>16.199999999999918</v>
      </c>
      <c r="D526" s="306">
        <f t="shared" ca="1" si="240"/>
        <v>-8.8264138556086835E-2</v>
      </c>
      <c r="E526" s="307">
        <f t="shared" ca="1" si="241"/>
        <v>-9.8592481844167477</v>
      </c>
      <c r="F526" s="304">
        <f t="shared" ca="1" si="242"/>
        <v>9.859643265356004</v>
      </c>
      <c r="G526" s="306">
        <f t="shared" ca="1" si="243"/>
        <v>13.758364845428471</v>
      </c>
      <c r="H526" s="307">
        <f t="shared" ca="1" si="244"/>
        <v>6.6956680133629192</v>
      </c>
      <c r="I526" s="304">
        <f t="shared" ca="1" si="245"/>
        <v>15.30112980681797</v>
      </c>
      <c r="J526" s="306">
        <f t="shared" ca="1" si="246"/>
        <v>249.4011844820977</v>
      </c>
      <c r="K526" s="307">
        <f t="shared" ca="1" si="247"/>
        <v>1425.2439869842974</v>
      </c>
      <c r="L526" s="304">
        <f t="shared" ca="1" si="232"/>
        <v>1446.90060932186</v>
      </c>
      <c r="M526" s="306">
        <f t="shared" ca="1" si="248"/>
        <v>0.45292007266915968</v>
      </c>
      <c r="N526" s="304">
        <f t="shared" ca="1" si="249"/>
        <v>25.950408620701396</v>
      </c>
      <c r="P526" s="310">
        <f t="shared" ca="1" si="250"/>
        <v>23</v>
      </c>
      <c r="Q526" s="304">
        <f t="shared" ca="1" si="251"/>
        <v>0</v>
      </c>
      <c r="R526" s="306">
        <f t="shared" ca="1" si="252"/>
        <v>0</v>
      </c>
      <c r="S526" s="307">
        <f t="shared" ca="1" si="253"/>
        <v>7.9789999999999939</v>
      </c>
      <c r="T526" s="304">
        <f t="shared" ca="1" si="233"/>
        <v>78.273989999999941</v>
      </c>
      <c r="U526" s="311">
        <f t="shared" ca="1" si="234"/>
        <v>0</v>
      </c>
      <c r="V526" s="306">
        <f t="shared" ca="1" si="235"/>
        <v>1.0620217968004098</v>
      </c>
      <c r="W526" s="304">
        <f t="shared" ca="1" si="236"/>
        <v>0.75963114323915537</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-4.8809873193014086</v>
      </c>
      <c r="AH526" s="304">
        <f t="shared" ca="1" si="260"/>
        <v>-0.1010739423560493</v>
      </c>
    </row>
    <row r="527" spans="1:34" x14ac:dyDescent="0.2">
      <c r="A527" s="347">
        <f t="shared" ca="1" si="238"/>
        <v>0.1</v>
      </c>
      <c r="B527" s="304">
        <f t="shared" ca="1" si="239"/>
        <v>16.299999999999919</v>
      </c>
      <c r="D527" s="306">
        <f t="shared" ca="1" si="240"/>
        <v>-8.5604701831525867E-2</v>
      </c>
      <c r="E527" s="307">
        <f t="shared" ca="1" si="241"/>
        <v>-9.851660522183149</v>
      </c>
      <c r="F527" s="304">
        <f t="shared" ca="1" si="242"/>
        <v>9.8520324405331525</v>
      </c>
      <c r="G527" s="306">
        <f t="shared" ca="1" si="243"/>
        <v>13.749804375245319</v>
      </c>
      <c r="H527" s="307">
        <f t="shared" ca="1" si="244"/>
        <v>5.7105019611446046</v>
      </c>
      <c r="I527" s="304">
        <f t="shared" ca="1" si="245"/>
        <v>14.888483905547659</v>
      </c>
      <c r="J527" s="306">
        <f t="shared" ca="1" si="246"/>
        <v>250.77659294313139</v>
      </c>
      <c r="K527" s="307">
        <f t="shared" ca="1" si="247"/>
        <v>1425.8642954830227</v>
      </c>
      <c r="L527" s="304">
        <f t="shared" ca="1" si="232"/>
        <v>1447.7492492491447</v>
      </c>
      <c r="M527" s="306">
        <f t="shared" ca="1" si="248"/>
        <v>0.3936389726741073</v>
      </c>
      <c r="N527" s="304">
        <f t="shared" ca="1" si="249"/>
        <v>22.55385178609189</v>
      </c>
      <c r="P527" s="310">
        <f t="shared" ca="1" si="250"/>
        <v>23</v>
      </c>
      <c r="Q527" s="304">
        <f t="shared" ca="1" si="251"/>
        <v>0</v>
      </c>
      <c r="R527" s="306">
        <f t="shared" ca="1" si="252"/>
        <v>0</v>
      </c>
      <c r="S527" s="307">
        <f t="shared" ca="1" si="253"/>
        <v>7.9789999999999939</v>
      </c>
      <c r="T527" s="304">
        <f t="shared" ca="1" si="233"/>
        <v>78.273989999999941</v>
      </c>
      <c r="U527" s="311">
        <f t="shared" ca="1" si="234"/>
        <v>0</v>
      </c>
      <c r="V527" s="306">
        <f t="shared" ca="1" si="235"/>
        <v>1.0619555843462583</v>
      </c>
      <c r="W527" s="304">
        <f t="shared" ca="1" si="236"/>
        <v>0.71916681118883075</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-4.3879915930951068</v>
      </c>
      <c r="AH527" s="304">
        <f t="shared" ca="1" si="260"/>
        <v>-9.5203802887474112E-2</v>
      </c>
    </row>
    <row r="528" spans="1:34" x14ac:dyDescent="0.2">
      <c r="A528" s="347">
        <f t="shared" ca="1" si="238"/>
        <v>0.1</v>
      </c>
      <c r="B528" s="304">
        <f t="shared" ca="1" si="239"/>
        <v>16.39999999999992</v>
      </c>
      <c r="D528" s="306">
        <f t="shared" ca="1" si="240"/>
        <v>-8.3239069238921687E-2</v>
      </c>
      <c r="E528" s="307">
        <f t="shared" ca="1" si="241"/>
        <v>-9.8445704458885608</v>
      </c>
      <c r="F528" s="304">
        <f t="shared" ca="1" si="242"/>
        <v>9.8449223464032602</v>
      </c>
      <c r="G528" s="306">
        <f t="shared" ca="1" si="243"/>
        <v>13.741480468321427</v>
      </c>
      <c r="H528" s="307">
        <f t="shared" ca="1" si="244"/>
        <v>4.7260449165557485</v>
      </c>
      <c r="I528" s="304">
        <f t="shared" ca="1" si="245"/>
        <v>14.531475699823529</v>
      </c>
      <c r="J528" s="306">
        <f t="shared" ca="1" si="246"/>
        <v>252.15115718530973</v>
      </c>
      <c r="K528" s="307">
        <f t="shared" ca="1" si="247"/>
        <v>1426.3861228269077</v>
      </c>
      <c r="L528" s="304">
        <f t="shared" ca="1" si="232"/>
        <v>1448.5018389574343</v>
      </c>
      <c r="M528" s="306">
        <f t="shared" ca="1" si="248"/>
        <v>0.33125298132380709</v>
      </c>
      <c r="N528" s="304">
        <f t="shared" ca="1" si="249"/>
        <v>18.979397780980026</v>
      </c>
      <c r="P528" s="310">
        <f t="shared" ca="1" si="250"/>
        <v>23</v>
      </c>
      <c r="Q528" s="304">
        <f t="shared" ca="1" si="251"/>
        <v>0</v>
      </c>
      <c r="R528" s="306">
        <f t="shared" ca="1" si="252"/>
        <v>0</v>
      </c>
      <c r="S528" s="307">
        <f t="shared" ca="1" si="253"/>
        <v>7.9789999999999939</v>
      </c>
      <c r="T528" s="304">
        <f t="shared" ca="1" si="233"/>
        <v>78.273989999999941</v>
      </c>
      <c r="U528" s="311">
        <f t="shared" ca="1" si="234"/>
        <v>0</v>
      </c>
      <c r="V528" s="306">
        <f t="shared" ca="1" si="235"/>
        <v>1.0618998868547946</v>
      </c>
      <c r="W528" s="304">
        <f t="shared" ca="1" si="236"/>
        <v>0.68505485235233299</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-3.8527737357402549</v>
      </c>
      <c r="AH528" s="304">
        <f t="shared" ca="1" si="260"/>
        <v>-9.0132449077432175E-2</v>
      </c>
    </row>
    <row r="529" spans="1:34" x14ac:dyDescent="0.2">
      <c r="A529" s="347">
        <f t="shared" ca="1" si="238"/>
        <v>0.1</v>
      </c>
      <c r="B529" s="304">
        <f t="shared" ca="1" si="239"/>
        <v>16.499999999999922</v>
      </c>
      <c r="D529" s="306">
        <f t="shared" ca="1" si="240"/>
        <v>-8.1189653267520936E-2</v>
      </c>
      <c r="E529" s="307">
        <f t="shared" ca="1" si="241"/>
        <v>-9.8379231884065526</v>
      </c>
      <c r="F529" s="304">
        <f t="shared" ca="1" si="242"/>
        <v>9.8382582005548649</v>
      </c>
      <c r="G529" s="306">
        <f t="shared" ca="1" si="243"/>
        <v>13.733361502994676</v>
      </c>
      <c r="H529" s="307">
        <f t="shared" ca="1" si="244"/>
        <v>3.7422525977150931</v>
      </c>
      <c r="I529" s="304">
        <f t="shared" ca="1" si="245"/>
        <v>14.234102454213316</v>
      </c>
      <c r="J529" s="306">
        <f t="shared" ca="1" si="246"/>
        <v>253.52489928387553</v>
      </c>
      <c r="K529" s="307">
        <f t="shared" ca="1" si="247"/>
        <v>1426.8095377026211</v>
      </c>
      <c r="L529" s="304">
        <f t="shared" ca="1" si="232"/>
        <v>1449.1584907925242</v>
      </c>
      <c r="M529" s="306">
        <f t="shared" ca="1" si="248"/>
        <v>0.26603450573369081</v>
      </c>
      <c r="N529" s="304">
        <f t="shared" ca="1" si="249"/>
        <v>15.242654383389384</v>
      </c>
      <c r="P529" s="310">
        <f t="shared" ca="1" si="250"/>
        <v>23</v>
      </c>
      <c r="Q529" s="304">
        <f t="shared" ca="1" si="251"/>
        <v>0</v>
      </c>
      <c r="R529" s="306">
        <f t="shared" ca="1" si="252"/>
        <v>0</v>
      </c>
      <c r="S529" s="307">
        <f t="shared" ca="1" si="253"/>
        <v>7.9789999999999939</v>
      </c>
      <c r="T529" s="304">
        <f t="shared" ca="1" si="233"/>
        <v>78.273989999999941</v>
      </c>
      <c r="U529" s="311">
        <f t="shared" ca="1" si="234"/>
        <v>0</v>
      </c>
      <c r="V529" s="306">
        <f t="shared" ca="1" si="235"/>
        <v>1.0618546954589569</v>
      </c>
      <c r="W529" s="304">
        <f t="shared" ca="1" si="236"/>
        <v>0.65727573437904252</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-3.2763453548780537</v>
      </c>
      <c r="AH529" s="304">
        <f t="shared" ca="1" si="260"/>
        <v>-8.5857231777457521E-2</v>
      </c>
    </row>
    <row r="530" spans="1:34" x14ac:dyDescent="0.2">
      <c r="A530" s="347">
        <f t="shared" ca="1" si="238"/>
        <v>0.1</v>
      </c>
      <c r="B530" s="304">
        <f t="shared" ca="1" si="239"/>
        <v>16.599999999999923</v>
      </c>
      <c r="D530" s="306">
        <f t="shared" ca="1" si="240"/>
        <v>-7.9477811280748559E-2</v>
      </c>
      <c r="E530" s="307">
        <f t="shared" ca="1" si="241"/>
        <v>-9.8316571919162872</v>
      </c>
      <c r="F530" s="304">
        <f t="shared" ca="1" si="242"/>
        <v>9.8319784307048401</v>
      </c>
      <c r="G530" s="306">
        <f t="shared" ca="1" si="243"/>
        <v>13.7254137218666</v>
      </c>
      <c r="H530" s="307">
        <f t="shared" ca="1" si="244"/>
        <v>2.7590868785234646</v>
      </c>
      <c r="I530" s="304">
        <f t="shared" ca="1" si="245"/>
        <v>13.999983651406323</v>
      </c>
      <c r="J530" s="306">
        <f t="shared" ca="1" si="246"/>
        <v>254.89783804511859</v>
      </c>
      <c r="K530" s="307">
        <f t="shared" ca="1" si="247"/>
        <v>1427.1346046764331</v>
      </c>
      <c r="L530" s="304">
        <f t="shared" ca="1" si="232"/>
        <v>1449.7193134207168</v>
      </c>
      <c r="M530" s="306">
        <f t="shared" ca="1" si="248"/>
        <v>0.1983764313902566</v>
      </c>
      <c r="N530" s="304">
        <f t="shared" ca="1" si="249"/>
        <v>11.366132273528246</v>
      </c>
      <c r="P530" s="310">
        <f t="shared" ca="1" si="250"/>
        <v>23</v>
      </c>
      <c r="Q530" s="304">
        <f t="shared" ca="1" si="251"/>
        <v>0</v>
      </c>
      <c r="R530" s="306">
        <f t="shared" ca="1" si="252"/>
        <v>0</v>
      </c>
      <c r="S530" s="307">
        <f t="shared" ca="1" si="253"/>
        <v>7.9789999999999939</v>
      </c>
      <c r="T530" s="304">
        <f t="shared" ca="1" si="233"/>
        <v>78.273989999999941</v>
      </c>
      <c r="U530" s="311">
        <f t="shared" ca="1" si="234"/>
        <v>0</v>
      </c>
      <c r="V530" s="306">
        <f t="shared" ca="1" si="235"/>
        <v>1.0618200020223814</v>
      </c>
      <c r="W530" s="304">
        <f t="shared" ca="1" si="236"/>
        <v>0.63581137219987849</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-2.6614984894157887</v>
      </c>
      <c r="AH530" s="304">
        <f t="shared" ca="1" si="260"/>
        <v>-8.2375703017802115E-2</v>
      </c>
    </row>
    <row r="531" spans="1:34" x14ac:dyDescent="0.2">
      <c r="A531" s="347">
        <f t="shared" ca="1" si="238"/>
        <v>0.1</v>
      </c>
      <c r="B531" s="304">
        <f t="shared" ca="1" si="239"/>
        <v>16.699999999999925</v>
      </c>
      <c r="D531" s="306">
        <f t="shared" ca="1" si="240"/>
        <v>-7.8122789494493028E-2</v>
      </c>
      <c r="E531" s="307">
        <f t="shared" ca="1" si="241"/>
        <v>-9.8257042671190682</v>
      </c>
      <c r="F531" s="304">
        <f t="shared" ca="1" si="242"/>
        <v>9.8260148338540727</v>
      </c>
      <c r="G531" s="306">
        <f t="shared" ca="1" si="243"/>
        <v>13.71760144291715</v>
      </c>
      <c r="H531" s="307">
        <f t="shared" ca="1" si="244"/>
        <v>1.7765164518115577</v>
      </c>
      <c r="I531" s="304">
        <f t="shared" ca="1" si="245"/>
        <v>13.832158184834347</v>
      </c>
      <c r="J531" s="306">
        <f t="shared" ca="1" si="246"/>
        <v>256.26998880335776</v>
      </c>
      <c r="K531" s="307">
        <f t="shared" ca="1" si="247"/>
        <v>1427.36138484295</v>
      </c>
      <c r="L531" s="304">
        <f t="shared" ca="1" si="232"/>
        <v>1450.1844124462436</v>
      </c>
      <c r="M531" s="306">
        <f t="shared" ca="1" si="248"/>
        <v>0.12878952448759809</v>
      </c>
      <c r="N531" s="304">
        <f t="shared" ca="1" si="249"/>
        <v>7.3790961986361365</v>
      </c>
      <c r="P531" s="310">
        <f t="shared" ca="1" si="250"/>
        <v>23</v>
      </c>
      <c r="Q531" s="304">
        <f t="shared" ca="1" si="251"/>
        <v>0</v>
      </c>
      <c r="R531" s="306">
        <f t="shared" ca="1" si="252"/>
        <v>0</v>
      </c>
      <c r="S531" s="307">
        <f t="shared" ca="1" si="253"/>
        <v>7.9789999999999939</v>
      </c>
      <c r="T531" s="304">
        <f t="shared" ca="1" si="233"/>
        <v>78.273989999999941</v>
      </c>
      <c r="U531" s="311">
        <f t="shared" ca="1" si="234"/>
        <v>0</v>
      </c>
      <c r="V531" s="306">
        <f t="shared" ca="1" si="235"/>
        <v>1.0617957990693658</v>
      </c>
      <c r="W531" s="304">
        <f t="shared" ca="1" si="236"/>
        <v>0.62064495408368636</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-2.0130194451868157</v>
      </c>
      <c r="AH531" s="304">
        <f t="shared" ca="1" si="260"/>
        <v>-7.9685596215049379E-2</v>
      </c>
    </row>
    <row r="532" spans="1:34" x14ac:dyDescent="0.2">
      <c r="A532" s="347">
        <f t="shared" ca="1" si="238"/>
        <v>0.1</v>
      </c>
      <c r="B532" s="304">
        <f t="shared" ca="1" si="239"/>
        <v>16.799999999999926</v>
      </c>
      <c r="D532" s="306">
        <f t="shared" ca="1" si="240"/>
        <v>-7.7140597326265492E-2</v>
      </c>
      <c r="E532" s="307">
        <f t="shared" ca="1" si="241"/>
        <v>-9.8199901969613972</v>
      </c>
      <c r="F532" s="304">
        <f t="shared" ca="1" si="242"/>
        <v>9.8202931799500668</v>
      </c>
      <c r="G532" s="306">
        <f t="shared" ca="1" si="243"/>
        <v>13.709887383184524</v>
      </c>
      <c r="H532" s="307">
        <f t="shared" ca="1" si="244"/>
        <v>0.79451743211541792</v>
      </c>
      <c r="I532" s="304">
        <f t="shared" ca="1" si="245"/>
        <v>13.732890082190911</v>
      </c>
      <c r="J532" s="306">
        <f t="shared" ca="1" si="246"/>
        <v>257.64136324466284</v>
      </c>
      <c r="K532" s="307">
        <f t="shared" ca="1" si="247"/>
        <v>1427.4899365371464</v>
      </c>
      <c r="L532" s="304">
        <f t="shared" ca="1" si="232"/>
        <v>1450.5538910944999</v>
      </c>
      <c r="M532" s="306">
        <f t="shared" ca="1" si="248"/>
        <v>5.7887402610883806E-2</v>
      </c>
      <c r="N532" s="304">
        <f t="shared" ca="1" si="249"/>
        <v>3.3167038565782248</v>
      </c>
      <c r="P532" s="310">
        <f t="shared" ca="1" si="250"/>
        <v>23</v>
      </c>
      <c r="Q532" s="304">
        <f t="shared" ca="1" si="251"/>
        <v>0</v>
      </c>
      <c r="R532" s="306">
        <f t="shared" ca="1" si="252"/>
        <v>0</v>
      </c>
      <c r="S532" s="307">
        <f t="shared" ca="1" si="253"/>
        <v>7.9789999999999939</v>
      </c>
      <c r="T532" s="304">
        <f t="shared" ca="1" si="233"/>
        <v>78.273989999999941</v>
      </c>
      <c r="U532" s="311">
        <f t="shared" ca="1" si="234"/>
        <v>0</v>
      </c>
      <c r="V532" s="306">
        <f t="shared" ca="1" si="235"/>
        <v>1.0617820797081563</v>
      </c>
      <c r="W532" s="304">
        <f t="shared" ca="1" si="236"/>
        <v>0.61176075272100072</v>
      </c>
      <c r="Y532" s="314" t="str">
        <f t="shared" ca="1" si="254"/>
        <v>Apogée</v>
      </c>
      <c r="Z532" s="315" t="str">
        <f t="shared" ca="1" si="255"/>
        <v/>
      </c>
      <c r="AA532" s="316" t="str">
        <f t="shared" ca="1" si="256"/>
        <v/>
      </c>
      <c r="AC532" s="310" t="e">
        <f t="shared" ca="1" si="257"/>
        <v>#N/A</v>
      </c>
      <c r="AD532" s="323" t="e">
        <f t="shared" ca="1" si="258"/>
        <v>#N/A</v>
      </c>
      <c r="AE532" s="324" t="e">
        <f t="shared" ca="1" si="237"/>
        <v>#N/A</v>
      </c>
      <c r="AG532" s="306">
        <f t="shared" ca="1" si="259"/>
        <v>-1.3377202504094994</v>
      </c>
      <c r="AH532" s="304">
        <f t="shared" ca="1" si="260"/>
        <v>-7.7784804371937188E-2</v>
      </c>
    </row>
    <row r="533" spans="1:34" x14ac:dyDescent="0.2">
      <c r="A533" s="347">
        <f t="shared" ca="1" si="238"/>
        <v>0.1</v>
      </c>
      <c r="B533" s="304">
        <f t="shared" ca="1" si="239"/>
        <v>16.899999999999928</v>
      </c>
      <c r="D533" s="306">
        <f t="shared" ca="1" si="240"/>
        <v>-7.6542931275074041E-2</v>
      </c>
      <c r="E533" s="307">
        <f t="shared" ca="1" si="241"/>
        <v>-9.8144358273342096</v>
      </c>
      <c r="F533" s="304">
        <f t="shared" ca="1" si="242"/>
        <v>9.8147343025264568</v>
      </c>
      <c r="G533" s="306">
        <f t="shared" ca="1" si="243"/>
        <v>13.702233090057018</v>
      </c>
      <c r="H533" s="307">
        <f t="shared" ca="1" si="244"/>
        <v>-0.18692615061800311</v>
      </c>
      <c r="I533" s="304">
        <f t="shared" ca="1" si="245"/>
        <v>13.703508055970133</v>
      </c>
      <c r="J533" s="306">
        <f t="shared" ca="1" si="246"/>
        <v>259.01196926832495</v>
      </c>
      <c r="K533" s="307">
        <f t="shared" ca="1" si="247"/>
        <v>1427.5203161012212</v>
      </c>
      <c r="L533" s="304">
        <f t="shared" ca="1" si="232"/>
        <v>1450.8278509547526</v>
      </c>
      <c r="M533" s="306">
        <f t="shared" ca="1" si="248"/>
        <v>-1.3641174744068124E-2</v>
      </c>
      <c r="N533" s="304">
        <f t="shared" ca="1" si="249"/>
        <v>-0.7815817404355544</v>
      </c>
      <c r="P533" s="310">
        <f t="shared" ca="1" si="250"/>
        <v>23</v>
      </c>
      <c r="Q533" s="304">
        <f t="shared" ca="1" si="251"/>
        <v>0</v>
      </c>
      <c r="R533" s="306">
        <f t="shared" ca="1" si="252"/>
        <v>0</v>
      </c>
      <c r="S533" s="307">
        <f t="shared" ca="1" si="253"/>
        <v>7.9789999999999939</v>
      </c>
      <c r="T533" s="304">
        <f t="shared" ca="1" si="233"/>
        <v>78.273989999999941</v>
      </c>
      <c r="U533" s="311">
        <f t="shared" ca="1" si="234"/>
        <v>0</v>
      </c>
      <c r="V533" s="306">
        <f t="shared" ca="1" si="235"/>
        <v>1.061778837548462</v>
      </c>
      <c r="W533" s="304">
        <f t="shared" ca="1" si="236"/>
        <v>0.6091439235860725</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-0.64422967532729147</v>
      </c>
      <c r="AH533" s="304">
        <f t="shared" ca="1" si="260"/>
        <v>-7.6671356400676932E-2</v>
      </c>
    </row>
    <row r="534" spans="1:34" x14ac:dyDescent="0.2">
      <c r="A534" s="347">
        <f t="shared" ca="1" si="238"/>
        <v>0.1</v>
      </c>
      <c r="B534" s="304">
        <f t="shared" ca="1" si="239"/>
        <v>16.999999999999929</v>
      </c>
      <c r="D534" s="306">
        <f t="shared" ca="1" si="240"/>
        <v>-7.6336288909915173E-2</v>
      </c>
      <c r="E534" s="307">
        <f t="shared" ca="1" si="241"/>
        <v>-9.8089586187488855</v>
      </c>
      <c r="F534" s="304">
        <f t="shared" ca="1" si="242"/>
        <v>9.8092556503198853</v>
      </c>
      <c r="G534" s="306">
        <f t="shared" ca="1" si="243"/>
        <v>13.694599461166026</v>
      </c>
      <c r="H534" s="307">
        <f t="shared" ca="1" si="244"/>
        <v>-1.1678220124928917</v>
      </c>
      <c r="I534" s="304">
        <f t="shared" ca="1" si="245"/>
        <v>13.744302916286143</v>
      </c>
      <c r="J534" s="306">
        <f t="shared" ca="1" si="246"/>
        <v>260.38181089588608</v>
      </c>
      <c r="K534" s="307">
        <f t="shared" ca="1" si="247"/>
        <v>1427.4525786930656</v>
      </c>
      <c r="L534" s="304">
        <f t="shared" ca="1" si="232"/>
        <v>1451.0063927712047</v>
      </c>
      <c r="M534" s="306">
        <f t="shared" ca="1" si="248"/>
        <v>-8.5070286121520372E-2</v>
      </c>
      <c r="N534" s="304">
        <f t="shared" ca="1" si="249"/>
        <v>-4.8741683567334588</v>
      </c>
      <c r="P534" s="310">
        <f t="shared" ca="1" si="250"/>
        <v>23</v>
      </c>
      <c r="Q534" s="304">
        <f t="shared" ca="1" si="251"/>
        <v>0</v>
      </c>
      <c r="R534" s="306">
        <f t="shared" ca="1" si="252"/>
        <v>0</v>
      </c>
      <c r="S534" s="307">
        <f t="shared" ca="1" si="253"/>
        <v>7.9789999999999939</v>
      </c>
      <c r="T534" s="304">
        <f t="shared" ca="1" si="233"/>
        <v>78.273989999999941</v>
      </c>
      <c r="U534" s="311">
        <f t="shared" ca="1" si="234"/>
        <v>0</v>
      </c>
      <c r="V534" s="306">
        <f t="shared" ca="1" si="235"/>
        <v>1.0617860666145822</v>
      </c>
      <c r="W534" s="304">
        <f t="shared" ca="1" si="236"/>
        <v>0.61278029403421197</v>
      </c>
      <c r="Y534" s="314" t="str">
        <f t="shared" ca="1" si="254"/>
        <v/>
      </c>
      <c r="Z534" s="315" t="str">
        <f t="shared" ca="1" si="255"/>
        <v/>
      </c>
      <c r="AA534" s="316" t="str">
        <f t="shared" ca="1" si="256"/>
        <v/>
      </c>
      <c r="AC534" s="310">
        <f t="shared" ca="1" si="257"/>
        <v>16.999999999999929</v>
      </c>
      <c r="AD534" s="323">
        <f t="shared" ca="1" si="258"/>
        <v>260.38181089588608</v>
      </c>
      <c r="AE534" s="324" t="e">
        <f t="shared" ca="1" si="237"/>
        <v>#N/A</v>
      </c>
      <c r="AG534" s="306">
        <f t="shared" ca="1" si="259"/>
        <v>5.7472382187370163E-2</v>
      </c>
      <c r="AH534" s="304">
        <f t="shared" ca="1" si="260"/>
        <v>-7.6343391851870279E-2</v>
      </c>
    </row>
    <row r="535" spans="1:34" x14ac:dyDescent="0.2">
      <c r="A535" s="347">
        <f t="shared" ca="1" si="238"/>
        <v>0.1</v>
      </c>
      <c r="B535" s="304">
        <f t="shared" ca="1" si="239"/>
        <v>17.09999999999993</v>
      </c>
      <c r="D535" s="306">
        <f t="shared" ca="1" si="240"/>
        <v>-7.6521406149524143E-2</v>
      </c>
      <c r="E535" s="307">
        <f t="shared" ca="1" si="241"/>
        <v>-9.8034745530322578</v>
      </c>
      <c r="F535" s="304">
        <f t="shared" ca="1" si="242"/>
        <v>9.8037731939060144</v>
      </c>
      <c r="G535" s="306">
        <f t="shared" ca="1" si="243"/>
        <v>13.686947320551074</v>
      </c>
      <c r="H535" s="307">
        <f t="shared" ca="1" si="244"/>
        <v>-2.1481694677961176</v>
      </c>
      <c r="I535" s="304">
        <f t="shared" ca="1" si="245"/>
        <v>13.854499594641144</v>
      </c>
      <c r="J535" s="306">
        <f t="shared" ca="1" si="246"/>
        <v>261.75088823497191</v>
      </c>
      <c r="K535" s="307">
        <f t="shared" ca="1" si="247"/>
        <v>1427.2867791190511</v>
      </c>
      <c r="L535" s="304">
        <f t="shared" ca="1" si="232"/>
        <v>1451.0896172669115</v>
      </c>
      <c r="M535" s="306">
        <f t="shared" ca="1" si="248"/>
        <v>-0.15568020635193192</v>
      </c>
      <c r="N535" s="304">
        <f t="shared" ca="1" si="249"/>
        <v>-8.9198187776914484</v>
      </c>
      <c r="P535" s="310">
        <f t="shared" ca="1" si="250"/>
        <v>23</v>
      </c>
      <c r="Q535" s="304">
        <f t="shared" ca="1" si="251"/>
        <v>0</v>
      </c>
      <c r="R535" s="306">
        <f t="shared" ca="1" si="252"/>
        <v>0</v>
      </c>
      <c r="S535" s="307">
        <f t="shared" ca="1" si="253"/>
        <v>7.9789999999999939</v>
      </c>
      <c r="T535" s="304">
        <f t="shared" ca="1" si="233"/>
        <v>78.273989999999941</v>
      </c>
      <c r="U535" s="311">
        <f t="shared" ca="1" si="234"/>
        <v>0</v>
      </c>
      <c r="V535" s="306">
        <f t="shared" ca="1" si="235"/>
        <v>1.0618037612559812</v>
      </c>
      <c r="W535" s="304">
        <f t="shared" ca="1" si="236"/>
        <v>0.6226561476057566</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0.75673414925960059</v>
      </c>
      <c r="AH535" s="304">
        <f t="shared" ca="1" si="260"/>
        <v>-7.6799134482292572E-2</v>
      </c>
    </row>
    <row r="536" spans="1:34" x14ac:dyDescent="0.2">
      <c r="A536" s="347">
        <f t="shared" ca="1" si="238"/>
        <v>0.1</v>
      </c>
      <c r="B536" s="304">
        <f t="shared" ca="1" si="239"/>
        <v>17.199999999999932</v>
      </c>
      <c r="D536" s="306">
        <f t="shared" ca="1" si="240"/>
        <v>-7.709311015221311E-2</v>
      </c>
      <c r="E536" s="307">
        <f t="shared" ca="1" si="241"/>
        <v>-9.797900218980331</v>
      </c>
      <c r="F536" s="304">
        <f t="shared" ca="1" si="242"/>
        <v>9.7982035112936767</v>
      </c>
      <c r="G536" s="306">
        <f t="shared" ca="1" si="243"/>
        <v>13.679238009535853</v>
      </c>
      <c r="H536" s="307">
        <f t="shared" ca="1" si="244"/>
        <v>-3.1279594896941507</v>
      </c>
      <c r="I536" s="304">
        <f t="shared" ca="1" si="245"/>
        <v>14.032308544594439</v>
      </c>
      <c r="J536" s="306">
        <f t="shared" ca="1" si="246"/>
        <v>263.11919750147626</v>
      </c>
      <c r="K536" s="307">
        <f t="shared" ca="1" si="247"/>
        <v>1427.0229726711766</v>
      </c>
      <c r="L536" s="304">
        <f t="shared" ca="1" si="232"/>
        <v>1451.0776259818433</v>
      </c>
      <c r="M536" s="306">
        <f t="shared" ca="1" si="248"/>
        <v>-0.22479985108313208</v>
      </c>
      <c r="N536" s="304">
        <f t="shared" ca="1" si="249"/>
        <v>-12.880082702232876</v>
      </c>
      <c r="P536" s="310">
        <f t="shared" ca="1" si="250"/>
        <v>23</v>
      </c>
      <c r="Q536" s="304">
        <f t="shared" ca="1" si="251"/>
        <v>0</v>
      </c>
      <c r="R536" s="306">
        <f t="shared" ca="1" si="252"/>
        <v>0</v>
      </c>
      <c r="S536" s="307">
        <f t="shared" ca="1" si="253"/>
        <v>7.9789999999999939</v>
      </c>
      <c r="T536" s="304">
        <f t="shared" ca="1" si="233"/>
        <v>78.273989999999941</v>
      </c>
      <c r="U536" s="311">
        <f t="shared" ca="1" si="234"/>
        <v>0</v>
      </c>
      <c r="V536" s="306">
        <f t="shared" ca="1" si="235"/>
        <v>1.0618319160574208</v>
      </c>
      <c r="W536" s="304">
        <f t="shared" ca="1" si="236"/>
        <v>0.63875800863928722</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1.4430243853216189</v>
      </c>
      <c r="AH536" s="304">
        <f t="shared" ca="1" si="260"/>
        <v>-7.8036865221927196E-2</v>
      </c>
    </row>
    <row r="537" spans="1:34" x14ac:dyDescent="0.2">
      <c r="A537" s="347">
        <f t="shared" ca="1" si="238"/>
        <v>0.1</v>
      </c>
      <c r="B537" s="304">
        <f t="shared" ca="1" si="239"/>
        <v>17.299999999999933</v>
      </c>
      <c r="D537" s="306">
        <f t="shared" ca="1" si="240"/>
        <v>-7.8040613311214937E-2</v>
      </c>
      <c r="E537" s="307">
        <f t="shared" ca="1" si="241"/>
        <v>-9.7921548629522945</v>
      </c>
      <c r="F537" s="304">
        <f t="shared" ca="1" si="242"/>
        <v>9.7924658384579661</v>
      </c>
      <c r="G537" s="306">
        <f t="shared" ca="1" si="243"/>
        <v>13.671433948204731</v>
      </c>
      <c r="H537" s="307">
        <f t="shared" ca="1" si="244"/>
        <v>-4.1071749759893805</v>
      </c>
      <c r="I537" s="304">
        <f t="shared" ca="1" si="245"/>
        <v>14.275047897766164</v>
      </c>
      <c r="J537" s="306">
        <f t="shared" ca="1" si="246"/>
        <v>264.48673109936328</v>
      </c>
      <c r="K537" s="307">
        <f t="shared" ca="1" si="247"/>
        <v>1426.6612159478925</v>
      </c>
      <c r="L537" s="304">
        <f t="shared" ca="1" si="232"/>
        <v>1450.9705221049621</v>
      </c>
      <c r="M537" s="306">
        <f t="shared" ca="1" si="248"/>
        <v>-0.29184225815576625</v>
      </c>
      <c r="N537" s="304">
        <f t="shared" ca="1" si="249"/>
        <v>-16.721329675892836</v>
      </c>
      <c r="P537" s="310">
        <f t="shared" ca="1" si="250"/>
        <v>23</v>
      </c>
      <c r="Q537" s="304">
        <f t="shared" ca="1" si="251"/>
        <v>0</v>
      </c>
      <c r="R537" s="306">
        <f t="shared" ca="1" si="252"/>
        <v>0</v>
      </c>
      <c r="S537" s="307">
        <f t="shared" ca="1" si="253"/>
        <v>7.9789999999999939</v>
      </c>
      <c r="T537" s="304">
        <f t="shared" ca="1" si="233"/>
        <v>78.273989999999941</v>
      </c>
      <c r="U537" s="311">
        <f t="shared" ca="1" si="234"/>
        <v>0</v>
      </c>
      <c r="V537" s="306">
        <f t="shared" ca="1" si="235"/>
        <v>1.0618705257508452</v>
      </c>
      <c r="W537" s="304">
        <f t="shared" ca="1" si="236"/>
        <v>0.6610724324150159</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2.106704503416867</v>
      </c>
      <c r="AH537" s="304">
        <f t="shared" ca="1" si="260"/>
        <v>-8.0054895179757835E-2</v>
      </c>
    </row>
    <row r="538" spans="1:34" x14ac:dyDescent="0.2">
      <c r="A538" s="347">
        <f t="shared" ca="1" si="238"/>
        <v>0.1</v>
      </c>
      <c r="B538" s="304">
        <f t="shared" ca="1" si="239"/>
        <v>17.399999999999935</v>
      </c>
      <c r="D538" s="306">
        <f t="shared" ca="1" si="240"/>
        <v>-7.934819944158622E-2</v>
      </c>
      <c r="E538" s="307">
        <f t="shared" ca="1" si="241"/>
        <v>-9.7861621977350008</v>
      </c>
      <c r="F538" s="304">
        <f t="shared" ca="1" si="242"/>
        <v>9.7864838781419436</v>
      </c>
      <c r="G538" s="306">
        <f t="shared" ca="1" si="243"/>
        <v>13.663499128260572</v>
      </c>
      <c r="H538" s="307">
        <f t="shared" ca="1" si="244"/>
        <v>-5.085791195762881</v>
      </c>
      <c r="I538" s="304">
        <f t="shared" ca="1" si="245"/>
        <v>14.579316874081469</v>
      </c>
      <c r="J538" s="306">
        <f t="shared" ca="1" si="246"/>
        <v>265.85347775318655</v>
      </c>
      <c r="K538" s="307">
        <f t="shared" ca="1" si="247"/>
        <v>1426.2015676393048</v>
      </c>
      <c r="L538" s="304">
        <f t="shared" ca="1" si="232"/>
        <v>1450.7684112808201</v>
      </c>
      <c r="M538" s="306">
        <f t="shared" ca="1" si="248"/>
        <v>-0.35632884215725341</v>
      </c>
      <c r="N538" s="304">
        <f t="shared" ca="1" si="249"/>
        <v>-20.416138774393904</v>
      </c>
      <c r="P538" s="310">
        <f t="shared" ca="1" si="250"/>
        <v>23</v>
      </c>
      <c r="Q538" s="304">
        <f t="shared" ca="1" si="251"/>
        <v>0</v>
      </c>
      <c r="R538" s="306">
        <f t="shared" ca="1" si="252"/>
        <v>0</v>
      </c>
      <c r="S538" s="307">
        <f t="shared" ca="1" si="253"/>
        <v>7.9789999999999939</v>
      </c>
      <c r="T538" s="304">
        <f t="shared" ca="1" si="233"/>
        <v>78.273989999999941</v>
      </c>
      <c r="U538" s="311">
        <f t="shared" ca="1" si="234"/>
        <v>0</v>
      </c>
      <c r="V538" s="306">
        <f t="shared" ca="1" si="235"/>
        <v>1.0619195851310532</v>
      </c>
      <c r="W538" s="304">
        <f t="shared" ca="1" si="236"/>
        <v>0.68958580562919203</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2.7396529316063276</v>
      </c>
      <c r="AH538" s="304">
        <f t="shared" ca="1" si="260"/>
        <v>-8.2851539342651506E-2</v>
      </c>
    </row>
    <row r="539" spans="1:34" x14ac:dyDescent="0.2">
      <c r="A539" s="347">
        <f t="shared" ca="1" si="238"/>
        <v>0.1</v>
      </c>
      <c r="B539" s="304">
        <f t="shared" ca="1" si="239"/>
        <v>17.499999999999936</v>
      </c>
      <c r="D539" s="306">
        <f t="shared" ca="1" si="240"/>
        <v>-8.0996192998069511E-2</v>
      </c>
      <c r="E539" s="307">
        <f t="shared" ca="1" si="241"/>
        <v>-9.7798518131136785</v>
      </c>
      <c r="F539" s="304">
        <f t="shared" ca="1" si="242"/>
        <v>9.7801872103627492</v>
      </c>
      <c r="G539" s="306">
        <f t="shared" ca="1" si="243"/>
        <v>13.655399508960764</v>
      </c>
      <c r="H539" s="307">
        <f t="shared" ca="1" si="244"/>
        <v>-6.063776377074249</v>
      </c>
      <c r="I539" s="304">
        <f t="shared" ca="1" si="245"/>
        <v>14.941195390613483</v>
      </c>
      <c r="J539" s="306">
        <f t="shared" ca="1" si="246"/>
        <v>267.21942268504762</v>
      </c>
      <c r="K539" s="307">
        <f t="shared" ca="1" si="247"/>
        <v>1425.6440892606629</v>
      </c>
      <c r="L539" s="304">
        <f t="shared" ca="1" si="232"/>
        <v>1450.4714023737231</v>
      </c>
      <c r="M539" s="306">
        <f t="shared" ca="1" si="248"/>
        <v>-0.41790078596353208</v>
      </c>
      <c r="N539" s="304">
        <f t="shared" ca="1" si="249"/>
        <v>-23.943951290910341</v>
      </c>
      <c r="P539" s="310">
        <f t="shared" ca="1" si="250"/>
        <v>23</v>
      </c>
      <c r="Q539" s="304">
        <f t="shared" ca="1" si="251"/>
        <v>0</v>
      </c>
      <c r="R539" s="306">
        <f t="shared" ca="1" si="252"/>
        <v>0</v>
      </c>
      <c r="S539" s="307">
        <f t="shared" ca="1" si="253"/>
        <v>7.9789999999999939</v>
      </c>
      <c r="T539" s="304">
        <f t="shared" ca="1" si="233"/>
        <v>78.273989999999941</v>
      </c>
      <c r="U539" s="311">
        <f t="shared" ca="1" si="234"/>
        <v>0</v>
      </c>
      <c r="V539" s="306">
        <f t="shared" ca="1" si="235"/>
        <v>1.0619790889768697</v>
      </c>
      <c r="W539" s="304">
        <f t="shared" ca="1" si="236"/>
        <v>0.72428416113002914</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3.3356564820285213</v>
      </c>
      <c r="AH539" s="304">
        <f t="shared" ca="1" si="260"/>
        <v>-8.6425091569017745E-2</v>
      </c>
    </row>
    <row r="540" spans="1:34" x14ac:dyDescent="0.2">
      <c r="A540" s="347">
        <f t="shared" ca="1" si="238"/>
        <v>0.1</v>
      </c>
      <c r="B540" s="304">
        <f t="shared" ca="1" si="239"/>
        <v>17.599999999999937</v>
      </c>
      <c r="D540" s="306">
        <f t="shared" ca="1" si="240"/>
        <v>-8.2962071658006079E-2</v>
      </c>
      <c r="E540" s="307">
        <f t="shared" ca="1" si="241"/>
        <v>-9.7731601074737622</v>
      </c>
      <c r="F540" s="304">
        <f t="shared" ca="1" si="242"/>
        <v>9.7735122239474563</v>
      </c>
      <c r="G540" s="306">
        <f t="shared" ca="1" si="243"/>
        <v>13.647103301794964</v>
      </c>
      <c r="H540" s="307">
        <f t="shared" ca="1" si="244"/>
        <v>-7.0410923878216254</v>
      </c>
      <c r="I540" s="304">
        <f t="shared" ca="1" si="245"/>
        <v>15.356445244382002</v>
      </c>
      <c r="J540" s="306">
        <f t="shared" ca="1" si="246"/>
        <v>268.58454782558539</v>
      </c>
      <c r="K540" s="307">
        <f t="shared" ca="1" si="247"/>
        <v>1424.9888458224182</v>
      </c>
      <c r="L540" s="304">
        <f t="shared" ca="1" si="232"/>
        <v>1450.0796081763863</v>
      </c>
      <c r="M540" s="306">
        <f t="shared" ca="1" si="248"/>
        <v>-0.47631848131363785</v>
      </c>
      <c r="N540" s="304">
        <f t="shared" ca="1" si="249"/>
        <v>-27.291038683352419</v>
      </c>
      <c r="P540" s="310">
        <f t="shared" ca="1" si="250"/>
        <v>23</v>
      </c>
      <c r="Q540" s="304">
        <f t="shared" ca="1" si="251"/>
        <v>0</v>
      </c>
      <c r="R540" s="306">
        <f t="shared" ca="1" si="252"/>
        <v>0</v>
      </c>
      <c r="S540" s="307">
        <f t="shared" ca="1" si="253"/>
        <v>7.9789999999999939</v>
      </c>
      <c r="T540" s="304">
        <f t="shared" ca="1" si="233"/>
        <v>78.273989999999941</v>
      </c>
      <c r="U540" s="311">
        <f t="shared" ca="1" si="234"/>
        <v>0</v>
      </c>
      <c r="V540" s="306">
        <f t="shared" ca="1" si="235"/>
        <v>1.0620490319790452</v>
      </c>
      <c r="W540" s="304">
        <f t="shared" ca="1" si="236"/>
        <v>0.76515300969660249</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3.890543938204662</v>
      </c>
      <c r="AH540" s="304">
        <f t="shared" ca="1" si="260"/>
        <v>-9.0773801369849569E-2</v>
      </c>
    </row>
    <row r="541" spans="1:34" x14ac:dyDescent="0.2">
      <c r="A541" s="347">
        <f t="shared" ca="1" si="238"/>
        <v>0.1</v>
      </c>
      <c r="B541" s="304">
        <f t="shared" ca="1" si="239"/>
        <v>17.699999999999939</v>
      </c>
      <c r="D541" s="306">
        <f t="shared" ca="1" si="240"/>
        <v>-8.5221585392974669E-2</v>
      </c>
      <c r="E541" s="307">
        <f t="shared" ca="1" si="241"/>
        <v>-9.766030738324547</v>
      </c>
      <c r="F541" s="304">
        <f t="shared" ca="1" si="242"/>
        <v>9.766402566990406</v>
      </c>
      <c r="G541" s="306">
        <f t="shared" ca="1" si="243"/>
        <v>13.638581143255665</v>
      </c>
      <c r="H541" s="307">
        <f t="shared" ca="1" si="244"/>
        <v>-8.0176954616540801</v>
      </c>
      <c r="I541" s="304">
        <f t="shared" ca="1" si="245"/>
        <v>15.820693288127339</v>
      </c>
      <c r="J541" s="306">
        <f t="shared" ca="1" si="246"/>
        <v>269.94883204783793</v>
      </c>
      <c r="K541" s="307">
        <f t="shared" ca="1" si="247"/>
        <v>1424.2359064299444</v>
      </c>
      <c r="L541" s="304">
        <f t="shared" ca="1" si="232"/>
        <v>1449.5931460545462</v>
      </c>
      <c r="M541" s="306">
        <f t="shared" ca="1" si="248"/>
        <v>-0.53145169662001079</v>
      </c>
      <c r="N541" s="304">
        <f t="shared" ca="1" si="249"/>
        <v>-30.449939231393657</v>
      </c>
      <c r="P541" s="310">
        <f t="shared" ca="1" si="250"/>
        <v>23</v>
      </c>
      <c r="Q541" s="304">
        <f t="shared" ca="1" si="251"/>
        <v>0</v>
      </c>
      <c r="R541" s="306">
        <f t="shared" ca="1" si="252"/>
        <v>0</v>
      </c>
      <c r="S541" s="307">
        <f t="shared" ca="1" si="253"/>
        <v>7.9789999999999939</v>
      </c>
      <c r="T541" s="304">
        <f t="shared" ca="1" si="233"/>
        <v>78.273989999999941</v>
      </c>
      <c r="U541" s="311">
        <f t="shared" ca="1" si="234"/>
        <v>0</v>
      </c>
      <c r="V541" s="306">
        <f t="shared" ca="1" si="235"/>
        <v>1.0621294086756152</v>
      </c>
      <c r="W541" s="304">
        <f t="shared" ca="1" si="236"/>
        <v>0.81217719041480885</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4.4020927913756109</v>
      </c>
      <c r="AH541" s="304">
        <f t="shared" ca="1" si="260"/>
        <v>-9.5895852825742964E-2</v>
      </c>
    </row>
    <row r="542" spans="1:34" x14ac:dyDescent="0.2">
      <c r="A542" s="347">
        <f t="shared" ca="1" si="238"/>
        <v>0.1</v>
      </c>
      <c r="B542" s="304">
        <f t="shared" ca="1" si="239"/>
        <v>17.79999999999994</v>
      </c>
      <c r="D542" s="306">
        <f t="shared" ca="1" si="240"/>
        <v>-8.7749773502457371E-2</v>
      </c>
      <c r="E542" s="307">
        <f t="shared" ca="1" si="241"/>
        <v>-9.758414651540221</v>
      </c>
      <c r="F542" s="304">
        <f t="shared" ca="1" si="242"/>
        <v>9.7588091760288354</v>
      </c>
      <c r="G542" s="306">
        <f t="shared" ca="1" si="243"/>
        <v>13.629806165905419</v>
      </c>
      <c r="H542" s="307">
        <f t="shared" ca="1" si="244"/>
        <v>-8.9935369268081029</v>
      </c>
      <c r="I542" s="304">
        <f t="shared" ca="1" si="245"/>
        <v>16.329584274378032</v>
      </c>
      <c r="J542" s="306">
        <f t="shared" ca="1" si="246"/>
        <v>271.312251413296</v>
      </c>
      <c r="K542" s="307">
        <f t="shared" ca="1" si="247"/>
        <v>1423.3853448105212</v>
      </c>
      <c r="L542" s="304">
        <f t="shared" ca="1" si="232"/>
        <v>1449.0121385234556</v>
      </c>
      <c r="M542" s="306">
        <f t="shared" ca="1" si="248"/>
        <v>-0.58326387928144263</v>
      </c>
      <c r="N542" s="304">
        <f t="shared" ca="1" si="249"/>
        <v>-33.418558625254605</v>
      </c>
      <c r="P542" s="310">
        <f t="shared" ca="1" si="250"/>
        <v>23</v>
      </c>
      <c r="Q542" s="304">
        <f t="shared" ca="1" si="251"/>
        <v>0</v>
      </c>
      <c r="R542" s="306">
        <f t="shared" ca="1" si="252"/>
        <v>0</v>
      </c>
      <c r="S542" s="307">
        <f t="shared" ca="1" si="253"/>
        <v>7.9789999999999939</v>
      </c>
      <c r="T542" s="304">
        <f t="shared" ca="1" si="233"/>
        <v>78.273989999999941</v>
      </c>
      <c r="U542" s="311">
        <f t="shared" ca="1" si="234"/>
        <v>0</v>
      </c>
      <c r="V542" s="306">
        <f t="shared" ca="1" si="235"/>
        <v>1.062220213394961</v>
      </c>
      <c r="W542" s="304">
        <f t="shared" ca="1" si="236"/>
        <v>0.86534074007404782</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4.8697748610166363</v>
      </c>
      <c r="AH542" s="304">
        <f t="shared" ca="1" si="260"/>
        <v>-0.10178934583466719</v>
      </c>
    </row>
    <row r="543" spans="1:34" x14ac:dyDescent="0.2">
      <c r="A543" s="347">
        <f t="shared" ca="1" si="238"/>
        <v>0.1</v>
      </c>
      <c r="B543" s="304">
        <f t="shared" ca="1" si="239"/>
        <v>17.899999999999942</v>
      </c>
      <c r="D543" s="306">
        <f t="shared" ca="1" si="240"/>
        <v>-9.0521811597796376E-2</v>
      </c>
      <c r="E543" s="307">
        <f t="shared" ca="1" si="241"/>
        <v>-9.7502697848100865</v>
      </c>
      <c r="F543" s="304">
        <f t="shared" ca="1" si="242"/>
        <v>9.7506899794299429</v>
      </c>
      <c r="G543" s="306">
        <f t="shared" ca="1" si="243"/>
        <v>13.62075398474564</v>
      </c>
      <c r="H543" s="307">
        <f t="shared" ca="1" si="244"/>
        <v>-9.9685639052891108</v>
      </c>
      <c r="I543" s="304">
        <f t="shared" ca="1" si="245"/>
        <v>16.878898229647486</v>
      </c>
      <c r="J543" s="306">
        <f t="shared" ca="1" si="246"/>
        <v>272.67477942082854</v>
      </c>
      <c r="K543" s="307">
        <f t="shared" ca="1" si="247"/>
        <v>1422.4372397689165</v>
      </c>
      <c r="L543" s="304">
        <f t="shared" ca="1" si="232"/>
        <v>1448.3367137560283</v>
      </c>
      <c r="M543" s="306">
        <f t="shared" ca="1" si="248"/>
        <v>-0.63179384106317504</v>
      </c>
      <c r="N543" s="304">
        <f t="shared" ca="1" si="249"/>
        <v>-36.199120615279057</v>
      </c>
      <c r="P543" s="310">
        <f t="shared" ca="1" si="250"/>
        <v>23</v>
      </c>
      <c r="Q543" s="304">
        <f t="shared" ca="1" si="251"/>
        <v>0</v>
      </c>
      <c r="R543" s="306">
        <f t="shared" ca="1" si="252"/>
        <v>0</v>
      </c>
      <c r="S543" s="307">
        <f t="shared" ca="1" si="253"/>
        <v>7.9789999999999939</v>
      </c>
      <c r="T543" s="304">
        <f t="shared" ca="1" si="233"/>
        <v>78.273989999999941</v>
      </c>
      <c r="U543" s="311">
        <f t="shared" ca="1" si="234"/>
        <v>0</v>
      </c>
      <c r="V543" s="306">
        <f t="shared" ca="1" si="235"/>
        <v>1.0623214402064256</v>
      </c>
      <c r="W543" s="304">
        <f t="shared" ca="1" si="236"/>
        <v>0.92462678109083118</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5.2944162666663592</v>
      </c>
      <c r="AH543" s="304">
        <f t="shared" ca="1" si="260"/>
        <v>-0.10845227974358297</v>
      </c>
    </row>
    <row r="544" spans="1:34" x14ac:dyDescent="0.2">
      <c r="A544" s="347">
        <f t="shared" ca="1" si="238"/>
        <v>0.1</v>
      </c>
      <c r="B544" s="304">
        <f t="shared" ca="1" si="239"/>
        <v>17.999999999999943</v>
      </c>
      <c r="D544" s="306">
        <f t="shared" ca="1" si="240"/>
        <v>-9.3513660517723335E-2</v>
      </c>
      <c r="E544" s="307">
        <f t="shared" ca="1" si="241"/>
        <v>-9.7415605507644862</v>
      </c>
      <c r="F544" s="304">
        <f t="shared" ca="1" si="242"/>
        <v>9.7420093804571088</v>
      </c>
      <c r="G544" s="306">
        <f t="shared" ca="1" si="243"/>
        <v>13.611402618693868</v>
      </c>
      <c r="H544" s="307">
        <f t="shared" ca="1" si="244"/>
        <v>-10.94271996036556</v>
      </c>
      <c r="I544" s="304">
        <f t="shared" ca="1" si="245"/>
        <v>17.464632872727933</v>
      </c>
      <c r="J544" s="306">
        <f t="shared" ca="1" si="246"/>
        <v>274.03638725100052</v>
      </c>
      <c r="K544" s="307">
        <f t="shared" ca="1" si="247"/>
        <v>1421.3916755756338</v>
      </c>
      <c r="L544" s="304">
        <f t="shared" ca="1" si="232"/>
        <v>1447.5670060253819</v>
      </c>
      <c r="M544" s="306">
        <f t="shared" ca="1" si="248"/>
        <v>-0.6771373820294424</v>
      </c>
      <c r="N544" s="304">
        <f t="shared" ca="1" si="249"/>
        <v>-38.797114140824725</v>
      </c>
      <c r="P544" s="310">
        <f t="shared" ca="1" si="250"/>
        <v>23</v>
      </c>
      <c r="Q544" s="304">
        <f t="shared" ca="1" si="251"/>
        <v>0</v>
      </c>
      <c r="R544" s="306">
        <f t="shared" ca="1" si="252"/>
        <v>0</v>
      </c>
      <c r="S544" s="307">
        <f t="shared" ca="1" si="253"/>
        <v>7.9789999999999939</v>
      </c>
      <c r="T544" s="304">
        <f t="shared" ca="1" si="233"/>
        <v>78.273989999999941</v>
      </c>
      <c r="U544" s="311">
        <f t="shared" ca="1" si="234"/>
        <v>0</v>
      </c>
      <c r="V544" s="306">
        <f t="shared" ca="1" si="235"/>
        <v>1.0624330828780424</v>
      </c>
      <c r="W544" s="304">
        <f t="shared" ca="1" si="236"/>
        <v>0.99001742680993166</v>
      </c>
      <c r="Y544" s="314" t="str">
        <f t="shared" ca="1" si="254"/>
        <v/>
      </c>
      <c r="Z544" s="315" t="str">
        <f t="shared" ca="1" si="255"/>
        <v/>
      </c>
      <c r="AA544" s="316" t="str">
        <f t="shared" ca="1" si="256"/>
        <v/>
      </c>
      <c r="AC544" s="310">
        <f t="shared" ca="1" si="257"/>
        <v>17.999999999999943</v>
      </c>
      <c r="AD544" s="323">
        <f t="shared" ca="1" si="258"/>
        <v>274.03638725100052</v>
      </c>
      <c r="AE544" s="324" t="e">
        <f t="shared" ca="1" si="237"/>
        <v>#N/A</v>
      </c>
      <c r="AG544" s="306">
        <f t="shared" ca="1" si="259"/>
        <v>5.6778375590345469</v>
      </c>
      <c r="AH544" s="304">
        <f t="shared" ca="1" si="260"/>
        <v>-0.11588253930202179</v>
      </c>
    </row>
    <row r="545" spans="1:34" x14ac:dyDescent="0.2">
      <c r="A545" s="347">
        <f t="shared" ca="1" si="238"/>
        <v>0.1</v>
      </c>
      <c r="B545" s="304">
        <f t="shared" ca="1" si="239"/>
        <v>18.099999999999945</v>
      </c>
      <c r="D545" s="306">
        <f t="shared" ca="1" si="240"/>
        <v>-9.6702520521672733E-2</v>
      </c>
      <c r="E545" s="307">
        <f t="shared" ca="1" si="241"/>
        <v>-9.7322571963247313</v>
      </c>
      <c r="F545" s="304">
        <f t="shared" ca="1" si="242"/>
        <v>9.7327376165645081</v>
      </c>
      <c r="G545" s="306">
        <f t="shared" ca="1" si="243"/>
        <v>13.6017323666417</v>
      </c>
      <c r="H545" s="307">
        <f t="shared" ca="1" si="244"/>
        <v>-11.915945679998034</v>
      </c>
      <c r="I545" s="304">
        <f t="shared" ca="1" si="245"/>
        <v>18.083055184962863</v>
      </c>
      <c r="J545" s="306">
        <f t="shared" ca="1" si="246"/>
        <v>275.39704400026727</v>
      </c>
      <c r="K545" s="307">
        <f t="shared" ca="1" si="247"/>
        <v>1420.2487422936156</v>
      </c>
      <c r="L545" s="304">
        <f t="shared" ca="1" si="232"/>
        <v>1446.7031560865146</v>
      </c>
      <c r="M545" s="306">
        <f t="shared" ca="1" si="248"/>
        <v>-0.71943053842844473</v>
      </c>
      <c r="N545" s="304">
        <f t="shared" ca="1" si="249"/>
        <v>-41.220333504774267</v>
      </c>
      <c r="P545" s="310">
        <f t="shared" ca="1" si="250"/>
        <v>23</v>
      </c>
      <c r="Q545" s="304">
        <f t="shared" ca="1" si="251"/>
        <v>0</v>
      </c>
      <c r="R545" s="306">
        <f t="shared" ca="1" si="252"/>
        <v>0</v>
      </c>
      <c r="S545" s="307">
        <f t="shared" ca="1" si="253"/>
        <v>7.9789999999999939</v>
      </c>
      <c r="T545" s="304">
        <f t="shared" ca="1" si="233"/>
        <v>78.273989999999941</v>
      </c>
      <c r="U545" s="311">
        <f t="shared" ca="1" si="234"/>
        <v>0</v>
      </c>
      <c r="V545" s="306">
        <f t="shared" ca="1" si="235"/>
        <v>1.0625551348407556</v>
      </c>
      <c r="W545" s="304">
        <f t="shared" ca="1" si="236"/>
        <v>1.0614937026337841</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6.0225204221050408</v>
      </c>
      <c r="AH545" s="304">
        <f t="shared" ca="1" si="260"/>
        <v>-0.12407788279357468</v>
      </c>
    </row>
    <row r="546" spans="1:34" x14ac:dyDescent="0.2">
      <c r="A546" s="347">
        <f t="shared" ca="1" si="238"/>
        <v>0.1</v>
      </c>
      <c r="B546" s="304">
        <f t="shared" ca="1" si="239"/>
        <v>18.199999999999946</v>
      </c>
      <c r="D546" s="306">
        <f t="shared" ca="1" si="240"/>
        <v>-0.10006711397811573</v>
      </c>
      <c r="E546" s="307">
        <f t="shared" ca="1" si="241"/>
        <v>-9.7223351156767546</v>
      </c>
      <c r="F546" s="304">
        <f t="shared" ca="1" si="242"/>
        <v>9.7228500723204228</v>
      </c>
      <c r="G546" s="306">
        <f t="shared" ca="1" si="243"/>
        <v>13.591725655243888</v>
      </c>
      <c r="H546" s="307">
        <f t="shared" ca="1" si="244"/>
        <v>-12.888179191565708</v>
      </c>
      <c r="I546" s="304">
        <f t="shared" ca="1" si="245"/>
        <v>18.730727939973988</v>
      </c>
      <c r="J546" s="306">
        <f t="shared" ca="1" si="246"/>
        <v>276.75671690136153</v>
      </c>
      <c r="K546" s="307">
        <f t="shared" ca="1" si="247"/>
        <v>1419.0085360500375</v>
      </c>
      <c r="L546" s="304">
        <f t="shared" ca="1" si="232"/>
        <v>1445.7453115029946</v>
      </c>
      <c r="M546" s="306">
        <f t="shared" ca="1" si="248"/>
        <v>-0.75883534190288937</v>
      </c>
      <c r="N546" s="304">
        <f t="shared" ca="1" si="249"/>
        <v>-43.478062436402389</v>
      </c>
      <c r="P546" s="310">
        <f t="shared" ca="1" si="250"/>
        <v>23</v>
      </c>
      <c r="Q546" s="304">
        <f t="shared" ca="1" si="251"/>
        <v>0</v>
      </c>
      <c r="R546" s="306">
        <f t="shared" ca="1" si="252"/>
        <v>0</v>
      </c>
      <c r="S546" s="307">
        <f t="shared" ca="1" si="253"/>
        <v>7.9789999999999939</v>
      </c>
      <c r="T546" s="304">
        <f t="shared" ca="1" si="233"/>
        <v>78.273989999999941</v>
      </c>
      <c r="U546" s="311">
        <f t="shared" ca="1" si="234"/>
        <v>0</v>
      </c>
      <c r="V546" s="306">
        <f t="shared" ca="1" si="235"/>
        <v>1.0626875891584233</v>
      </c>
      <c r="W546" s="304">
        <f t="shared" ca="1" si="236"/>
        <v>1.1390354812463304</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6.3313267502116615</v>
      </c>
      <c r="AH546" s="304">
        <f t="shared" ca="1" si="260"/>
        <v>-0.13303593215111981</v>
      </c>
    </row>
    <row r="547" spans="1:34" x14ac:dyDescent="0.2">
      <c r="A547" s="347">
        <f t="shared" ca="1" si="238"/>
        <v>0.1</v>
      </c>
      <c r="B547" s="304">
        <f t="shared" ca="1" si="239"/>
        <v>18.299999999999947</v>
      </c>
      <c r="D547" s="306">
        <f t="shared" ca="1" si="240"/>
        <v>-0.10358782909271959</v>
      </c>
      <c r="E547" s="307">
        <f t="shared" ca="1" si="241"/>
        <v>-9.7117741722224089</v>
      </c>
      <c r="F547" s="304">
        <f t="shared" ca="1" si="242"/>
        <v>9.7123266013135279</v>
      </c>
      <c r="G547" s="306">
        <f t="shared" ca="1" si="243"/>
        <v>13.581366872334616</v>
      </c>
      <c r="H547" s="307">
        <f t="shared" ca="1" si="244"/>
        <v>-13.85935660878795</v>
      </c>
      <c r="I547" s="304">
        <f t="shared" ca="1" si="245"/>
        <v>19.404517302177407</v>
      </c>
      <c r="J547" s="306">
        <f t="shared" ca="1" si="246"/>
        <v>278.11537152774048</v>
      </c>
      <c r="K547" s="307">
        <f t="shared" ca="1" si="247"/>
        <v>1417.6711592600197</v>
      </c>
      <c r="L547" s="304">
        <f t="shared" ca="1" si="232"/>
        <v>1444.6936269249829</v>
      </c>
      <c r="M547" s="306">
        <f t="shared" ca="1" si="248"/>
        <v>-0.79552837105668361</v>
      </c>
      <c r="N547" s="304">
        <f t="shared" ca="1" si="249"/>
        <v>-45.580418144465284</v>
      </c>
      <c r="P547" s="310">
        <f t="shared" ca="1" si="250"/>
        <v>23</v>
      </c>
      <c r="Q547" s="304">
        <f t="shared" ca="1" si="251"/>
        <v>0</v>
      </c>
      <c r="R547" s="306">
        <f t="shared" ca="1" si="252"/>
        <v>0</v>
      </c>
      <c r="S547" s="307">
        <f t="shared" ca="1" si="253"/>
        <v>7.9789999999999939</v>
      </c>
      <c r="T547" s="304">
        <f t="shared" ca="1" si="233"/>
        <v>78.273989999999941</v>
      </c>
      <c r="U547" s="311">
        <f t="shared" ca="1" si="234"/>
        <v>0</v>
      </c>
      <c r="V547" s="306">
        <f t="shared" ca="1" si="235"/>
        <v>1.0628304385028644</v>
      </c>
      <c r="W547" s="304">
        <f t="shared" ca="1" si="236"/>
        <v>1.2226214301740486</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6.6072791640549271</v>
      </c>
      <c r="AH547" s="304">
        <f t="shared" ca="1" si="260"/>
        <v>-0.14275416483849246</v>
      </c>
    </row>
    <row r="548" spans="1:34" x14ac:dyDescent="0.2">
      <c r="A548" s="347">
        <f t="shared" ca="1" si="238"/>
        <v>0.1</v>
      </c>
      <c r="B548" s="304">
        <f t="shared" ca="1" si="239"/>
        <v>18.399999999999949</v>
      </c>
      <c r="D548" s="306">
        <f t="shared" ca="1" si="240"/>
        <v>-0.10724675879094035</v>
      </c>
      <c r="E548" s="307">
        <f t="shared" ca="1" si="241"/>
        <v>-9.7005580646489964</v>
      </c>
      <c r="F548" s="304">
        <f t="shared" ca="1" si="242"/>
        <v>9.7011508921827332</v>
      </c>
      <c r="G548" s="306">
        <f t="shared" ca="1" si="243"/>
        <v>13.570642196455521</v>
      </c>
      <c r="H548" s="307">
        <f t="shared" ca="1" si="244"/>
        <v>-14.82941241525285</v>
      </c>
      <c r="I548" s="304">
        <f t="shared" ca="1" si="245"/>
        <v>20.101587056893656</v>
      </c>
      <c r="J548" s="306">
        <f t="shared" ca="1" si="246"/>
        <v>279.47297198117997</v>
      </c>
      <c r="K548" s="307">
        <f t="shared" ca="1" si="247"/>
        <v>1416.2367208088176</v>
      </c>
      <c r="L548" s="304">
        <f t="shared" ca="1" si="232"/>
        <v>1443.5482643248567</v>
      </c>
      <c r="M548" s="306">
        <f t="shared" ca="1" si="248"/>
        <v>-0.82969198313548742</v>
      </c>
      <c r="N548" s="304">
        <f t="shared" ca="1" si="249"/>
        <v>-47.537848929502907</v>
      </c>
      <c r="P548" s="310">
        <f t="shared" ca="1" si="250"/>
        <v>23</v>
      </c>
      <c r="Q548" s="304">
        <f t="shared" ca="1" si="251"/>
        <v>0</v>
      </c>
      <c r="R548" s="306">
        <f t="shared" ca="1" si="252"/>
        <v>0</v>
      </c>
      <c r="S548" s="307">
        <f t="shared" ca="1" si="253"/>
        <v>7.9789999999999939</v>
      </c>
      <c r="T548" s="304">
        <f t="shared" ca="1" si="233"/>
        <v>78.273989999999941</v>
      </c>
      <c r="U548" s="311">
        <f t="shared" ca="1" si="234"/>
        <v>0</v>
      </c>
      <c r="V548" s="306">
        <f t="shared" ca="1" si="235"/>
        <v>1.0629836751332584</v>
      </c>
      <c r="W548" s="304">
        <f t="shared" ca="1" si="236"/>
        <v>1.3122289700109717</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6.853400879510315</v>
      </c>
      <c r="AH548" s="304">
        <f t="shared" ca="1" si="260"/>
        <v>-0.15322990727836189</v>
      </c>
    </row>
    <row r="549" spans="1:34" x14ac:dyDescent="0.2">
      <c r="A549" s="347">
        <f t="shared" ca="1" si="238"/>
        <v>0.1</v>
      </c>
      <c r="B549" s="304">
        <f t="shared" ca="1" si="239"/>
        <v>18.49999999999995</v>
      </c>
      <c r="D549" s="306">
        <f t="shared" ca="1" si="240"/>
        <v>-0.11102766574706029</v>
      </c>
      <c r="E549" s="307">
        <f t="shared" ca="1" si="241"/>
        <v>-9.6886737561103757</v>
      </c>
      <c r="F549" s="304">
        <f t="shared" ca="1" si="242"/>
        <v>9.6893098977637813</v>
      </c>
      <c r="G549" s="306">
        <f t="shared" ca="1" si="243"/>
        <v>13.559539429880816</v>
      </c>
      <c r="H549" s="307">
        <f t="shared" ca="1" si="244"/>
        <v>-15.798279790863887</v>
      </c>
      <c r="I549" s="304">
        <f t="shared" ca="1" si="245"/>
        <v>20.819384090335404</v>
      </c>
      <c r="J549" s="306">
        <f t="shared" ca="1" si="246"/>
        <v>280.82948106249677</v>
      </c>
      <c r="K549" s="307">
        <f t="shared" ca="1" si="247"/>
        <v>1414.7053361985118</v>
      </c>
      <c r="L549" s="304">
        <f t="shared" ca="1" si="232"/>
        <v>1442.3093931963333</v>
      </c>
      <c r="M549" s="306">
        <f t="shared" ca="1" si="248"/>
        <v>-0.8615079008408133</v>
      </c>
      <c r="N549" s="304">
        <f t="shared" ca="1" si="249"/>
        <v>-49.360766735353629</v>
      </c>
      <c r="P549" s="310">
        <f t="shared" ca="1" si="250"/>
        <v>23</v>
      </c>
      <c r="Q549" s="304">
        <f t="shared" ca="1" si="251"/>
        <v>0</v>
      </c>
      <c r="R549" s="306">
        <f t="shared" ca="1" si="252"/>
        <v>0</v>
      </c>
      <c r="S549" s="307">
        <f t="shared" ca="1" si="253"/>
        <v>7.9789999999999939</v>
      </c>
      <c r="T549" s="304">
        <f t="shared" ca="1" si="233"/>
        <v>78.273989999999941</v>
      </c>
      <c r="U549" s="311">
        <f t="shared" ca="1" si="234"/>
        <v>0</v>
      </c>
      <c r="V549" s="306">
        <f t="shared" ca="1" si="235"/>
        <v>1.0631472908792481</v>
      </c>
      <c r="W549" s="304">
        <f t="shared" ca="1" si="236"/>
        <v>1.4078342417809666</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7.0726068423378816</v>
      </c>
      <c r="AH549" s="304">
        <f t="shared" ca="1" si="260"/>
        <v>-0.16446032961661519</v>
      </c>
    </row>
    <row r="550" spans="1:34" x14ac:dyDescent="0.2">
      <c r="A550" s="347">
        <f t="shared" ca="1" si="238"/>
        <v>0.1</v>
      </c>
      <c r="B550" s="304">
        <f t="shared" ca="1" si="239"/>
        <v>18.599999999999952</v>
      </c>
      <c r="D550" s="306">
        <f t="shared" ca="1" si="240"/>
        <v>-0.11491589924232544</v>
      </c>
      <c r="E550" s="307">
        <f t="shared" ca="1" si="241"/>
        <v>-9.6761109738986963</v>
      </c>
      <c r="F550" s="304">
        <f t="shared" ca="1" si="242"/>
        <v>9.6767933347313697</v>
      </c>
      <c r="G550" s="306">
        <f t="shared" ca="1" si="243"/>
        <v>13.548047839956583</v>
      </c>
      <c r="H550" s="307">
        <f t="shared" ca="1" si="244"/>
        <v>-16.765890888253757</v>
      </c>
      <c r="I550" s="304">
        <f t="shared" ca="1" si="245"/>
        <v>21.555618700250349</v>
      </c>
      <c r="J550" s="306">
        <f t="shared" ca="1" si="246"/>
        <v>282.18486042598863</v>
      </c>
      <c r="K550" s="307">
        <f t="shared" ca="1" si="247"/>
        <v>1413.077127664556</v>
      </c>
      <c r="L550" s="304">
        <f t="shared" ca="1" si="232"/>
        <v>1440.977190722444</v>
      </c>
      <c r="M550" s="306">
        <f t="shared" ca="1" si="248"/>
        <v>-0.89115274613853002</v>
      </c>
      <c r="N550" s="304">
        <f t="shared" ca="1" si="249"/>
        <v>-51.059291255231038</v>
      </c>
      <c r="P550" s="310">
        <f t="shared" ca="1" si="250"/>
        <v>23</v>
      </c>
      <c r="Q550" s="304">
        <f t="shared" ca="1" si="251"/>
        <v>0</v>
      </c>
      <c r="R550" s="306">
        <f t="shared" ca="1" si="252"/>
        <v>0</v>
      </c>
      <c r="S550" s="307">
        <f t="shared" ca="1" si="253"/>
        <v>7.9789999999999939</v>
      </c>
      <c r="T550" s="304">
        <f t="shared" ca="1" si="233"/>
        <v>78.273989999999941</v>
      </c>
      <c r="U550" s="311">
        <f t="shared" ca="1" si="234"/>
        <v>0</v>
      </c>
      <c r="V550" s="306">
        <f t="shared" ca="1" si="235"/>
        <v>1.0633212771271723</v>
      </c>
      <c r="W550" s="304">
        <f t="shared" ca="1" si="236"/>
        <v>1.5094120820856993</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7.2676358306124094</v>
      </c>
      <c r="AH550" s="304">
        <f t="shared" ca="1" si="260"/>
        <v>-0.1764424416319047</v>
      </c>
    </row>
    <row r="551" spans="1:34" x14ac:dyDescent="0.2">
      <c r="A551" s="347">
        <f t="shared" ca="1" si="238"/>
        <v>0.1</v>
      </c>
      <c r="B551" s="304">
        <f t="shared" ca="1" si="239"/>
        <v>18.699999999999953</v>
      </c>
      <c r="D551" s="306">
        <f t="shared" ca="1" si="240"/>
        <v>-0.11889828373089086</v>
      </c>
      <c r="E551" s="307">
        <f t="shared" ca="1" si="241"/>
        <v>-9.6628617793957297</v>
      </c>
      <c r="F551" s="304">
        <f t="shared" ca="1" si="242"/>
        <v>9.6635932535253648</v>
      </c>
      <c r="G551" s="306">
        <f t="shared" ca="1" si="243"/>
        <v>13.536158011583494</v>
      </c>
      <c r="H551" s="307">
        <f t="shared" ca="1" si="244"/>
        <v>-17.73217706619333</v>
      </c>
      <c r="I551" s="304">
        <f t="shared" ca="1" si="245"/>
        <v>22.308242360647526</v>
      </c>
      <c r="J551" s="306">
        <f t="shared" ca="1" si="246"/>
        <v>283.53907071856565</v>
      </c>
      <c r="K551" s="307">
        <f t="shared" ca="1" si="247"/>
        <v>1411.3522242668337</v>
      </c>
      <c r="L551" s="304">
        <f t="shared" ca="1" si="232"/>
        <v>1439.5518419170901</v>
      </c>
      <c r="M551" s="306">
        <f t="shared" ca="1" si="248"/>
        <v>-0.91879511073609987</v>
      </c>
      <c r="N551" s="304">
        <f t="shared" ca="1" si="249"/>
        <v>-52.643082082433637</v>
      </c>
      <c r="P551" s="310">
        <f t="shared" ca="1" si="250"/>
        <v>23</v>
      </c>
      <c r="Q551" s="304">
        <f t="shared" ca="1" si="251"/>
        <v>0</v>
      </c>
      <c r="R551" s="306">
        <f t="shared" ca="1" si="252"/>
        <v>0</v>
      </c>
      <c r="S551" s="307">
        <f t="shared" ca="1" si="253"/>
        <v>7.9789999999999939</v>
      </c>
      <c r="T551" s="304">
        <f t="shared" ca="1" si="233"/>
        <v>78.273989999999941</v>
      </c>
      <c r="U551" s="311">
        <f t="shared" ca="1" si="234"/>
        <v>0</v>
      </c>
      <c r="V551" s="306">
        <f t="shared" ca="1" si="235"/>
        <v>1.0635056248089376</v>
      </c>
      <c r="W551" s="304">
        <f t="shared" ca="1" si="236"/>
        <v>1.6169360048676342</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7.4410133550789075</v>
      </c>
      <c r="AH551" s="304">
        <f t="shared" ca="1" si="260"/>
        <v>-0.1891730896209676</v>
      </c>
    </row>
    <row r="552" spans="1:34" x14ac:dyDescent="0.2">
      <c r="A552" s="347">
        <f t="shared" ca="1" si="238"/>
        <v>0.1</v>
      </c>
      <c r="B552" s="304">
        <f t="shared" ca="1" si="239"/>
        <v>18.799999999999955</v>
      </c>
      <c r="D552" s="306">
        <f t="shared" ca="1" si="240"/>
        <v>-0.12296299365093029</v>
      </c>
      <c r="E552" s="307">
        <f t="shared" ca="1" si="241"/>
        <v>-9.6489202036396424</v>
      </c>
      <c r="F552" s="304">
        <f t="shared" ca="1" si="242"/>
        <v>9.6497036738965658</v>
      </c>
      <c r="G552" s="306">
        <f t="shared" ca="1" si="243"/>
        <v>13.5238617122184</v>
      </c>
      <c r="H552" s="307">
        <f t="shared" ca="1" si="244"/>
        <v>-18.697069086557295</v>
      </c>
      <c r="I552" s="304">
        <f t="shared" ca="1" si="245"/>
        <v>23.075424763993041</v>
      </c>
      <c r="J552" s="306">
        <f t="shared" ca="1" si="246"/>
        <v>284.89207170475572</v>
      </c>
      <c r="K552" s="307">
        <f t="shared" ca="1" si="247"/>
        <v>1409.5307619591961</v>
      </c>
      <c r="L552" s="304">
        <f t="shared" ca="1" si="232"/>
        <v>1438.0335397442925</v>
      </c>
      <c r="M552" s="306">
        <f t="shared" ca="1" si="248"/>
        <v>-0.94459379404217736</v>
      </c>
      <c r="N552" s="304">
        <f t="shared" ca="1" si="249"/>
        <v>-54.121237752866492</v>
      </c>
      <c r="P552" s="310">
        <f t="shared" ca="1" si="250"/>
        <v>23</v>
      </c>
      <c r="Q552" s="304">
        <f t="shared" ca="1" si="251"/>
        <v>0</v>
      </c>
      <c r="R552" s="306">
        <f t="shared" ca="1" si="252"/>
        <v>0</v>
      </c>
      <c r="S552" s="307">
        <f t="shared" ca="1" si="253"/>
        <v>7.9789999999999939</v>
      </c>
      <c r="T552" s="304">
        <f t="shared" ca="1" si="233"/>
        <v>78.273989999999941</v>
      </c>
      <c r="U552" s="311">
        <f t="shared" ca="1" si="234"/>
        <v>0</v>
      </c>
      <c r="V552" s="306">
        <f t="shared" ca="1" si="235"/>
        <v>1.0637003243930971</v>
      </c>
      <c r="W552" s="304">
        <f t="shared" ca="1" si="236"/>
        <v>1.7303781887899647</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7.5950365025509798</v>
      </c>
      <c r="AH552" s="304">
        <f t="shared" ca="1" si="260"/>
        <v>-0.20264895411300107</v>
      </c>
    </row>
    <row r="553" spans="1:34" x14ac:dyDescent="0.2">
      <c r="A553" s="347">
        <f t="shared" ca="1" si="238"/>
        <v>0.1</v>
      </c>
      <c r="B553" s="304">
        <f t="shared" ca="1" si="239"/>
        <v>18.899999999999956</v>
      </c>
      <c r="D553" s="306">
        <f t="shared" ca="1" si="240"/>
        <v>-0.12709942456311937</v>
      </c>
      <c r="E553" s="307">
        <f t="shared" ca="1" si="241"/>
        <v>-9.6342819416164751</v>
      </c>
      <c r="F553" s="304">
        <f t="shared" ca="1" si="242"/>
        <v>9.6351202791808266</v>
      </c>
      <c r="G553" s="306">
        <f t="shared" ca="1" si="243"/>
        <v>13.511151769762089</v>
      </c>
      <c r="H553" s="307">
        <f t="shared" ca="1" si="244"/>
        <v>-19.660497280718943</v>
      </c>
      <c r="I553" s="304">
        <f t="shared" ca="1" si="245"/>
        <v>23.85553133909832</v>
      </c>
      <c r="J553" s="306">
        <f t="shared" ca="1" si="246"/>
        <v>286.24382237885476</v>
      </c>
      <c r="K553" s="307">
        <f t="shared" ca="1" si="247"/>
        <v>1407.6128836408323</v>
      </c>
      <c r="L553" s="304">
        <f t="shared" ca="1" si="232"/>
        <v>1436.4224852186478</v>
      </c>
      <c r="M553" s="306">
        <f t="shared" ca="1" si="248"/>
        <v>-0.96869689847564855</v>
      </c>
      <c r="N553" s="304">
        <f t="shared" ca="1" si="249"/>
        <v>-55.502243910067449</v>
      </c>
      <c r="P553" s="310">
        <f t="shared" ca="1" si="250"/>
        <v>23</v>
      </c>
      <c r="Q553" s="304">
        <f t="shared" ca="1" si="251"/>
        <v>0</v>
      </c>
      <c r="R553" s="306">
        <f t="shared" ca="1" si="252"/>
        <v>0</v>
      </c>
      <c r="S553" s="307">
        <f t="shared" ca="1" si="253"/>
        <v>7.9789999999999939</v>
      </c>
      <c r="T553" s="304">
        <f t="shared" ca="1" si="233"/>
        <v>78.273989999999941</v>
      </c>
      <c r="U553" s="311">
        <f t="shared" ca="1" si="234"/>
        <v>0</v>
      </c>
      <c r="V553" s="306">
        <f t="shared" ca="1" si="235"/>
        <v>1.0639053658777895</v>
      </c>
      <c r="W553" s="304">
        <f t="shared" ca="1" si="236"/>
        <v>1.8497094693920564</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7.7317736009210138</v>
      </c>
      <c r="AH553" s="304">
        <f t="shared" ca="1" si="260"/>
        <v>-0.21686654828800175</v>
      </c>
    </row>
    <row r="554" spans="1:34" x14ac:dyDescent="0.2">
      <c r="A554" s="347">
        <f t="shared" ca="1" si="238"/>
        <v>0.1</v>
      </c>
      <c r="B554" s="304">
        <f t="shared" ca="1" si="239"/>
        <v>18.999999999999957</v>
      </c>
      <c r="D554" s="306">
        <f t="shared" ca="1" si="240"/>
        <v>-0.13129806722308987</v>
      </c>
      <c r="E554" s="307">
        <f t="shared" ca="1" si="241"/>
        <v>-9.6189440976171738</v>
      </c>
      <c r="F554" s="304">
        <f t="shared" ca="1" si="242"/>
        <v>9.6198401616420206</v>
      </c>
      <c r="G554" s="306">
        <f t="shared" ca="1" si="243"/>
        <v>13.498021963039779</v>
      </c>
      <c r="H554" s="307">
        <f t="shared" ca="1" si="244"/>
        <v>-20.622391690480661</v>
      </c>
      <c r="I554" s="304">
        <f t="shared" ca="1" si="245"/>
        <v>24.647101978737989</v>
      </c>
      <c r="J554" s="306">
        <f t="shared" ca="1" si="246"/>
        <v>287.59428106549484</v>
      </c>
      <c r="K554" s="307">
        <f t="shared" ca="1" si="247"/>
        <v>1405.5987391922722</v>
      </c>
      <c r="L554" s="304">
        <f t="shared" ca="1" si="232"/>
        <v>1434.7188874899794</v>
      </c>
      <c r="M554" s="306">
        <f t="shared" ca="1" si="248"/>
        <v>-0.99124153373385215</v>
      </c>
      <c r="N554" s="304">
        <f t="shared" ca="1" si="249"/>
        <v>-56.79395636102435</v>
      </c>
      <c r="P554" s="310">
        <f t="shared" ca="1" si="250"/>
        <v>23</v>
      </c>
      <c r="Q554" s="304">
        <f t="shared" ca="1" si="251"/>
        <v>0</v>
      </c>
      <c r="R554" s="306">
        <f t="shared" ca="1" si="252"/>
        <v>0</v>
      </c>
      <c r="S554" s="307">
        <f t="shared" ca="1" si="253"/>
        <v>7.9789999999999939</v>
      </c>
      <c r="T554" s="304">
        <f t="shared" ca="1" si="233"/>
        <v>78.273989999999941</v>
      </c>
      <c r="U554" s="311">
        <f t="shared" ca="1" si="234"/>
        <v>0</v>
      </c>
      <c r="V554" s="306">
        <f t="shared" ca="1" si="235"/>
        <v>1.0641207387852301</v>
      </c>
      <c r="W554" s="304">
        <f t="shared" ca="1" si="236"/>
        <v>1.9748993353164948</v>
      </c>
      <c r="Y554" s="314" t="str">
        <f t="shared" ca="1" si="254"/>
        <v/>
      </c>
      <c r="Z554" s="315" t="str">
        <f t="shared" ca="1" si="255"/>
        <v/>
      </c>
      <c r="AA554" s="316" t="str">
        <f t="shared" ca="1" si="256"/>
        <v/>
      </c>
      <c r="AC554" s="310">
        <f t="shared" ca="1" si="257"/>
        <v>18.999999999999957</v>
      </c>
      <c r="AD554" s="323">
        <f t="shared" ca="1" si="258"/>
        <v>287.59428106549484</v>
      </c>
      <c r="AE554" s="324" t="e">
        <f t="shared" ca="1" si="237"/>
        <v>#N/A</v>
      </c>
      <c r="AG554" s="306">
        <f t="shared" ca="1" si="259"/>
        <v>7.8530732976892619</v>
      </c>
      <c r="AH554" s="304">
        <f t="shared" ca="1" si="260"/>
        <v>-0.23182221699361547</v>
      </c>
    </row>
    <row r="555" spans="1:34" x14ac:dyDescent="0.2">
      <c r="A555" s="347">
        <f t="shared" ca="1" si="238"/>
        <v>0.1</v>
      </c>
      <c r="B555" s="304">
        <f t="shared" ca="1" si="239"/>
        <v>19.099999999999959</v>
      </c>
      <c r="D555" s="306">
        <f t="shared" ca="1" si="240"/>
        <v>-0.13555038861786511</v>
      </c>
      <c r="E555" s="307">
        <f t="shared" ca="1" si="241"/>
        <v>-9.6029049741118548</v>
      </c>
      <c r="F555" s="304">
        <f t="shared" ca="1" si="242"/>
        <v>9.6038616113351338</v>
      </c>
      <c r="G555" s="306">
        <f t="shared" ca="1" si="243"/>
        <v>13.484466924177992</v>
      </c>
      <c r="H555" s="307">
        <f t="shared" ca="1" si="244"/>
        <v>-21.582682187891848</v>
      </c>
      <c r="I555" s="304">
        <f t="shared" ca="1" si="245"/>
        <v>25.448831380886517</v>
      </c>
      <c r="J555" s="306">
        <f t="shared" ca="1" si="246"/>
        <v>288.94340550985572</v>
      </c>
      <c r="K555" s="307">
        <f t="shared" ca="1" si="247"/>
        <v>1403.4884854983536</v>
      </c>
      <c r="L555" s="304">
        <f t="shared" ca="1" si="232"/>
        <v>1432.9229639147022</v>
      </c>
      <c r="M555" s="306">
        <f t="shared" ca="1" si="248"/>
        <v>-1.012353938103453</v>
      </c>
      <c r="N555" s="304">
        <f t="shared" ca="1" si="249"/>
        <v>-58.003608026776028</v>
      </c>
      <c r="P555" s="310">
        <f t="shared" ca="1" si="250"/>
        <v>23</v>
      </c>
      <c r="Q555" s="304">
        <f t="shared" ca="1" si="251"/>
        <v>0</v>
      </c>
      <c r="R555" s="306">
        <f t="shared" ca="1" si="252"/>
        <v>0</v>
      </c>
      <c r="S555" s="307">
        <f t="shared" ca="1" si="253"/>
        <v>7.9789999999999939</v>
      </c>
      <c r="T555" s="304">
        <f t="shared" ca="1" si="233"/>
        <v>78.273989999999941</v>
      </c>
      <c r="U555" s="311">
        <f t="shared" ca="1" si="234"/>
        <v>0</v>
      </c>
      <c r="V555" s="306">
        <f t="shared" ca="1" si="235"/>
        <v>1.0643464321575098</v>
      </c>
      <c r="W555" s="304">
        <f t="shared" ca="1" si="236"/>
        <v>2.1059159280218331</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7.960579129716554</v>
      </c>
      <c r="AH555" s="304">
        <f t="shared" ca="1" si="260"/>
        <v>-0.24751213627227675</v>
      </c>
    </row>
    <row r="556" spans="1:34" x14ac:dyDescent="0.2">
      <c r="A556" s="347">
        <f t="shared" ca="1" si="238"/>
        <v>0.1</v>
      </c>
      <c r="B556" s="304">
        <f t="shared" ca="1" si="239"/>
        <v>19.19999999999996</v>
      </c>
      <c r="D556" s="306">
        <f t="shared" ca="1" si="240"/>
        <v>-0.13984872216680827</v>
      </c>
      <c r="E556" s="307">
        <f t="shared" ca="1" si="241"/>
        <v>-9.5861638971803114</v>
      </c>
      <c r="F556" s="304">
        <f t="shared" ca="1" si="242"/>
        <v>9.5871839415281332</v>
      </c>
      <c r="G556" s="306">
        <f t="shared" ca="1" si="243"/>
        <v>13.470482051961312</v>
      </c>
      <c r="H556" s="307">
        <f t="shared" ca="1" si="244"/>
        <v>-22.541298577609879</v>
      </c>
      <c r="I556" s="304">
        <f t="shared" ca="1" si="245"/>
        <v>26.259551181944619</v>
      </c>
      <c r="J556" s="306">
        <f t="shared" ca="1" si="246"/>
        <v>290.29115295866268</v>
      </c>
      <c r="K556" s="307">
        <f t="shared" ca="1" si="247"/>
        <v>1401.2822864600785</v>
      </c>
      <c r="L556" s="304">
        <f t="shared" ca="1" si="232"/>
        <v>1431.0349401160179</v>
      </c>
      <c r="M556" s="306">
        <f t="shared" ca="1" si="248"/>
        <v>-1.0321498727802194</v>
      </c>
      <c r="N556" s="304">
        <f t="shared" ca="1" si="249"/>
        <v>-59.137831535271424</v>
      </c>
      <c r="P556" s="310">
        <f t="shared" ca="1" si="250"/>
        <v>23</v>
      </c>
      <c r="Q556" s="304">
        <f t="shared" ca="1" si="251"/>
        <v>0</v>
      </c>
      <c r="R556" s="306">
        <f t="shared" ca="1" si="252"/>
        <v>0</v>
      </c>
      <c r="S556" s="307">
        <f t="shared" ca="1" si="253"/>
        <v>7.9789999999999939</v>
      </c>
      <c r="T556" s="304">
        <f t="shared" ca="1" si="233"/>
        <v>78.273989999999941</v>
      </c>
      <c r="U556" s="311">
        <f t="shared" ca="1" si="234"/>
        <v>0</v>
      </c>
      <c r="V556" s="306">
        <f t="shared" ca="1" si="235"/>
        <v>1.0645824345535018</v>
      </c>
      <c r="W556" s="304">
        <f t="shared" ca="1" si="236"/>
        <v>2.2427260444947437</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8.0557468536418479</v>
      </c>
      <c r="AH556" s="304">
        <f t="shared" ca="1" si="260"/>
        <v>-0.263932313325208</v>
      </c>
    </row>
    <row r="557" spans="1:34" x14ac:dyDescent="0.2">
      <c r="A557" s="347">
        <f t="shared" ca="1" si="238"/>
        <v>0.1</v>
      </c>
      <c r="B557" s="304">
        <f t="shared" ca="1" si="239"/>
        <v>19.299999999999962</v>
      </c>
      <c r="D557" s="306">
        <f t="shared" ca="1" si="240"/>
        <v>-0.14418616804038537</v>
      </c>
      <c r="E557" s="307">
        <f t="shared" ca="1" si="241"/>
        <v>-9.5687210723400558</v>
      </c>
      <c r="F557" s="304">
        <f t="shared" ca="1" si="242"/>
        <v>9.5698073445236496</v>
      </c>
      <c r="G557" s="306">
        <f t="shared" ca="1" si="243"/>
        <v>13.456063435157274</v>
      </c>
      <c r="H557" s="307">
        <f t="shared" ca="1" si="244"/>
        <v>-23.498170684843885</v>
      </c>
      <c r="I557" s="304">
        <f t="shared" ca="1" si="245"/>
        <v>27.078213912757118</v>
      </c>
      <c r="J557" s="306">
        <f t="shared" ca="1" si="246"/>
        <v>291.63748023301861</v>
      </c>
      <c r="K557" s="307">
        <f t="shared" ca="1" si="247"/>
        <v>1398.9803129969557</v>
      </c>
      <c r="L557" s="304">
        <f t="shared" ca="1" si="232"/>
        <v>1429.055050034716</v>
      </c>
      <c r="M557" s="306">
        <f t="shared" ca="1" si="248"/>
        <v>-1.0507351838024492</v>
      </c>
      <c r="N557" s="304">
        <f t="shared" ca="1" si="249"/>
        <v>-60.202691417783157</v>
      </c>
      <c r="P557" s="310">
        <f t="shared" ca="1" si="250"/>
        <v>23</v>
      </c>
      <c r="Q557" s="304">
        <f t="shared" ca="1" si="251"/>
        <v>0</v>
      </c>
      <c r="R557" s="306">
        <f t="shared" ca="1" si="252"/>
        <v>0</v>
      </c>
      <c r="S557" s="307">
        <f t="shared" ca="1" si="253"/>
        <v>7.9789999999999939</v>
      </c>
      <c r="T557" s="304">
        <f t="shared" ca="1" si="233"/>
        <v>78.273989999999941</v>
      </c>
      <c r="U557" s="311">
        <f t="shared" ca="1" si="234"/>
        <v>0</v>
      </c>
      <c r="V557" s="306">
        <f t="shared" ca="1" si="235"/>
        <v>1.0648287340466966</v>
      </c>
      <c r="W557" s="304">
        <f t="shared" ca="1" si="236"/>
        <v>2.3852951425582725</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8.1398627123423122</v>
      </c>
      <c r="AH557" s="304">
        <f t="shared" ca="1" si="260"/>
        <v>-0.28107858685233056</v>
      </c>
    </row>
    <row r="558" spans="1:34" x14ac:dyDescent="0.2">
      <c r="A558" s="347">
        <f t="shared" ca="1" si="238"/>
        <v>0.1</v>
      </c>
      <c r="B558" s="304">
        <f t="shared" ca="1" si="239"/>
        <v>19.399999999999963</v>
      </c>
      <c r="D558" s="306">
        <f t="shared" ca="1" si="240"/>
        <v>-0.14855650373595911</v>
      </c>
      <c r="E558" s="307">
        <f t="shared" ca="1" si="241"/>
        <v>-9.5505774654710223</v>
      </c>
      <c r="F558" s="304">
        <f t="shared" ca="1" si="242"/>
        <v>9.5517327725792853</v>
      </c>
      <c r="G558" s="306">
        <f t="shared" ca="1" si="243"/>
        <v>13.441207784783678</v>
      </c>
      <c r="H558" s="307">
        <f t="shared" ca="1" si="244"/>
        <v>-24.453228431390986</v>
      </c>
      <c r="I558" s="304">
        <f t="shared" ca="1" si="245"/>
        <v>27.903878716614251</v>
      </c>
      <c r="J558" s="306">
        <f t="shared" ca="1" si="246"/>
        <v>292.98234379401566</v>
      </c>
      <c r="K558" s="307">
        <f t="shared" ca="1" si="247"/>
        <v>1396.5827430411439</v>
      </c>
      <c r="L558" s="304">
        <f t="shared" ca="1" si="232"/>
        <v>1426.983535972073</v>
      </c>
      <c r="M558" s="306">
        <f t="shared" ca="1" si="248"/>
        <v>-1.0682064563019065</v>
      </c>
      <c r="N558" s="304">
        <f t="shared" ca="1" si="249"/>
        <v>-61.203721594725039</v>
      </c>
      <c r="P558" s="310">
        <f t="shared" ca="1" si="250"/>
        <v>23</v>
      </c>
      <c r="Q558" s="304">
        <f t="shared" ca="1" si="251"/>
        <v>0</v>
      </c>
      <c r="R558" s="306">
        <f t="shared" ca="1" si="252"/>
        <v>0</v>
      </c>
      <c r="S558" s="307">
        <f t="shared" ca="1" si="253"/>
        <v>7.9789999999999939</v>
      </c>
      <c r="T558" s="304">
        <f t="shared" ca="1" si="233"/>
        <v>78.273989999999941</v>
      </c>
      <c r="U558" s="311">
        <f t="shared" ca="1" si="234"/>
        <v>0</v>
      </c>
      <c r="V558" s="306">
        <f t="shared" ca="1" si="235"/>
        <v>1.0650853182238353</v>
      </c>
      <c r="W558" s="304">
        <f t="shared" ca="1" si="236"/>
        <v>2.5335873484416465</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8.214061473962202</v>
      </c>
      <c r="AH558" s="304">
        <f t="shared" ca="1" si="260"/>
        <v>-0.29894662771754282</v>
      </c>
    </row>
    <row r="559" spans="1:34" x14ac:dyDescent="0.2">
      <c r="A559" s="347">
        <f t="shared" ca="1" si="238"/>
        <v>0.1</v>
      </c>
      <c r="B559" s="304">
        <f t="shared" ca="1" si="239"/>
        <v>19.499999999999964</v>
      </c>
      <c r="D559" s="306">
        <f t="shared" ca="1" si="240"/>
        <v>-0.1529541045462498</v>
      </c>
      <c r="E559" s="307">
        <f t="shared" ca="1" si="241"/>
        <v>-9.5317347043602378</v>
      </c>
      <c r="F559" s="304">
        <f t="shared" ca="1" si="242"/>
        <v>9.5329618394496318</v>
      </c>
      <c r="G559" s="306">
        <f t="shared" ca="1" si="243"/>
        <v>13.425912374329053</v>
      </c>
      <c r="H559" s="307">
        <f t="shared" ca="1" si="244"/>
        <v>-25.40640190182701</v>
      </c>
      <c r="I559" s="304">
        <f t="shared" ca="1" si="245"/>
        <v>28.735698715714591</v>
      </c>
      <c r="J559" s="306">
        <f t="shared" ca="1" si="246"/>
        <v>294.32569980197133</v>
      </c>
      <c r="K559" s="307">
        <f t="shared" ca="1" si="247"/>
        <v>1394.089761524483</v>
      </c>
      <c r="L559" s="304">
        <f t="shared" ca="1" si="232"/>
        <v>1424.8206486261035</v>
      </c>
      <c r="M559" s="306">
        <f t="shared" ca="1" si="248"/>
        <v>-1.0846517086020968</v>
      </c>
      <c r="N559" s="304">
        <f t="shared" ca="1" si="249"/>
        <v>-62.145965144553756</v>
      </c>
      <c r="P559" s="310">
        <f t="shared" ca="1" si="250"/>
        <v>23</v>
      </c>
      <c r="Q559" s="304">
        <f t="shared" ca="1" si="251"/>
        <v>0</v>
      </c>
      <c r="R559" s="306">
        <f t="shared" ca="1" si="252"/>
        <v>0</v>
      </c>
      <c r="S559" s="307">
        <f t="shared" ca="1" si="253"/>
        <v>7.9789999999999939</v>
      </c>
      <c r="T559" s="304">
        <f t="shared" ca="1" si="233"/>
        <v>78.273989999999941</v>
      </c>
      <c r="U559" s="311">
        <f t="shared" ca="1" si="234"/>
        <v>0</v>
      </c>
      <c r="V559" s="306">
        <f t="shared" ca="1" si="235"/>
        <v>1.065352174184222</v>
      </c>
      <c r="W559" s="304">
        <f t="shared" ca="1" si="236"/>
        <v>2.6875654663335418</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8.2793435464167633</v>
      </c>
      <c r="AH559" s="304">
        <f t="shared" ca="1" si="260"/>
        <v>-0.31753193989743683</v>
      </c>
    </row>
    <row r="560" spans="1:34" x14ac:dyDescent="0.2">
      <c r="A560" s="347">
        <f t="shared" ca="1" si="238"/>
        <v>0.1</v>
      </c>
      <c r="B560" s="304">
        <f t="shared" ca="1" si="239"/>
        <v>19.599999999999966</v>
      </c>
      <c r="D560" s="306">
        <f t="shared" ca="1" si="240"/>
        <v>-0.15737387326799829</v>
      </c>
      <c r="E560" s="307">
        <f t="shared" ca="1" si="241"/>
        <v>-9.512194997135623</v>
      </c>
      <c r="F560" s="304">
        <f t="shared" ca="1" si="242"/>
        <v>9.5134967388189793</v>
      </c>
      <c r="G560" s="306">
        <f t="shared" ca="1" si="243"/>
        <v>13.410174987002254</v>
      </c>
      <c r="H560" s="307">
        <f t="shared" ca="1" si="244"/>
        <v>-26.357621401540573</v>
      </c>
      <c r="I560" s="304">
        <f t="shared" ca="1" si="245"/>
        <v>29.572909886059076</v>
      </c>
      <c r="J560" s="306">
        <f t="shared" ca="1" si="246"/>
        <v>295.66750417003789</v>
      </c>
      <c r="K560" s="307">
        <f t="shared" ca="1" si="247"/>
        <v>1391.5015603593147</v>
      </c>
      <c r="L560" s="304">
        <f t="shared" ca="1" si="232"/>
        <v>1422.5666471222173</v>
      </c>
      <c r="M560" s="306">
        <f t="shared" ca="1" si="248"/>
        <v>-1.100151090631549</v>
      </c>
      <c r="N560" s="304">
        <f t="shared" ca="1" si="249"/>
        <v>-63.034014319902283</v>
      </c>
      <c r="P560" s="310">
        <f t="shared" ca="1" si="250"/>
        <v>23</v>
      </c>
      <c r="Q560" s="304">
        <f t="shared" ca="1" si="251"/>
        <v>0</v>
      </c>
      <c r="R560" s="306">
        <f t="shared" ca="1" si="252"/>
        <v>0</v>
      </c>
      <c r="S560" s="307">
        <f t="shared" ca="1" si="253"/>
        <v>7.9789999999999939</v>
      </c>
      <c r="T560" s="304">
        <f t="shared" ca="1" si="233"/>
        <v>78.273989999999941</v>
      </c>
      <c r="U560" s="311">
        <f t="shared" ca="1" si="234"/>
        <v>0</v>
      </c>
      <c r="V560" s="306">
        <f t="shared" ca="1" si="235"/>
        <v>1.065629288539619</v>
      </c>
      <c r="W560" s="304">
        <f t="shared" ca="1" si="236"/>
        <v>2.8471909896869945</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8.3365907891519218</v>
      </c>
      <c r="AH560" s="304">
        <f t="shared" ca="1" si="260"/>
        <v>-0.3368298616785993</v>
      </c>
    </row>
    <row r="561" spans="1:34" x14ac:dyDescent="0.2">
      <c r="A561" s="347">
        <f t="shared" ca="1" si="238"/>
        <v>0.1</v>
      </c>
      <c r="B561" s="304">
        <f t="shared" ca="1" si="239"/>
        <v>19.699999999999967</v>
      </c>
      <c r="D561" s="306">
        <f t="shared" ca="1" si="240"/>
        <v>-0.16181117835517039</v>
      </c>
      <c r="E561" s="307">
        <f t="shared" ca="1" si="241"/>
        <v>-9.4919610645083665</v>
      </c>
      <c r="F561" s="304">
        <f t="shared" ca="1" si="242"/>
        <v>9.4933401765439491</v>
      </c>
      <c r="G561" s="306">
        <f t="shared" ca="1" si="243"/>
        <v>13.393993869166737</v>
      </c>
      <c r="H561" s="307">
        <f t="shared" ca="1" si="244"/>
        <v>-27.306817507991411</v>
      </c>
      <c r="I561" s="304">
        <f t="shared" ca="1" si="245"/>
        <v>30.414821291305042</v>
      </c>
      <c r="J561" s="306">
        <f t="shared" ca="1" si="246"/>
        <v>297.00771261284632</v>
      </c>
      <c r="K561" s="307">
        <f t="shared" ca="1" si="247"/>
        <v>1388.8183384138381</v>
      </c>
      <c r="L561" s="304">
        <f t="shared" ca="1" si="232"/>
        <v>1420.2217990391816</v>
      </c>
      <c r="M561" s="306">
        <f t="shared" ca="1" si="248"/>
        <v>-1.1147775634537589</v>
      </c>
      <c r="N561" s="304">
        <f t="shared" ca="1" si="249"/>
        <v>-63.872049481777708</v>
      </c>
      <c r="P561" s="310">
        <f t="shared" ca="1" si="250"/>
        <v>23</v>
      </c>
      <c r="Q561" s="304">
        <f t="shared" ca="1" si="251"/>
        <v>0</v>
      </c>
      <c r="R561" s="306">
        <f t="shared" ca="1" si="252"/>
        <v>0</v>
      </c>
      <c r="S561" s="307">
        <f t="shared" ca="1" si="253"/>
        <v>7.9789999999999939</v>
      </c>
      <c r="T561" s="304">
        <f t="shared" ca="1" si="233"/>
        <v>78.273989999999941</v>
      </c>
      <c r="U561" s="311">
        <f t="shared" ca="1" si="234"/>
        <v>0</v>
      </c>
      <c r="V561" s="306">
        <f t="shared" ca="1" si="235"/>
        <v>1.0659166474146491</v>
      </c>
      <c r="W561" s="304">
        <f t="shared" ca="1" si="236"/>
        <v>3.0124241140819659</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8.3865808550952377</v>
      </c>
      <c r="AH561" s="304">
        <f t="shared" ca="1" si="260"/>
        <v>-0.35683556707444503</v>
      </c>
    </row>
    <row r="562" spans="1:34" x14ac:dyDescent="0.2">
      <c r="A562" s="347">
        <f t="shared" ca="1" si="238"/>
        <v>0.1</v>
      </c>
      <c r="B562" s="304">
        <f t="shared" ca="1" si="239"/>
        <v>19.799999999999969</v>
      </c>
      <c r="D562" s="306">
        <f t="shared" ca="1" si="240"/>
        <v>-0.16626179967201363</v>
      </c>
      <c r="E562" s="307">
        <f t="shared" ca="1" si="241"/>
        <v>-9.4710360832966138</v>
      </c>
      <c r="F562" s="304">
        <f t="shared" ca="1" si="242"/>
        <v>9.4724953141786585</v>
      </c>
      <c r="G562" s="306">
        <f t="shared" ca="1" si="243"/>
        <v>13.377367689199536</v>
      </c>
      <c r="H562" s="307">
        <f t="shared" ca="1" si="244"/>
        <v>-28.253921116321074</v>
      </c>
      <c r="I562" s="304">
        <f t="shared" ca="1" si="245"/>
        <v>31.260806527332811</v>
      </c>
      <c r="J562" s="306">
        <f t="shared" ca="1" si="246"/>
        <v>298.34628069076462</v>
      </c>
      <c r="K562" s="307">
        <f t="shared" ca="1" si="247"/>
        <v>1386.0403014826225</v>
      </c>
      <c r="L562" s="304">
        <f t="shared" ca="1" si="232"/>
        <v>1417.7863804311464</v>
      </c>
      <c r="M562" s="306">
        <f t="shared" ca="1" si="248"/>
        <v>-1.1285975455404598</v>
      </c>
      <c r="N562" s="304">
        <f t="shared" ca="1" si="249"/>
        <v>-64.663876128292074</v>
      </c>
      <c r="P562" s="310">
        <f t="shared" ca="1" si="250"/>
        <v>23</v>
      </c>
      <c r="Q562" s="304">
        <f t="shared" ca="1" si="251"/>
        <v>0</v>
      </c>
      <c r="R562" s="306">
        <f t="shared" ca="1" si="252"/>
        <v>0</v>
      </c>
      <c r="S562" s="307">
        <f t="shared" ca="1" si="253"/>
        <v>7.9789999999999939</v>
      </c>
      <c r="T562" s="304">
        <f t="shared" ca="1" si="233"/>
        <v>78.273989999999941</v>
      </c>
      <c r="U562" s="311">
        <f t="shared" ca="1" si="234"/>
        <v>0</v>
      </c>
      <c r="V562" s="306">
        <f t="shared" ca="1" si="235"/>
        <v>1.0662142364476417</v>
      </c>
      <c r="W562" s="304">
        <f t="shared" ca="1" si="236"/>
        <v>3.1832237514824491</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8.4300000304784728</v>
      </c>
      <c r="AH562" s="304">
        <f t="shared" ca="1" si="260"/>
        <v>-0.37754406743726887</v>
      </c>
    </row>
    <row r="563" spans="1:34" x14ac:dyDescent="0.2">
      <c r="A563" s="347">
        <f t="shared" ca="1" si="238"/>
        <v>0.1</v>
      </c>
      <c r="B563" s="304">
        <f t="shared" ca="1" si="239"/>
        <v>19.89999999999997</v>
      </c>
      <c r="D563" s="306">
        <f t="shared" ca="1" si="240"/>
        <v>-0.17072188101089517</v>
      </c>
      <c r="E563" s="307">
        <f t="shared" ca="1" si="241"/>
        <v>-9.4494236391658593</v>
      </c>
      <c r="F563" s="304">
        <f t="shared" ca="1" si="242"/>
        <v>9.4509657217176724</v>
      </c>
      <c r="G563" s="306">
        <f t="shared" ca="1" si="243"/>
        <v>13.360295501098447</v>
      </c>
      <c r="H563" s="307">
        <f t="shared" ca="1" si="244"/>
        <v>-29.198863480237659</v>
      </c>
      <c r="I563" s="304">
        <f t="shared" ca="1" si="245"/>
        <v>32.110296236787164</v>
      </c>
      <c r="J563" s="306">
        <f t="shared" ca="1" si="246"/>
        <v>299.68316385027953</v>
      </c>
      <c r="K563" s="307">
        <f t="shared" ca="1" si="247"/>
        <v>1383.1676622527946</v>
      </c>
      <c r="L563" s="304">
        <f t="shared" ca="1" si="232"/>
        <v>1415.2606758463878</v>
      </c>
      <c r="M563" s="306">
        <f t="shared" ca="1" si="248"/>
        <v>-1.1416715176176175</v>
      </c>
      <c r="N563" s="304">
        <f t="shared" ca="1" si="249"/>
        <v>-65.4129595497851</v>
      </c>
      <c r="P563" s="310">
        <f t="shared" ca="1" si="250"/>
        <v>23</v>
      </c>
      <c r="Q563" s="304">
        <f t="shared" ca="1" si="251"/>
        <v>0</v>
      </c>
      <c r="R563" s="306">
        <f t="shared" ca="1" si="252"/>
        <v>0</v>
      </c>
      <c r="S563" s="307">
        <f t="shared" ca="1" si="253"/>
        <v>7.9789999999999939</v>
      </c>
      <c r="T563" s="304">
        <f t="shared" ca="1" si="233"/>
        <v>78.273989999999941</v>
      </c>
      <c r="U563" s="311">
        <f t="shared" ca="1" si="234"/>
        <v>0</v>
      </c>
      <c r="V563" s="306">
        <f t="shared" ca="1" si="235"/>
        <v>1.0665220407918585</v>
      </c>
      <c r="W563" s="304">
        <f t="shared" ca="1" si="236"/>
        <v>3.3595475457501096</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8.4674546221121325</v>
      </c>
      <c r="AH563" s="304">
        <f t="shared" ca="1" si="260"/>
        <v>-0.39895021324507474</v>
      </c>
    </row>
    <row r="564" spans="1:34" x14ac:dyDescent="0.2">
      <c r="A564" s="347">
        <f t="shared" ca="1" si="238"/>
        <v>0.1</v>
      </c>
      <c r="B564" s="304">
        <f t="shared" ca="1" si="239"/>
        <v>19.999999999999972</v>
      </c>
      <c r="D564" s="306">
        <f t="shared" ca="1" si="240"/>
        <v>-0.17518788858386586</v>
      </c>
      <c r="E564" s="307">
        <f t="shared" ca="1" si="241"/>
        <v>-9.4271276869040204</v>
      </c>
      <c r="F564" s="304">
        <f t="shared" ca="1" si="242"/>
        <v>9.4287553378746036</v>
      </c>
      <c r="G564" s="306">
        <f t="shared" ca="1" si="243"/>
        <v>13.34277671224006</v>
      </c>
      <c r="H564" s="307">
        <f t="shared" ca="1" si="244"/>
        <v>-30.141576248928061</v>
      </c>
      <c r="I564" s="304">
        <f t="shared" ca="1" si="245"/>
        <v>32.962771563729888</v>
      </c>
      <c r="J564" s="306">
        <f t="shared" ca="1" si="246"/>
        <v>301.01831746094643</v>
      </c>
      <c r="K564" s="307">
        <f t="shared" ca="1" si="247"/>
        <v>1380.2006402663362</v>
      </c>
      <c r="L564" s="304">
        <f t="shared" ca="1" si="232"/>
        <v>1412.6449783433286</v>
      </c>
      <c r="M564" s="306">
        <f t="shared" ca="1" si="248"/>
        <v>-1.1540545821880814</v>
      </c>
      <c r="N564" s="304">
        <f t="shared" ca="1" si="249"/>
        <v>-66.122456887110658</v>
      </c>
      <c r="P564" s="310">
        <f t="shared" ca="1" si="250"/>
        <v>23</v>
      </c>
      <c r="Q564" s="304">
        <f t="shared" ca="1" si="251"/>
        <v>0</v>
      </c>
      <c r="R564" s="306">
        <f t="shared" ca="1" si="252"/>
        <v>0</v>
      </c>
      <c r="S564" s="307">
        <f t="shared" ca="1" si="253"/>
        <v>7.9789999999999939</v>
      </c>
      <c r="T564" s="304">
        <f t="shared" ca="1" si="233"/>
        <v>78.273989999999941</v>
      </c>
      <c r="U564" s="311">
        <f t="shared" ca="1" si="234"/>
        <v>0</v>
      </c>
      <c r="V564" s="306">
        <f t="shared" ca="1" si="235"/>
        <v>1.0668400451170696</v>
      </c>
      <c r="W564" s="304">
        <f t="shared" ca="1" si="236"/>
        <v>3.5413518892971121</v>
      </c>
      <c r="Y564" s="314" t="str">
        <f t="shared" ca="1" si="254"/>
        <v/>
      </c>
      <c r="Z564" s="315" t="str">
        <f t="shared" ca="1" si="255"/>
        <v/>
      </c>
      <c r="AA564" s="316" t="str">
        <f t="shared" ca="1" si="256"/>
        <v/>
      </c>
      <c r="AC564" s="310">
        <f t="shared" ca="1" si="257"/>
        <v>19.999999999999972</v>
      </c>
      <c r="AD564" s="323">
        <f t="shared" ca="1" si="258"/>
        <v>301.01831746094643</v>
      </c>
      <c r="AE564" s="324" t="e">
        <f t="shared" ca="1" si="237"/>
        <v>#N/A</v>
      </c>
      <c r="AG564" s="306">
        <f t="shared" ca="1" si="259"/>
        <v>8.4994809879179289</v>
      </c>
      <c r="AH564" s="304">
        <f t="shared" ca="1" si="260"/>
        <v>-0.42104869604588446</v>
      </c>
    </row>
    <row r="565" spans="1:34" x14ac:dyDescent="0.2">
      <c r="A565" s="347">
        <f t="shared" ca="1" si="238"/>
        <v>0.1</v>
      </c>
      <c r="B565" s="304">
        <f t="shared" ca="1" si="239"/>
        <v>20.099999999999973</v>
      </c>
      <c r="D565" s="306">
        <f t="shared" ca="1" si="240"/>
        <v>-0.17965657475916744</v>
      </c>
      <c r="E565" s="307">
        <f t="shared" ca="1" si="241"/>
        <v>-9.4041525168627693</v>
      </c>
      <c r="F565" s="304">
        <f t="shared" ca="1" si="242"/>
        <v>9.4058684365278342</v>
      </c>
      <c r="G565" s="306">
        <f t="shared" ca="1" si="243"/>
        <v>13.324811054764142</v>
      </c>
      <c r="H565" s="307">
        <f t="shared" ca="1" si="244"/>
        <v>-31.081991500614336</v>
      </c>
      <c r="I565" s="304">
        <f t="shared" ca="1" si="245"/>
        <v>33.817758430881049</v>
      </c>
      <c r="J565" s="306">
        <f t="shared" ca="1" si="246"/>
        <v>302.35169684929667</v>
      </c>
      <c r="K565" s="307">
        <f t="shared" ca="1" si="247"/>
        <v>1377.139461878859</v>
      </c>
      <c r="L565" s="304">
        <f t="shared" ca="1" si="232"/>
        <v>1409.9395895043313</v>
      </c>
      <c r="M565" s="306">
        <f t="shared" ca="1" si="248"/>
        <v>-1.1657969767111973</v>
      </c>
      <c r="N565" s="304">
        <f t="shared" ca="1" si="249"/>
        <v>-66.795246534662724</v>
      </c>
      <c r="P565" s="310">
        <f t="shared" ca="1" si="250"/>
        <v>23</v>
      </c>
      <c r="Q565" s="304">
        <f t="shared" ca="1" si="251"/>
        <v>0</v>
      </c>
      <c r="R565" s="306">
        <f t="shared" ca="1" si="252"/>
        <v>0</v>
      </c>
      <c r="S565" s="307">
        <f t="shared" ca="1" si="253"/>
        <v>7.9789999999999939</v>
      </c>
      <c r="T565" s="304">
        <f t="shared" ca="1" si="233"/>
        <v>78.273989999999941</v>
      </c>
      <c r="U565" s="311">
        <f t="shared" ca="1" si="234"/>
        <v>0</v>
      </c>
      <c r="V565" s="306">
        <f t="shared" ca="1" si="235"/>
        <v>1.0671682336114274</v>
      </c>
      <c r="W565" s="304">
        <f t="shared" ca="1" si="236"/>
        <v>3.7285919407774433</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8.5265543292764097</v>
      </c>
      <c r="AH565" s="304">
        <f t="shared" ca="1" si="260"/>
        <v>-0.4438340505448195</v>
      </c>
    </row>
    <row r="566" spans="1:34" x14ac:dyDescent="0.2">
      <c r="A566" s="347">
        <f t="shared" ca="1" si="238"/>
        <v>0.1</v>
      </c>
      <c r="B566" s="304">
        <f t="shared" ca="1" si="239"/>
        <v>20.199999999999974</v>
      </c>
      <c r="D566" s="306">
        <f t="shared" ca="1" si="240"/>
        <v>-0.1841249463839543</v>
      </c>
      <c r="E566" s="307">
        <f t="shared" ca="1" si="241"/>
        <v>-9.380502726452475</v>
      </c>
      <c r="F566" s="304">
        <f t="shared" ca="1" si="242"/>
        <v>9.3823095982206439</v>
      </c>
      <c r="G566" s="306">
        <f t="shared" ca="1" si="243"/>
        <v>13.306398560125746</v>
      </c>
      <c r="H566" s="307">
        <f t="shared" ca="1" si="244"/>
        <v>-32.020041773259585</v>
      </c>
      <c r="I566" s="304">
        <f t="shared" ca="1" si="245"/>
        <v>34.674822534545228</v>
      </c>
      <c r="J566" s="306">
        <f t="shared" ca="1" si="246"/>
        <v>303.68325733004116</v>
      </c>
      <c r="K566" s="307">
        <f t="shared" ca="1" si="247"/>
        <v>1373.9843602151655</v>
      </c>
      <c r="L566" s="304">
        <f t="shared" ca="1" si="232"/>
        <v>1407.1448194476864</v>
      </c>
      <c r="M566" s="306">
        <f t="shared" ca="1" si="248"/>
        <v>-1.1769445412954547</v>
      </c>
      <c r="N566" s="304">
        <f t="shared" ca="1" si="249"/>
        <v>-67.43395493719018</v>
      </c>
      <c r="P566" s="310">
        <f t="shared" ca="1" si="250"/>
        <v>23</v>
      </c>
      <c r="Q566" s="304">
        <f t="shared" ca="1" si="251"/>
        <v>0</v>
      </c>
      <c r="R566" s="306">
        <f t="shared" ca="1" si="252"/>
        <v>0</v>
      </c>
      <c r="S566" s="307">
        <f t="shared" ca="1" si="253"/>
        <v>7.9789999999999939</v>
      </c>
      <c r="T566" s="304">
        <f t="shared" ca="1" si="233"/>
        <v>78.273989999999941</v>
      </c>
      <c r="U566" s="311">
        <f t="shared" ca="1" si="234"/>
        <v>0</v>
      </c>
      <c r="V566" s="306">
        <f t="shared" ca="1" si="235"/>
        <v>1.0675065899836156</v>
      </c>
      <c r="W566" s="304">
        <f t="shared" ca="1" si="236"/>
        <v>3.9212216437298246</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8.5490963715101103</v>
      </c>
      <c r="AH566" s="304">
        <f t="shared" ca="1" si="260"/>
        <v>-0.46730065682133676</v>
      </c>
    </row>
    <row r="567" spans="1:34" x14ac:dyDescent="0.2">
      <c r="A567" s="347">
        <f t="shared" ca="1" si="238"/>
        <v>0.1</v>
      </c>
      <c r="B567" s="304">
        <f t="shared" ca="1" si="239"/>
        <v>20.299999999999976</v>
      </c>
      <c r="D567" s="306">
        <f t="shared" ca="1" si="240"/>
        <v>-0.18859023710580122</v>
      </c>
      <c r="E567" s="307">
        <f t="shared" ca="1" si="241"/>
        <v>-9.3561831957858015</v>
      </c>
      <c r="F567" s="304">
        <f t="shared" ca="1" si="242"/>
        <v>9.3580836858106924</v>
      </c>
      <c r="G567" s="306">
        <f t="shared" ca="1" si="243"/>
        <v>13.287539536415167</v>
      </c>
      <c r="H567" s="307">
        <f t="shared" ca="1" si="244"/>
        <v>-32.955660092838166</v>
      </c>
      <c r="I567" s="304">
        <f t="shared" ca="1" si="245"/>
        <v>35.533564964501977</v>
      </c>
      <c r="J567" s="306">
        <f t="shared" ca="1" si="246"/>
        <v>305.01295423486823</v>
      </c>
      <c r="K567" s="307">
        <f t="shared" ca="1" si="247"/>
        <v>1370.7355751218606</v>
      </c>
      <c r="L567" s="304">
        <f t="shared" ca="1" si="232"/>
        <v>1404.2609868381803</v>
      </c>
      <c r="M567" s="306">
        <f t="shared" ca="1" si="248"/>
        <v>-1.1875391429291637</v>
      </c>
      <c r="N567" s="304">
        <f t="shared" ca="1" si="249"/>
        <v>-68.040980896424117</v>
      </c>
      <c r="P567" s="310">
        <f t="shared" ca="1" si="250"/>
        <v>23</v>
      </c>
      <c r="Q567" s="304">
        <f t="shared" ca="1" si="251"/>
        <v>0</v>
      </c>
      <c r="R567" s="306">
        <f t="shared" ca="1" si="252"/>
        <v>0</v>
      </c>
      <c r="S567" s="307">
        <f t="shared" ca="1" si="253"/>
        <v>7.9789999999999939</v>
      </c>
      <c r="T567" s="304">
        <f t="shared" ca="1" si="233"/>
        <v>78.273989999999941</v>
      </c>
      <c r="U567" s="311">
        <f t="shared" ca="1" si="234"/>
        <v>0</v>
      </c>
      <c r="V567" s="306">
        <f t="shared" ca="1" si="235"/>
        <v>1.0678550974652445</v>
      </c>
      <c r="W567" s="304">
        <f t="shared" ca="1" si="236"/>
        <v>4.1191937460965127</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8.5674820573886628</v>
      </c>
      <c r="AH567" s="304">
        <f t="shared" ca="1" si="260"/>
        <v>-0.49144274266572596</v>
      </c>
    </row>
    <row r="568" spans="1:34" x14ac:dyDescent="0.2">
      <c r="A568" s="347">
        <f t="shared" ca="1" si="238"/>
        <v>0.1</v>
      </c>
      <c r="B568" s="304">
        <f t="shared" ca="1" si="239"/>
        <v>20.399999999999977</v>
      </c>
      <c r="D568" s="306">
        <f t="shared" ca="1" si="240"/>
        <v>-0.19304988317420099</v>
      </c>
      <c r="E568" s="307">
        <f t="shared" ca="1" si="241"/>
        <v>-9.3311990667335021</v>
      </c>
      <c r="F568" s="304">
        <f t="shared" ca="1" si="242"/>
        <v>9.3331958235323533</v>
      </c>
      <c r="G568" s="306">
        <f t="shared" ca="1" si="243"/>
        <v>13.268234548097746</v>
      </c>
      <c r="H568" s="307">
        <f t="shared" ca="1" si="244"/>
        <v>-33.888779999511513</v>
      </c>
      <c r="I568" s="304">
        <f t="shared" ca="1" si="245"/>
        <v>36.393618367491662</v>
      </c>
      <c r="J568" s="306">
        <f t="shared" ca="1" si="246"/>
        <v>306.3407429390939</v>
      </c>
      <c r="K568" s="307">
        <f t="shared" ca="1" si="247"/>
        <v>1367.3933531172431</v>
      </c>
      <c r="L568" s="304">
        <f t="shared" ca="1" si="232"/>
        <v>1401.2884188965859</v>
      </c>
      <c r="M568" s="306">
        <f t="shared" ca="1" si="248"/>
        <v>-1.197619058950806</v>
      </c>
      <c r="N568" s="304">
        <f t="shared" ca="1" si="249"/>
        <v>-68.618517542310528</v>
      </c>
      <c r="P568" s="310">
        <f t="shared" ca="1" si="250"/>
        <v>23</v>
      </c>
      <c r="Q568" s="304">
        <f t="shared" ca="1" si="251"/>
        <v>0</v>
      </c>
      <c r="R568" s="306">
        <f t="shared" ca="1" si="252"/>
        <v>0</v>
      </c>
      <c r="S568" s="307">
        <f t="shared" ca="1" si="253"/>
        <v>7.9789999999999939</v>
      </c>
      <c r="T568" s="304">
        <f t="shared" ca="1" si="233"/>
        <v>78.273989999999941</v>
      </c>
      <c r="U568" s="311">
        <f t="shared" ca="1" si="234"/>
        <v>0</v>
      </c>
      <c r="V568" s="306">
        <f t="shared" ca="1" si="235"/>
        <v>1.0682137388134663</v>
      </c>
      <c r="W568" s="304">
        <f t="shared" ca="1" si="236"/>
        <v>4.3224598205514884</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8.5820453717871015</v>
      </c>
      <c r="AH568" s="304">
        <f t="shared" ca="1" si="260"/>
        <v>-0.5162543860253811</v>
      </c>
    </row>
    <row r="569" spans="1:34" x14ac:dyDescent="0.2">
      <c r="A569" s="347">
        <f t="shared" ca="1" si="238"/>
        <v>0.1</v>
      </c>
      <c r="B569" s="304">
        <f t="shared" ca="1" si="239"/>
        <v>20.499999999999979</v>
      </c>
      <c r="D569" s="306">
        <f t="shared" ca="1" si="240"/>
        <v>-0.19750150226708454</v>
      </c>
      <c r="E569" s="307">
        <f t="shared" ca="1" si="241"/>
        <v>-9.3055557247922014</v>
      </c>
      <c r="F569" s="304">
        <f t="shared" ca="1" si="242"/>
        <v>9.3076513788716149</v>
      </c>
      <c r="G569" s="306">
        <f t="shared" ca="1" si="243"/>
        <v>13.248484397871039</v>
      </c>
      <c r="H569" s="307">
        <f t="shared" ca="1" si="244"/>
        <v>-34.819335571990734</v>
      </c>
      <c r="I569" s="304">
        <f t="shared" ca="1" si="245"/>
        <v>37.254643583257263</v>
      </c>
      <c r="J569" s="306">
        <f t="shared" ca="1" si="246"/>
        <v>307.66657888639236</v>
      </c>
      <c r="K569" s="307">
        <f t="shared" ca="1" si="247"/>
        <v>1363.957947338668</v>
      </c>
      <c r="L569" s="304">
        <f t="shared" ca="1" si="232"/>
        <v>1398.2274514083783</v>
      </c>
      <c r="M569" s="306">
        <f t="shared" ca="1" si="248"/>
        <v>-1.2072193228001835</v>
      </c>
      <c r="N569" s="304">
        <f t="shared" ca="1" si="249"/>
        <v>-69.168572143091865</v>
      </c>
      <c r="P569" s="310">
        <f t="shared" ca="1" si="250"/>
        <v>23</v>
      </c>
      <c r="Q569" s="304">
        <f t="shared" ca="1" si="251"/>
        <v>0</v>
      </c>
      <c r="R569" s="306">
        <f t="shared" ca="1" si="252"/>
        <v>0</v>
      </c>
      <c r="S569" s="307">
        <f t="shared" ca="1" si="253"/>
        <v>7.9789999999999939</v>
      </c>
      <c r="T569" s="304">
        <f t="shared" ca="1" si="233"/>
        <v>78.273989999999941</v>
      </c>
      <c r="U569" s="311">
        <f t="shared" ca="1" si="234"/>
        <v>0</v>
      </c>
      <c r="V569" s="306">
        <f t="shared" ca="1" si="235"/>
        <v>1.0685824963137969</v>
      </c>
      <c r="W569" s="304">
        <f t="shared" ca="1" si="236"/>
        <v>4.5309702855790945</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8.5930844060931122</v>
      </c>
      <c r="AH569" s="304">
        <f t="shared" ca="1" si="260"/>
        <v>-0.54172951755251175</v>
      </c>
    </row>
    <row r="570" spans="1:34" x14ac:dyDescent="0.2">
      <c r="A570" s="347">
        <f t="shared" ca="1" si="238"/>
        <v>0.1</v>
      </c>
      <c r="B570" s="304">
        <f t="shared" ca="1" si="239"/>
        <v>20.59999999999998</v>
      </c>
      <c r="D570" s="306">
        <f t="shared" ca="1" si="240"/>
        <v>-0.20194287494538068</v>
      </c>
      <c r="E570" s="307">
        <f t="shared" ca="1" si="241"/>
        <v>-9.2792587832744324</v>
      </c>
      <c r="F570" s="304">
        <f t="shared" ca="1" si="242"/>
        <v>9.2814559467637885</v>
      </c>
      <c r="G570" s="306">
        <f t="shared" ca="1" si="243"/>
        <v>13.2282901103765</v>
      </c>
      <c r="H570" s="307">
        <f t="shared" ca="1" si="244"/>
        <v>-35.747261450318177</v>
      </c>
      <c r="I570" s="304">
        <f t="shared" ca="1" si="245"/>
        <v>38.116326691349585</v>
      </c>
      <c r="J570" s="306">
        <f t="shared" ca="1" si="246"/>
        <v>308.99041761180473</v>
      </c>
      <c r="K570" s="307">
        <f t="shared" ca="1" si="247"/>
        <v>1360.4296174875526</v>
      </c>
      <c r="L570" s="304">
        <f t="shared" ca="1" si="232"/>
        <v>1395.0784287319641</v>
      </c>
      <c r="M570" s="306">
        <f t="shared" ca="1" si="248"/>
        <v>-1.2163720352047545</v>
      </c>
      <c r="N570" s="304">
        <f t="shared" ca="1" si="249"/>
        <v>-69.692983934970826</v>
      </c>
      <c r="P570" s="310">
        <f t="shared" ca="1" si="250"/>
        <v>23</v>
      </c>
      <c r="Q570" s="304">
        <f t="shared" ca="1" si="251"/>
        <v>0</v>
      </c>
      <c r="R570" s="306">
        <f t="shared" ca="1" si="252"/>
        <v>0</v>
      </c>
      <c r="S570" s="307">
        <f t="shared" ca="1" si="253"/>
        <v>7.9789999999999939</v>
      </c>
      <c r="T570" s="304">
        <f t="shared" ca="1" si="233"/>
        <v>78.273989999999941</v>
      </c>
      <c r="U570" s="311">
        <f t="shared" ca="1" si="234"/>
        <v>0</v>
      </c>
      <c r="V570" s="306">
        <f t="shared" ca="1" si="235"/>
        <v>1.0689613517831229</v>
      </c>
      <c r="W570" s="304">
        <f t="shared" ca="1" si="236"/>
        <v>4.7446744272504136</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8.6008657602673146</v>
      </c>
      <c r="AH570" s="304">
        <f t="shared" ca="1" si="260"/>
        <v>-0.56786192324590778</v>
      </c>
    </row>
    <row r="571" spans="1:34" x14ac:dyDescent="0.2">
      <c r="A571" s="347">
        <f t="shared" ca="1" si="238"/>
        <v>0.1</v>
      </c>
      <c r="B571" s="304">
        <f t="shared" ca="1" si="239"/>
        <v>20.699999999999982</v>
      </c>
      <c r="D571" s="306">
        <f t="shared" ca="1" si="240"/>
        <v>-0.20637192839048607</v>
      </c>
      <c r="E571" s="307">
        <f t="shared" ca="1" si="241"/>
        <v>-9.2523140694204908</v>
      </c>
      <c r="F571" s="304">
        <f t="shared" ca="1" si="242"/>
        <v>9.2546153357135257</v>
      </c>
      <c r="G571" s="306">
        <f t="shared" ca="1" si="243"/>
        <v>13.207652917537452</v>
      </c>
      <c r="H571" s="307">
        <f t="shared" ca="1" si="244"/>
        <v>-36.672492857260224</v>
      </c>
      <c r="I571" s="304">
        <f t="shared" ca="1" si="245"/>
        <v>38.978376415083503</v>
      </c>
      <c r="J571" s="306">
        <f t="shared" ca="1" si="246"/>
        <v>310.31221476320042</v>
      </c>
      <c r="K571" s="307">
        <f t="shared" ca="1" si="247"/>
        <v>1356.8086297721736</v>
      </c>
      <c r="L571" s="304">
        <f t="shared" ca="1" si="232"/>
        <v>1391.8417038066814</v>
      </c>
      <c r="M571" s="306">
        <f t="shared" ca="1" si="248"/>
        <v>-1.2251066439213096</v>
      </c>
      <c r="N571" s="304">
        <f t="shared" ca="1" si="249"/>
        <v>-70.193440150127614</v>
      </c>
      <c r="P571" s="310">
        <f t="shared" ca="1" si="250"/>
        <v>23</v>
      </c>
      <c r="Q571" s="304">
        <f t="shared" ca="1" si="251"/>
        <v>0</v>
      </c>
      <c r="R571" s="306">
        <f t="shared" ca="1" si="252"/>
        <v>0</v>
      </c>
      <c r="S571" s="307">
        <f t="shared" ca="1" si="253"/>
        <v>7.9789999999999939</v>
      </c>
      <c r="T571" s="304">
        <f t="shared" ca="1" si="233"/>
        <v>78.273989999999941</v>
      </c>
      <c r="U571" s="311">
        <f t="shared" ca="1" si="234"/>
        <v>0</v>
      </c>
      <c r="V571" s="306">
        <f t="shared" ca="1" si="235"/>
        <v>1.0693502865728826</v>
      </c>
      <c r="W571" s="304">
        <f t="shared" ca="1" si="236"/>
        <v>4.9635204216497844</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8.6056283696163902</v>
      </c>
      <c r="AH571" s="304">
        <f t="shared" ca="1" si="260"/>
        <v>-0.59464524718014999</v>
      </c>
    </row>
    <row r="572" spans="1:34" x14ac:dyDescent="0.2">
      <c r="A572" s="347">
        <f t="shared" ca="1" si="238"/>
        <v>0.1</v>
      </c>
      <c r="B572" s="304">
        <f t="shared" ca="1" si="239"/>
        <v>20.799999999999983</v>
      </c>
      <c r="D572" s="306">
        <f t="shared" ca="1" si="240"/>
        <v>-0.21078672212533689</v>
      </c>
      <c r="E572" s="307">
        <f t="shared" ca="1" si="241"/>
        <v>-9.2247276121041519</v>
      </c>
      <c r="F572" s="304">
        <f t="shared" ca="1" si="242"/>
        <v>9.2271355555091485</v>
      </c>
      <c r="G572" s="306">
        <f t="shared" ca="1" si="243"/>
        <v>13.186574245324918</v>
      </c>
      <c r="H572" s="307">
        <f t="shared" ca="1" si="244"/>
        <v>-37.594965618470638</v>
      </c>
      <c r="I572" s="304">
        <f t="shared" ca="1" si="245"/>
        <v>39.84052183620912</v>
      </c>
      <c r="J572" s="306">
        <f t="shared" ca="1" si="246"/>
        <v>311.63192612134355</v>
      </c>
      <c r="K572" s="307">
        <f t="shared" ca="1" si="247"/>
        <v>1353.0952568483872</v>
      </c>
      <c r="L572" s="304">
        <f t="shared" ca="1" si="232"/>
        <v>1388.5176381608198</v>
      </c>
      <c r="M572" s="306">
        <f t="shared" ca="1" si="248"/>
        <v>-1.2334501950265366</v>
      </c>
      <c r="N572" s="304">
        <f t="shared" ca="1" si="249"/>
        <v>-70.67149041460884</v>
      </c>
      <c r="P572" s="310">
        <f t="shared" ca="1" si="250"/>
        <v>23</v>
      </c>
      <c r="Q572" s="304">
        <f t="shared" ca="1" si="251"/>
        <v>0</v>
      </c>
      <c r="R572" s="306">
        <f t="shared" ca="1" si="252"/>
        <v>0</v>
      </c>
      <c r="S572" s="307">
        <f t="shared" ca="1" si="253"/>
        <v>7.9789999999999939</v>
      </c>
      <c r="T572" s="304">
        <f t="shared" ca="1" si="233"/>
        <v>78.273989999999941</v>
      </c>
      <c r="U572" s="311">
        <f t="shared" ca="1" si="234"/>
        <v>0</v>
      </c>
      <c r="V572" s="306">
        <f t="shared" ca="1" si="235"/>
        <v>1.0697492815724066</v>
      </c>
      <c r="W572" s="304">
        <f t="shared" ca="1" si="236"/>
        <v>5.1874553579081804</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8.607586832933638</v>
      </c>
      <c r="AH572" s="304">
        <f t="shared" ca="1" si="260"/>
        <v>-0.62207299431630381</v>
      </c>
    </row>
    <row r="573" spans="1:34" x14ac:dyDescent="0.2">
      <c r="A573" s="347">
        <f t="shared" ca="1" si="238"/>
        <v>0.1</v>
      </c>
      <c r="B573" s="304">
        <f t="shared" ca="1" si="239"/>
        <v>20.899999999999984</v>
      </c>
      <c r="D573" s="306">
        <f t="shared" ca="1" si="240"/>
        <v>-0.2151854354599505</v>
      </c>
      <c r="E573" s="307">
        <f t="shared" ca="1" si="241"/>
        <v>-9.1965056308631024</v>
      </c>
      <c r="F573" s="304">
        <f t="shared" ca="1" si="242"/>
        <v>9.199022806262132</v>
      </c>
      <c r="G573" s="306">
        <f t="shared" ca="1" si="243"/>
        <v>13.165055701778924</v>
      </c>
      <c r="H573" s="307">
        <f t="shared" ca="1" si="244"/>
        <v>-38.514616181556946</v>
      </c>
      <c r="I573" s="304">
        <f t="shared" ca="1" si="245"/>
        <v>40.702510380117708</v>
      </c>
      <c r="J573" s="306">
        <f t="shared" ca="1" si="246"/>
        <v>312.94950761869876</v>
      </c>
      <c r="K573" s="307">
        <f t="shared" ca="1" si="247"/>
        <v>1349.2897777583858</v>
      </c>
      <c r="L573" s="304">
        <f t="shared" ca="1" si="232"/>
        <v>1385.1066019198884</v>
      </c>
      <c r="M573" s="306">
        <f t="shared" ca="1" si="248"/>
        <v>-1.2414275585693328</v>
      </c>
      <c r="N573" s="304">
        <f t="shared" ca="1" si="249"/>
        <v>-71.128559677252582</v>
      </c>
      <c r="P573" s="310">
        <f t="shared" ca="1" si="250"/>
        <v>23</v>
      </c>
      <c r="Q573" s="304">
        <f t="shared" ca="1" si="251"/>
        <v>0</v>
      </c>
      <c r="R573" s="306">
        <f t="shared" ca="1" si="252"/>
        <v>0</v>
      </c>
      <c r="S573" s="307">
        <f t="shared" ca="1" si="253"/>
        <v>7.9789999999999939</v>
      </c>
      <c r="T573" s="304">
        <f t="shared" ca="1" si="233"/>
        <v>78.273989999999941</v>
      </c>
      <c r="U573" s="311">
        <f t="shared" ca="1" si="234"/>
        <v>0</v>
      </c>
      <c r="V573" s="306">
        <f t="shared" ca="1" si="235"/>
        <v>1.0701583172124081</v>
      </c>
      <c r="W573" s="304">
        <f t="shared" ca="1" si="236"/>
        <v>5.4164252618035533</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8.6069343090158821</v>
      </c>
      <c r="AH573" s="304">
        <f t="shared" ca="1" si="260"/>
        <v>-0.65013853338866834</v>
      </c>
    </row>
    <row r="574" spans="1:34" x14ac:dyDescent="0.2">
      <c r="A574" s="347">
        <f t="shared" ca="1" si="238"/>
        <v>0.1</v>
      </c>
      <c r="B574" s="304">
        <f t="shared" ca="1" si="239"/>
        <v>20.999999999999986</v>
      </c>
      <c r="D574" s="306">
        <f t="shared" ca="1" si="240"/>
        <v>-0.21956635643729383</v>
      </c>
      <c r="E574" s="307">
        <f t="shared" ca="1" si="241"/>
        <v>-9.1676545260326847</v>
      </c>
      <c r="F574" s="304">
        <f t="shared" ca="1" si="242"/>
        <v>9.1702834685502879</v>
      </c>
      <c r="G574" s="306">
        <f t="shared" ca="1" si="243"/>
        <v>13.143099066135195</v>
      </c>
      <c r="H574" s="307">
        <f t="shared" ca="1" si="244"/>
        <v>-39.431381634160218</v>
      </c>
      <c r="I574" s="304">
        <f t="shared" ca="1" si="245"/>
        <v>41.564106036832207</v>
      </c>
      <c r="J574" s="306">
        <f t="shared" ca="1" si="246"/>
        <v>314.26491535709448</v>
      </c>
      <c r="K574" s="307">
        <f t="shared" ca="1" si="247"/>
        <v>1345.3924778675998</v>
      </c>
      <c r="L574" s="304">
        <f t="shared" ca="1" si="232"/>
        <v>1381.6089738153562</v>
      </c>
      <c r="M574" s="306">
        <f t="shared" ca="1" si="248"/>
        <v>-1.249061631189047</v>
      </c>
      <c r="N574" s="304">
        <f t="shared" ca="1" si="249"/>
        <v>-71.565959818858587</v>
      </c>
      <c r="P574" s="310">
        <f t="shared" ca="1" si="250"/>
        <v>23</v>
      </c>
      <c r="Q574" s="304">
        <f t="shared" ca="1" si="251"/>
        <v>0</v>
      </c>
      <c r="R574" s="306">
        <f t="shared" ca="1" si="252"/>
        <v>0</v>
      </c>
      <c r="S574" s="307">
        <f t="shared" ca="1" si="253"/>
        <v>7.9789999999999939</v>
      </c>
      <c r="T574" s="304">
        <f t="shared" ca="1" si="233"/>
        <v>78.273989999999941</v>
      </c>
      <c r="U574" s="311">
        <f t="shared" ca="1" si="234"/>
        <v>0</v>
      </c>
      <c r="V574" s="306">
        <f t="shared" ca="1" si="235"/>
        <v>1.0705773734686133</v>
      </c>
      <c r="W574" s="304">
        <f t="shared" ca="1" si="236"/>
        <v>5.6503751198913168</v>
      </c>
      <c r="Y574" s="314" t="str">
        <f t="shared" ca="1" si="254"/>
        <v/>
      </c>
      <c r="Z574" s="315" t="str">
        <f t="shared" ca="1" si="255"/>
        <v/>
      </c>
      <c r="AA574" s="316" t="str">
        <f t="shared" ca="1" si="256"/>
        <v/>
      </c>
      <c r="AC574" s="310">
        <f t="shared" ca="1" si="257"/>
        <v>20.999999999999986</v>
      </c>
      <c r="AD574" s="323">
        <f t="shared" ca="1" si="258"/>
        <v>314.26491535709448</v>
      </c>
      <c r="AE574" s="324" t="e">
        <f t="shared" ca="1" si="237"/>
        <v>#N/A</v>
      </c>
      <c r="AG574" s="306">
        <f t="shared" ca="1" si="259"/>
        <v>8.6038450398281281</v>
      </c>
      <c r="AH574" s="304">
        <f t="shared" ca="1" si="260"/>
        <v>-0.67883509986258395</v>
      </c>
    </row>
    <row r="575" spans="1:34" x14ac:dyDescent="0.2">
      <c r="A575" s="347">
        <f t="shared" ca="1" si="238"/>
        <v>0.1</v>
      </c>
      <c r="B575" s="304">
        <f t="shared" ca="1" si="239"/>
        <v>21.099999999999987</v>
      </c>
      <c r="D575" s="306">
        <f t="shared" ca="1" si="240"/>
        <v>-0.22392787208569612</v>
      </c>
      <c r="E575" s="307">
        <f t="shared" ca="1" si="241"/>
        <v>-9.1381808698005251</v>
      </c>
      <c r="F575" s="304">
        <f t="shared" ca="1" si="242"/>
        <v>9.1409240944821928</v>
      </c>
      <c r="G575" s="306">
        <f t="shared" ca="1" si="243"/>
        <v>13.120706278926624</v>
      </c>
      <c r="H575" s="307">
        <f t="shared" ca="1" si="244"/>
        <v>-40.345199721140268</v>
      </c>
      <c r="I575" s="304">
        <f t="shared" ca="1" si="245"/>
        <v>42.425087787729581</v>
      </c>
      <c r="J575" s="306">
        <f t="shared" ca="1" si="246"/>
        <v>315.57810562434759</v>
      </c>
      <c r="K575" s="307">
        <f t="shared" ca="1" si="247"/>
        <v>1341.4036487998349</v>
      </c>
      <c r="L575" s="304">
        <f t="shared" ca="1" si="232"/>
        <v>1378.0251411940794</v>
      </c>
      <c r="M575" s="306">
        <f t="shared" ca="1" si="248"/>
        <v>-1.2563735180846449</v>
      </c>
      <c r="N575" s="304">
        <f t="shared" ca="1" si="249"/>
        <v>-71.984900078253361</v>
      </c>
      <c r="P575" s="310">
        <f t="shared" ca="1" si="250"/>
        <v>23</v>
      </c>
      <c r="Q575" s="304">
        <f t="shared" ca="1" si="251"/>
        <v>0</v>
      </c>
      <c r="R575" s="306">
        <f t="shared" ca="1" si="252"/>
        <v>0</v>
      </c>
      <c r="S575" s="307">
        <f t="shared" ca="1" si="253"/>
        <v>7.9789999999999939</v>
      </c>
      <c r="T575" s="304">
        <f t="shared" ca="1" si="233"/>
        <v>78.273989999999941</v>
      </c>
      <c r="U575" s="311">
        <f t="shared" ca="1" si="234"/>
        <v>0</v>
      </c>
      <c r="V575" s="306">
        <f t="shared" ca="1" si="235"/>
        <v>1.0710064298655251</v>
      </c>
      <c r="W575" s="304">
        <f t="shared" ca="1" si="236"/>
        <v>5.889248904130473</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8.5984765507982921</v>
      </c>
      <c r="AH575" s="304">
        <f t="shared" ca="1" si="260"/>
        <v>-0.70815579895868164</v>
      </c>
    </row>
    <row r="576" spans="1:34" x14ac:dyDescent="0.2">
      <c r="A576" s="347">
        <f t="shared" ca="1" si="238"/>
        <v>0.1</v>
      </c>
      <c r="B576" s="304">
        <f t="shared" ca="1" si="239"/>
        <v>21.199999999999989</v>
      </c>
      <c r="D576" s="306">
        <f t="shared" ca="1" si="240"/>
        <v>-0.22826845981027399</v>
      </c>
      <c r="E576" s="307">
        <f t="shared" ca="1" si="241"/>
        <v>-9.1080913980313571</v>
      </c>
      <c r="F576" s="304">
        <f t="shared" ca="1" si="242"/>
        <v>9.1109513995321549</v>
      </c>
      <c r="G576" s="306">
        <f t="shared" ca="1" si="243"/>
        <v>13.097879432945597</v>
      </c>
      <c r="H576" s="307">
        <f t="shared" ca="1" si="244"/>
        <v>-41.256008860943403</v>
      </c>
      <c r="I576" s="304">
        <f t="shared" ca="1" si="245"/>
        <v>43.285248211997349</v>
      </c>
      <c r="J576" s="306">
        <f t="shared" ca="1" si="246"/>
        <v>316.88903490994119</v>
      </c>
      <c r="K576" s="307">
        <f t="shared" ca="1" si="247"/>
        <v>1337.3235883707307</v>
      </c>
      <c r="L576" s="304">
        <f t="shared" ca="1" si="232"/>
        <v>1374.3555000286212</v>
      </c>
      <c r="M576" s="306">
        <f t="shared" ca="1" si="248"/>
        <v>-1.2633826965015718</v>
      </c>
      <c r="N576" s="304">
        <f t="shared" ca="1" si="249"/>
        <v>-72.38649641939746</v>
      </c>
      <c r="P576" s="310">
        <f t="shared" ca="1" si="250"/>
        <v>23</v>
      </c>
      <c r="Q576" s="304">
        <f t="shared" ca="1" si="251"/>
        <v>0</v>
      </c>
      <c r="R576" s="306">
        <f t="shared" ca="1" si="252"/>
        <v>0</v>
      </c>
      <c r="S576" s="307">
        <f t="shared" ca="1" si="253"/>
        <v>7.9789999999999939</v>
      </c>
      <c r="T576" s="304">
        <f t="shared" ca="1" si="233"/>
        <v>78.273989999999941</v>
      </c>
      <c r="U576" s="311">
        <f t="shared" ca="1" si="234"/>
        <v>0</v>
      </c>
      <c r="V576" s="306">
        <f t="shared" ca="1" si="235"/>
        <v>1.0714454654803092</v>
      </c>
      <c r="W576" s="304">
        <f t="shared" ca="1" si="236"/>
        <v>6.1329895969729771</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8.5909715718602726</v>
      </c>
      <c r="AH576" s="304">
        <f t="shared" ca="1" si="260"/>
        <v>-0.73809360873925023</v>
      </c>
    </row>
    <row r="577" spans="1:34" x14ac:dyDescent="0.2">
      <c r="A577" s="347">
        <f t="shared" ca="1" si="238"/>
        <v>0.1</v>
      </c>
      <c r="B577" s="304">
        <f t="shared" ca="1" si="239"/>
        <v>21.29999999999999</v>
      </c>
      <c r="D577" s="306">
        <f t="shared" ca="1" si="240"/>
        <v>-0.23258667977848063</v>
      </c>
      <c r="E577" s="307">
        <f t="shared" ca="1" si="241"/>
        <v>-9.0773930027373577</v>
      </c>
      <c r="F577" s="304">
        <f t="shared" ca="1" si="242"/>
        <v>9.08037225502102</v>
      </c>
      <c r="G577" s="306">
        <f t="shared" ca="1" si="243"/>
        <v>13.074620764967749</v>
      </c>
      <c r="H577" s="307">
        <f t="shared" ca="1" si="244"/>
        <v>-42.163748161217136</v>
      </c>
      <c r="I577" s="304">
        <f t="shared" ca="1" si="245"/>
        <v>44.144392250321751</v>
      </c>
      <c r="J577" s="306">
        <f t="shared" ca="1" si="246"/>
        <v>318.19765991983684</v>
      </c>
      <c r="K577" s="307">
        <f t="shared" ca="1" si="247"/>
        <v>1333.1526005196226</v>
      </c>
      <c r="L577" s="304">
        <f t="shared" ca="1" si="232"/>
        <v>1370.6004549286756</v>
      </c>
      <c r="M577" s="306">
        <f t="shared" ca="1" si="248"/>
        <v>-1.2701071626929388</v>
      </c>
      <c r="N577" s="304">
        <f t="shared" ca="1" si="249"/>
        <v>-72.771779951641193</v>
      </c>
      <c r="P577" s="310">
        <f t="shared" ca="1" si="250"/>
        <v>23</v>
      </c>
      <c r="Q577" s="304">
        <f t="shared" ca="1" si="251"/>
        <v>0</v>
      </c>
      <c r="R577" s="306">
        <f t="shared" ca="1" si="252"/>
        <v>0</v>
      </c>
      <c r="S577" s="307">
        <f t="shared" ca="1" si="253"/>
        <v>7.9789999999999939</v>
      </c>
      <c r="T577" s="304">
        <f t="shared" ca="1" si="233"/>
        <v>78.273989999999941</v>
      </c>
      <c r="U577" s="311">
        <f t="shared" ca="1" si="234"/>
        <v>0</v>
      </c>
      <c r="V577" s="306">
        <f t="shared" ca="1" si="235"/>
        <v>1.0718944589467985</v>
      </c>
      <c r="W577" s="304">
        <f t="shared" ca="1" si="236"/>
        <v>6.3815392168856357</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8.5814597168648241</v>
      </c>
      <c r="AH577" s="304">
        <f t="shared" ca="1" si="260"/>
        <v>-0.76864138325266096</v>
      </c>
    </row>
    <row r="578" spans="1:34" x14ac:dyDescent="0.2">
      <c r="A578" s="347">
        <f t="shared" ca="1" si="238"/>
        <v>0.1</v>
      </c>
      <c r="B578" s="304">
        <f t="shared" ca="1" si="239"/>
        <v>21.399999999999991</v>
      </c>
      <c r="D578" s="306">
        <f t="shared" ca="1" si="240"/>
        <v>-0.23688116817441293</v>
      </c>
      <c r="E578" s="307">
        <f t="shared" ca="1" si="241"/>
        <v>-9.0460927250905616</v>
      </c>
      <c r="F578" s="304">
        <f t="shared" ca="1" si="242"/>
        <v>9.0491936811393341</v>
      </c>
      <c r="G578" s="306">
        <f t="shared" ca="1" si="243"/>
        <v>13.050932648150308</v>
      </c>
      <c r="H578" s="307">
        <f t="shared" ca="1" si="244"/>
        <v>-43.068357433726192</v>
      </c>
      <c r="I578" s="304">
        <f t="shared" ca="1" si="245"/>
        <v>45.002336106315127</v>
      </c>
      <c r="J578" s="306">
        <f t="shared" ca="1" si="246"/>
        <v>319.50393759049274</v>
      </c>
      <c r="K578" s="307">
        <f t="shared" ca="1" si="247"/>
        <v>1328.8909952398756</v>
      </c>
      <c r="L578" s="304">
        <f t="shared" ca="1" si="232"/>
        <v>1366.7604191537946</v>
      </c>
      <c r="M578" s="306">
        <f t="shared" ca="1" si="248"/>
        <v>-1.2765635641138979</v>
      </c>
      <c r="N578" s="304">
        <f t="shared" ca="1" si="249"/>
        <v>-73.141704503904421</v>
      </c>
      <c r="P578" s="310">
        <f t="shared" ca="1" si="250"/>
        <v>23</v>
      </c>
      <c r="Q578" s="304">
        <f t="shared" ca="1" si="251"/>
        <v>0</v>
      </c>
      <c r="R578" s="306">
        <f t="shared" ca="1" si="252"/>
        <v>0</v>
      </c>
      <c r="S578" s="307">
        <f t="shared" ca="1" si="253"/>
        <v>7.9789999999999939</v>
      </c>
      <c r="T578" s="304">
        <f t="shared" ca="1" si="233"/>
        <v>78.273989999999941</v>
      </c>
      <c r="U578" s="311">
        <f t="shared" ca="1" si="234"/>
        <v>0</v>
      </c>
      <c r="V578" s="306">
        <f t="shared" ca="1" si="235"/>
        <v>1.0723533884596106</v>
      </c>
      <c r="W578" s="304">
        <f t="shared" ca="1" si="236"/>
        <v>6.634838844275242</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8.5700589537674858</v>
      </c>
      <c r="AH578" s="304">
        <f t="shared" ca="1" si="260"/>
        <v>-0.79979185573200162</v>
      </c>
    </row>
    <row r="579" spans="1:34" x14ac:dyDescent="0.2">
      <c r="A579" s="347">
        <f t="shared" ca="1" si="238"/>
        <v>0.1</v>
      </c>
      <c r="B579" s="304">
        <f t="shared" ca="1" si="239"/>
        <v>21.499999999999993</v>
      </c>
      <c r="D579" s="306">
        <f t="shared" ca="1" si="240"/>
        <v>-0.24115063121330058</v>
      </c>
      <c r="E579" s="307">
        <f t="shared" ca="1" si="241"/>
        <v>-9.0141977488915241</v>
      </c>
      <c r="F579" s="304">
        <f t="shared" ca="1" si="242"/>
        <v>9.0174228404270576</v>
      </c>
      <c r="G579" s="306">
        <f t="shared" ca="1" si="243"/>
        <v>13.026817585028978</v>
      </c>
      <c r="H579" s="307">
        <f t="shared" ca="1" si="244"/>
        <v>-43.969777208615341</v>
      </c>
      <c r="I579" s="304">
        <f t="shared" ca="1" si="245"/>
        <v>45.858906268781524</v>
      </c>
      <c r="J579" s="306">
        <f t="shared" ca="1" si="246"/>
        <v>320.8078251021517</v>
      </c>
      <c r="K579" s="307">
        <f t="shared" ca="1" si="247"/>
        <v>1324.5390885077584</v>
      </c>
      <c r="L579" s="304">
        <f t="shared" ca="1" si="232"/>
        <v>1362.8358146276228</v>
      </c>
      <c r="M579" s="306">
        <f t="shared" ca="1" si="248"/>
        <v>-1.2827673184248662</v>
      </c>
      <c r="N579" s="304">
        <f t="shared" ca="1" si="249"/>
        <v>-73.497153443059005</v>
      </c>
      <c r="P579" s="310">
        <f t="shared" ca="1" si="250"/>
        <v>23</v>
      </c>
      <c r="Q579" s="304">
        <f t="shared" ca="1" si="251"/>
        <v>0</v>
      </c>
      <c r="R579" s="306">
        <f t="shared" ca="1" si="252"/>
        <v>0</v>
      </c>
      <c r="S579" s="307">
        <f t="shared" ca="1" si="253"/>
        <v>7.9789999999999939</v>
      </c>
      <c r="T579" s="304">
        <f t="shared" ca="1" si="233"/>
        <v>78.273989999999941</v>
      </c>
      <c r="U579" s="311">
        <f t="shared" ca="1" si="234"/>
        <v>0</v>
      </c>
      <c r="V579" s="306">
        <f t="shared" ca="1" si="235"/>
        <v>1.0728222317783709</v>
      </c>
      <c r="W579" s="304">
        <f t="shared" ca="1" si="236"/>
        <v>6.8928286477889182</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8.5568768934972859</v>
      </c>
      <c r="AH579" s="304">
        <f t="shared" ca="1" si="260"/>
        <v>-0.83153764184424706</v>
      </c>
    </row>
    <row r="580" spans="1:34" x14ac:dyDescent="0.2">
      <c r="A580" s="347">
        <f t="shared" ca="1" si="238"/>
        <v>0.1</v>
      </c>
      <c r="B580" s="304">
        <f t="shared" ca="1" si="239"/>
        <v>21.599999999999994</v>
      </c>
      <c r="D580" s="306">
        <f t="shared" ca="1" si="240"/>
        <v>-0.24539383982207219</v>
      </c>
      <c r="E580" s="307">
        <f t="shared" ca="1" si="241"/>
        <v>-8.9817153944227019</v>
      </c>
      <c r="F580" s="304">
        <f t="shared" ca="1" si="242"/>
        <v>8.9850670316382377</v>
      </c>
      <c r="G580" s="306">
        <f t="shared" ca="1" si="243"/>
        <v>13.002278201046771</v>
      </c>
      <c r="H580" s="307">
        <f t="shared" ca="1" si="244"/>
        <v>-44.867948748057614</v>
      </c>
      <c r="I580" s="304">
        <f t="shared" ca="1" si="245"/>
        <v>46.713938640150445</v>
      </c>
      <c r="J580" s="306">
        <f t="shared" ca="1" si="246"/>
        <v>322.10927989145546</v>
      </c>
      <c r="K580" s="307">
        <f t="shared" ca="1" si="247"/>
        <v>1320.0972022099247</v>
      </c>
      <c r="L580" s="304">
        <f t="shared" ref="L580:L643" ca="1" si="261">SQRT(pos_x^2+pos_z^2)</f>
        <v>1358.8270719538461</v>
      </c>
      <c r="M580" s="306">
        <f t="shared" ca="1" si="248"/>
        <v>-1.2887327207115793</v>
      </c>
      <c r="N580" s="304">
        <f t="shared" ca="1" si="249"/>
        <v>-73.838945817185348</v>
      </c>
      <c r="P580" s="310">
        <f t="shared" ca="1" si="250"/>
        <v>23</v>
      </c>
      <c r="Q580" s="304">
        <f t="shared" ca="1" si="251"/>
        <v>0</v>
      </c>
      <c r="R580" s="306">
        <f t="shared" ca="1" si="252"/>
        <v>0</v>
      </c>
      <c r="S580" s="307">
        <f t="shared" ca="1" si="253"/>
        <v>7.9789999999999939</v>
      </c>
      <c r="T580" s="304">
        <f t="shared" ref="T580:T643" ca="1" si="262">m*g</f>
        <v>78.273989999999941</v>
      </c>
      <c r="U580" s="311">
        <f t="shared" ref="U580:U643" ca="1" si="263">IF(pos_xz&lt;L_rampe,Poids*COS(Beta),0)</f>
        <v>0</v>
      </c>
      <c r="V580" s="306">
        <f t="shared" ref="V580:V643" ca="1" si="264">Rho_moyen*(20000-Alt_rampe-pos_z)/(20000+Alt_rampe+pos_z)</f>
        <v>1.0733009662320363</v>
      </c>
      <c r="W580" s="304">
        <f t="shared" ref="W580:W643" ca="1" si="265">1/2*Rho*Sref*Cx*vit_xz^2</f>
        <v>7.1554479109626694</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8.5420119215266457</v>
      </c>
      <c r="AH580" s="304">
        <f t="shared" ca="1" si="260"/>
        <v>-0.8638712429864549</v>
      </c>
    </row>
    <row r="581" spans="1:34" x14ac:dyDescent="0.2">
      <c r="A581" s="347">
        <f t="shared" ref="A581:A644" ca="1" si="267">IF(B580+0.01&lt;=T_ini+ROUNDUP(Temps_fin_propu,0), 0.01, IF(K580&gt;0, 0.1, 0.0001))</f>
        <v>0.1</v>
      </c>
      <c r="B581" s="304">
        <f t="shared" ref="B581:B644" ca="1" si="268">B580+pas</f>
        <v>21.699999999999996</v>
      </c>
      <c r="D581" s="306">
        <f t="shared" ref="D581:D644" ca="1" si="269">IF(AND(L580&lt;L_rampe,Poussee&lt;Poids*SIN(M580)),0,(-W580+Poussee)/m*COS(M580)-U580/m*SIN(M580))</f>
        <v>-0.24960962490432503</v>
      </c>
      <c r="E581" s="307">
        <f t="shared" ref="E581:E644" ca="1" si="270">IF(AND(L580&lt;L_rampe,Poussee&lt;Poids*SIN(M580)),0,(-W580+Poussee)/m*SIN(M580)+U580/m*COS(M580)-Poids/m)</f>
        <v>-8.9486531126270243</v>
      </c>
      <c r="F581" s="304">
        <f t="shared" ref="F581:F644" ca="1" si="271">SQRT(acc_x^2+acc_z^2)</f>
        <v>8.9521336839311232</v>
      </c>
      <c r="G581" s="306">
        <f t="shared" ref="G581:G644" ca="1" si="272">G580+acc_x*pas</f>
        <v>12.977317238556338</v>
      </c>
      <c r="H581" s="307">
        <f t="shared" ref="H581:H644" ca="1" si="273">H580+acc_z*pas</f>
        <v>-45.76281405932032</v>
      </c>
      <c r="I581" s="304">
        <f t="shared" ref="I581:I644" ca="1" si="274">SQRT(vit_x^2+vit_z^2)</f>
        <v>47.567277758329382</v>
      </c>
      <c r="J581" s="306">
        <f t="shared" ref="J581:J644" ca="1" si="275">J580+0.5*(vit_x+G580)*pas*(K580&gt;=0)</f>
        <v>323.40825966343562</v>
      </c>
      <c r="K581" s="307">
        <f t="shared" ref="K581:K644" ca="1" si="276">K580+0.5*(vit_z+H580)*pas</f>
        <v>1315.5656640695559</v>
      </c>
      <c r="L581" s="304">
        <f t="shared" ca="1" si="261"/>
        <v>1354.7346304340581</v>
      </c>
      <c r="M581" s="306">
        <f t="shared" ref="M581:M644" ca="1" si="277">IF(AND(L580&gt;L_rampe,G581&gt;0),ATAN2(G581,H581),$M$4)</f>
        <v>-1.2944730401777487</v>
      </c>
      <c r="N581" s="304">
        <f t="shared" ref="N581:N644" ca="1" si="278">DEGREES(Beta)</f>
        <v>-74.167841895653638</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7.9789999999999939</v>
      </c>
      <c r="T581" s="304">
        <f t="shared" ca="1" si="262"/>
        <v>78.273989999999941</v>
      </c>
      <c r="U581" s="311">
        <f t="shared" ca="1" si="263"/>
        <v>0</v>
      </c>
      <c r="V581" s="306">
        <f t="shared" ca="1" si="264"/>
        <v>1.0737895687233172</v>
      </c>
      <c r="W581" s="304">
        <f t="shared" ca="1" si="265"/>
        <v>7.422635059191955</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8.5255541928234191</v>
      </c>
      <c r="AH581" s="304">
        <f t="shared" ref="AH581:AH644" ca="1" si="289">IF(AND(L580&lt;L_rampe,Poussee&lt;Poids*SIN(M580)), g*SIN(M580), (-W580+Poussee)/m)</f>
        <v>-0.89678504962560157</v>
      </c>
    </row>
    <row r="582" spans="1:34" x14ac:dyDescent="0.2">
      <c r="A582" s="347">
        <f t="shared" ca="1" si="267"/>
        <v>0.1</v>
      </c>
      <c r="B582" s="304">
        <f t="shared" ca="1" si="268"/>
        <v>21.799999999999997</v>
      </c>
      <c r="D582" s="306">
        <f t="shared" ca="1" si="269"/>
        <v>-0.25379687311874605</v>
      </c>
      <c r="E582" s="307">
        <f t="shared" ca="1" si="270"/>
        <v>-8.9150184795619491</v>
      </c>
      <c r="F582" s="304">
        <f t="shared" ca="1" si="271"/>
        <v>8.9186303513339915</v>
      </c>
      <c r="G582" s="306">
        <f t="shared" ca="1" si="272"/>
        <v>12.951937551244464</v>
      </c>
      <c r="H582" s="307">
        <f t="shared" ca="1" si="273"/>
        <v>-46.654315907276512</v>
      </c>
      <c r="I582" s="304">
        <f t="shared" ca="1" si="274"/>
        <v>48.418776100881466</v>
      </c>
      <c r="J582" s="306">
        <f t="shared" ca="1" si="275"/>
        <v>324.70472240292565</v>
      </c>
      <c r="K582" s="307">
        <f t="shared" ca="1" si="276"/>
        <v>1310.944807571226</v>
      </c>
      <c r="L582" s="304">
        <f t="shared" ca="1" si="261"/>
        <v>1350.5589380877532</v>
      </c>
      <c r="M582" s="306">
        <f t="shared" ca="1" si="277"/>
        <v>-1.3000006074289021</v>
      </c>
      <c r="N582" s="304">
        <f t="shared" ca="1" si="278"/>
        <v>-74.484548170119467</v>
      </c>
      <c r="P582" s="310">
        <f t="shared" ca="1" si="279"/>
        <v>23</v>
      </c>
      <c r="Q582" s="304">
        <f t="shared" ca="1" si="280"/>
        <v>0</v>
      </c>
      <c r="R582" s="306">
        <f t="shared" ca="1" si="281"/>
        <v>0</v>
      </c>
      <c r="S582" s="307">
        <f t="shared" ca="1" si="282"/>
        <v>7.9789999999999939</v>
      </c>
      <c r="T582" s="304">
        <f t="shared" ca="1" si="262"/>
        <v>78.273989999999941</v>
      </c>
      <c r="U582" s="311">
        <f t="shared" ca="1" si="263"/>
        <v>0</v>
      </c>
      <c r="V582" s="306">
        <f t="shared" ca="1" si="264"/>
        <v>1.0742880157331915</v>
      </c>
      <c r="W582" s="304">
        <f t="shared" ca="1" si="265"/>
        <v>7.6943276869990083</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8.5075865079985462</v>
      </c>
      <c r="AH582" s="304">
        <f t="shared" ca="1" si="289"/>
        <v>-0.93027134467877692</v>
      </c>
    </row>
    <row r="583" spans="1:34" x14ac:dyDescent="0.2">
      <c r="A583" s="347">
        <f t="shared" ca="1" si="267"/>
        <v>0.1</v>
      </c>
      <c r="B583" s="304">
        <f t="shared" ca="1" si="268"/>
        <v>21.9</v>
      </c>
      <c r="D583" s="306">
        <f t="shared" ca="1" si="269"/>
        <v>-0.25795452310925621</v>
      </c>
      <c r="E583" s="307">
        <f t="shared" ca="1" si="270"/>
        <v>-8.8808191910874559</v>
      </c>
      <c r="F583" s="304">
        <f t="shared" ca="1" si="271"/>
        <v>8.8845647074451417</v>
      </c>
      <c r="G583" s="306">
        <f t="shared" ca="1" si="272"/>
        <v>12.926142098933539</v>
      </c>
      <c r="H583" s="307">
        <f t="shared" ca="1" si="273"/>
        <v>-47.542397826385255</v>
      </c>
      <c r="I583" s="304">
        <f t="shared" ca="1" si="274"/>
        <v>49.268293461861489</v>
      </c>
      <c r="J583" s="306">
        <f t="shared" ca="1" si="275"/>
        <v>325.99862638543453</v>
      </c>
      <c r="K583" s="307">
        <f t="shared" ca="1" si="276"/>
        <v>1306.2349718845428</v>
      </c>
      <c r="L583" s="304">
        <f t="shared" ca="1" si="261"/>
        <v>1346.3004516746632</v>
      </c>
      <c r="M583" s="306">
        <f t="shared" ca="1" si="277"/>
        <v>-1.3053268933428841</v>
      </c>
      <c r="N583" s="304">
        <f t="shared" ca="1" si="278"/>
        <v>-74.789721873470612</v>
      </c>
      <c r="P583" s="310">
        <f t="shared" ca="1" si="279"/>
        <v>23</v>
      </c>
      <c r="Q583" s="304">
        <f t="shared" ca="1" si="280"/>
        <v>0</v>
      </c>
      <c r="R583" s="306">
        <f t="shared" ca="1" si="281"/>
        <v>0</v>
      </c>
      <c r="S583" s="307">
        <f t="shared" ca="1" si="282"/>
        <v>7.9789999999999939</v>
      </c>
      <c r="T583" s="304">
        <f t="shared" ca="1" si="262"/>
        <v>78.273989999999941</v>
      </c>
      <c r="U583" s="311">
        <f t="shared" ca="1" si="263"/>
        <v>0</v>
      </c>
      <c r="V583" s="306">
        <f t="shared" ca="1" si="264"/>
        <v>1.0747962833255065</v>
      </c>
      <c r="W583" s="304">
        <f t="shared" ca="1" si="265"/>
        <v>7.9704625855721467</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8.4881850860031083</v>
      </c>
      <c r="AH583" s="304">
        <f t="shared" ca="1" si="289"/>
        <v>-0.96432230693056953</v>
      </c>
    </row>
    <row r="584" spans="1:34" x14ac:dyDescent="0.2">
      <c r="A584" s="347">
        <f t="shared" ca="1" si="267"/>
        <v>0.1</v>
      </c>
      <c r="B584" s="304">
        <f t="shared" ca="1" si="268"/>
        <v>22</v>
      </c>
      <c r="D584" s="306">
        <f t="shared" ca="1" si="269"/>
        <v>-0.26208156213310535</v>
      </c>
      <c r="E584" s="307">
        <f t="shared" ca="1" si="270"/>
        <v>-8.8460630577532804</v>
      </c>
      <c r="F584" s="304">
        <f t="shared" ca="1" si="271"/>
        <v>8.8499445403322987</v>
      </c>
      <c r="G584" s="306">
        <f t="shared" ca="1" si="272"/>
        <v>12.899933942720228</v>
      </c>
      <c r="H584" s="307">
        <f t="shared" ca="1" si="273"/>
        <v>-48.427004132160583</v>
      </c>
      <c r="I584" s="304">
        <f t="shared" ca="1" si="274"/>
        <v>50.115696392875194</v>
      </c>
      <c r="J584" s="306">
        <f t="shared" ca="1" si="275"/>
        <v>327.2899301875172</v>
      </c>
      <c r="K584" s="307">
        <f t="shared" ca="1" si="276"/>
        <v>1301.4365017866155</v>
      </c>
      <c r="L584" s="304">
        <f t="shared" ca="1" si="261"/>
        <v>1341.9596367196493</v>
      </c>
      <c r="M584" s="306">
        <f t="shared" ca="1" si="277"/>
        <v>-1.3104625804124872</v>
      </c>
      <c r="N584" s="304">
        <f t="shared" ca="1" si="278"/>
        <v>-75.08397506745878</v>
      </c>
      <c r="P584" s="310">
        <f t="shared" ca="1" si="279"/>
        <v>23</v>
      </c>
      <c r="Q584" s="304">
        <f t="shared" ca="1" si="280"/>
        <v>0</v>
      </c>
      <c r="R584" s="306">
        <f t="shared" ca="1" si="281"/>
        <v>0</v>
      </c>
      <c r="S584" s="307">
        <f t="shared" ca="1" si="282"/>
        <v>7.9789999999999939</v>
      </c>
      <c r="T584" s="304">
        <f t="shared" ca="1" si="262"/>
        <v>78.273989999999941</v>
      </c>
      <c r="U584" s="311">
        <f t="shared" ca="1" si="263"/>
        <v>0</v>
      </c>
      <c r="V584" s="306">
        <f t="shared" ca="1" si="264"/>
        <v>1.0753143471516686</v>
      </c>
      <c r="W584" s="304">
        <f t="shared" ca="1" si="265"/>
        <v>8.2509757705529978</v>
      </c>
      <c r="Y584" s="314" t="str">
        <f t="shared" ca="1" si="283"/>
        <v/>
      </c>
      <c r="Z584" s="315" t="str">
        <f t="shared" ca="1" si="284"/>
        <v/>
      </c>
      <c r="AA584" s="316" t="str">
        <f t="shared" ca="1" si="285"/>
        <v/>
      </c>
      <c r="AC584" s="310">
        <f t="shared" ca="1" si="286"/>
        <v>22</v>
      </c>
      <c r="AD584" s="323">
        <f t="shared" ca="1" si="287"/>
        <v>327.2899301875172</v>
      </c>
      <c r="AE584" s="324" t="e">
        <f t="shared" ca="1" si="266"/>
        <v>#N/A</v>
      </c>
      <c r="AG584" s="306">
        <f t="shared" ca="1" si="288"/>
        <v>8.4674202466194259</v>
      </c>
      <c r="AH584" s="304">
        <f t="shared" ca="1" si="289"/>
        <v>-0.998930014484541</v>
      </c>
    </row>
    <row r="585" spans="1:34" x14ac:dyDescent="0.2">
      <c r="A585" s="347">
        <f t="shared" ca="1" si="267"/>
        <v>0.1</v>
      </c>
      <c r="B585" s="304">
        <f t="shared" ca="1" si="268"/>
        <v>22.1</v>
      </c>
      <c r="D585" s="306">
        <f t="shared" ca="1" si="269"/>
        <v>-0.26617702304001256</v>
      </c>
      <c r="E585" s="307">
        <f t="shared" ca="1" si="270"/>
        <v>-8.810757999856337</v>
      </c>
      <c r="F585" s="304">
        <f t="shared" ca="1" si="271"/>
        <v>8.8147777476024256</v>
      </c>
      <c r="G585" s="306">
        <f t="shared" ca="1" si="272"/>
        <v>12.873316240416226</v>
      </c>
      <c r="H585" s="307">
        <f t="shared" ca="1" si="273"/>
        <v>-49.308079932146214</v>
      </c>
      <c r="I585" s="304">
        <f t="shared" ca="1" si="274"/>
        <v>50.960857700991305</v>
      </c>
      <c r="J585" s="306">
        <f t="shared" ca="1" si="275"/>
        <v>328.57859269667404</v>
      </c>
      <c r="K585" s="307">
        <f t="shared" ca="1" si="276"/>
        <v>1296.5497475834002</v>
      </c>
      <c r="L585" s="304">
        <f t="shared" ca="1" si="261"/>
        <v>1337.5369675403763</v>
      </c>
      <c r="M585" s="306">
        <f t="shared" ca="1" si="277"/>
        <v>-1.3154176273476434</v>
      </c>
      <c r="N585" s="304">
        <f t="shared" ca="1" si="278"/>
        <v>-75.367878344132464</v>
      </c>
      <c r="P585" s="310">
        <f t="shared" ca="1" si="279"/>
        <v>23</v>
      </c>
      <c r="Q585" s="304">
        <f t="shared" ca="1" si="280"/>
        <v>0</v>
      </c>
      <c r="R585" s="306">
        <f t="shared" ca="1" si="281"/>
        <v>0</v>
      </c>
      <c r="S585" s="307">
        <f t="shared" ca="1" si="282"/>
        <v>7.9789999999999939</v>
      </c>
      <c r="T585" s="304">
        <f t="shared" ca="1" si="262"/>
        <v>78.273989999999941</v>
      </c>
      <c r="U585" s="311">
        <f t="shared" ca="1" si="263"/>
        <v>0</v>
      </c>
      <c r="V585" s="306">
        <f t="shared" ca="1" si="264"/>
        <v>1.0758421824554099</v>
      </c>
      <c r="W585" s="304">
        <f t="shared" ca="1" si="265"/>
        <v>8.5358025100480504</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8.4453570141827896</v>
      </c>
      <c r="AH585" s="304">
        <f t="shared" ca="1" si="289"/>
        <v>-1.0340864482457706</v>
      </c>
    </row>
    <row r="586" spans="1:34" x14ac:dyDescent="0.2">
      <c r="A586" s="347">
        <f t="shared" ca="1" si="267"/>
        <v>0.1</v>
      </c>
      <c r="B586" s="304">
        <f t="shared" ca="1" si="268"/>
        <v>22.200000000000003</v>
      </c>
      <c r="D586" s="306">
        <f t="shared" ca="1" si="269"/>
        <v>-0.27023998156137524</v>
      </c>
      <c r="E586" s="307">
        <f t="shared" ca="1" si="270"/>
        <v>-8.7749120426440186</v>
      </c>
      <c r="F586" s="304">
        <f t="shared" ca="1" si="271"/>
        <v>8.7790723316175789</v>
      </c>
      <c r="G586" s="306">
        <f t="shared" ca="1" si="272"/>
        <v>12.846292242260089</v>
      </c>
      <c r="H586" s="307">
        <f t="shared" ca="1" si="273"/>
        <v>-50.185571136410616</v>
      </c>
      <c r="I586" s="304">
        <f t="shared" ca="1" si="274"/>
        <v>51.803655997055671</v>
      </c>
      <c r="J586" s="306">
        <f t="shared" ca="1" si="275"/>
        <v>329.86457312080785</v>
      </c>
      <c r="K586" s="307">
        <f t="shared" ca="1" si="276"/>
        <v>1291.5750650299724</v>
      </c>
      <c r="L586" s="304">
        <f t="shared" ca="1" si="261"/>
        <v>1333.0329272779989</v>
      </c>
      <c r="M586" s="306">
        <f t="shared" ca="1" si="277"/>
        <v>-1.3202013276374271</v>
      </c>
      <c r="N586" s="304">
        <f t="shared" ca="1" si="278"/>
        <v>-75.641964181192577</v>
      </c>
      <c r="P586" s="310">
        <f t="shared" ca="1" si="279"/>
        <v>23</v>
      </c>
      <c r="Q586" s="304">
        <f t="shared" ca="1" si="280"/>
        <v>0</v>
      </c>
      <c r="R586" s="306">
        <f t="shared" ca="1" si="281"/>
        <v>0</v>
      </c>
      <c r="S586" s="307">
        <f t="shared" ca="1" si="282"/>
        <v>7.9789999999999939</v>
      </c>
      <c r="T586" s="304">
        <f t="shared" ca="1" si="262"/>
        <v>78.273989999999941</v>
      </c>
      <c r="U586" s="311">
        <f t="shared" ca="1" si="263"/>
        <v>0</v>
      </c>
      <c r="V586" s="306">
        <f t="shared" ca="1" si="264"/>
        <v>1.076379764077638</v>
      </c>
      <c r="W586" s="304">
        <f t="shared" ca="1" si="265"/>
        <v>8.8248773528414191</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8.422055652419898</v>
      </c>
      <c r="AH586" s="304">
        <f t="shared" ca="1" si="289"/>
        <v>-1.0697834954315149</v>
      </c>
    </row>
    <row r="587" spans="1:34" x14ac:dyDescent="0.2">
      <c r="A587" s="347">
        <f t="shared" ca="1" si="267"/>
        <v>0.1</v>
      </c>
      <c r="B587" s="304">
        <f t="shared" ca="1" si="268"/>
        <v>22.300000000000004</v>
      </c>
      <c r="D587" s="306">
        <f t="shared" ca="1" si="269"/>
        <v>-0.27426955387369284</v>
      </c>
      <c r="E587" s="307">
        <f t="shared" ca="1" si="270"/>
        <v>-8.7385333116430637</v>
      </c>
      <c r="F587" s="304">
        <f t="shared" ca="1" si="271"/>
        <v>8.7428363948364929</v>
      </c>
      <c r="G587" s="306">
        <f t="shared" ca="1" si="272"/>
        <v>12.81886528687272</v>
      </c>
      <c r="H587" s="307">
        <f t="shared" ca="1" si="273"/>
        <v>-51.059424467574921</v>
      </c>
      <c r="I587" s="304">
        <f t="shared" ca="1" si="274"/>
        <v>52.643975288754348</v>
      </c>
      <c r="J587" s="306">
        <f t="shared" ca="1" si="275"/>
        <v>331.14783099726446</v>
      </c>
      <c r="K587" s="307">
        <f t="shared" ca="1" si="276"/>
        <v>1286.5128152497732</v>
      </c>
      <c r="L587" s="304">
        <f t="shared" ca="1" si="261"/>
        <v>1328.4480079310931</v>
      </c>
      <c r="M587" s="306">
        <f t="shared" ca="1" si="277"/>
        <v>-1.3248223626946982</v>
      </c>
      <c r="N587" s="304">
        <f t="shared" ca="1" si="278"/>
        <v>-75.906729986956208</v>
      </c>
      <c r="P587" s="310">
        <f t="shared" ca="1" si="279"/>
        <v>23</v>
      </c>
      <c r="Q587" s="304">
        <f t="shared" ca="1" si="280"/>
        <v>0</v>
      </c>
      <c r="R587" s="306">
        <f t="shared" ca="1" si="281"/>
        <v>0</v>
      </c>
      <c r="S587" s="307">
        <f t="shared" ca="1" si="282"/>
        <v>7.9789999999999939</v>
      </c>
      <c r="T587" s="304">
        <f t="shared" ca="1" si="262"/>
        <v>78.273989999999941</v>
      </c>
      <c r="U587" s="311">
        <f t="shared" ca="1" si="263"/>
        <v>0</v>
      </c>
      <c r="V587" s="306">
        <f t="shared" ca="1" si="264"/>
        <v>1.0769270664613573</v>
      </c>
      <c r="W587" s="304">
        <f t="shared" ca="1" si="265"/>
        <v>9.1181341567861338</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8.3975721389599656</v>
      </c>
      <c r="AH587" s="304">
        <f t="shared" ca="1" si="289"/>
        <v>-1.1060129531070844</v>
      </c>
    </row>
    <row r="588" spans="1:34" x14ac:dyDescent="0.2">
      <c r="A588" s="347">
        <f t="shared" ca="1" si="267"/>
        <v>0.1</v>
      </c>
      <c r="B588" s="304">
        <f t="shared" ca="1" si="268"/>
        <v>22.400000000000006</v>
      </c>
      <c r="D588" s="306">
        <f t="shared" ca="1" si="269"/>
        <v>-0.27826489440480368</v>
      </c>
      <c r="E588" s="307">
        <f t="shared" ca="1" si="270"/>
        <v>-8.7016300280969752</v>
      </c>
      <c r="F588" s="304">
        <f t="shared" ca="1" si="271"/>
        <v>8.7060781352648728</v>
      </c>
      <c r="G588" s="306">
        <f t="shared" ca="1" si="272"/>
        <v>12.79103879743224</v>
      </c>
      <c r="H588" s="307">
        <f t="shared" ca="1" si="273"/>
        <v>-51.929587470384618</v>
      </c>
      <c r="I588" s="304">
        <f t="shared" ca="1" si="274"/>
        <v>53.481704613463322</v>
      </c>
      <c r="J588" s="306">
        <f t="shared" ca="1" si="275"/>
        <v>332.42832620147971</v>
      </c>
      <c r="K588" s="307">
        <f t="shared" ca="1" si="276"/>
        <v>1281.3633646528751</v>
      </c>
      <c r="L588" s="304">
        <f t="shared" ca="1" si="261"/>
        <v>1323.782710393082</v>
      </c>
      <c r="M588" s="306">
        <f t="shared" ca="1" si="277"/>
        <v>-1.3292888501375655</v>
      </c>
      <c r="N588" s="304">
        <f t="shared" ca="1" si="278"/>
        <v>-76.162640866680675</v>
      </c>
      <c r="P588" s="310">
        <f t="shared" ca="1" si="279"/>
        <v>23</v>
      </c>
      <c r="Q588" s="304">
        <f t="shared" ca="1" si="280"/>
        <v>0</v>
      </c>
      <c r="R588" s="306">
        <f t="shared" ca="1" si="281"/>
        <v>0</v>
      </c>
      <c r="S588" s="307">
        <f t="shared" ca="1" si="282"/>
        <v>7.9789999999999939</v>
      </c>
      <c r="T588" s="304">
        <f t="shared" ca="1" si="262"/>
        <v>78.273989999999941</v>
      </c>
      <c r="U588" s="311">
        <f t="shared" ca="1" si="263"/>
        <v>0</v>
      </c>
      <c r="V588" s="306">
        <f t="shared" ca="1" si="264"/>
        <v>1.0774840636566636</v>
      </c>
      <c r="W588" s="304">
        <f t="shared" ca="1" si="265"/>
        <v>9.4155061173516366</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8.3719585869326689</v>
      </c>
      <c r="AH588" s="304">
        <f t="shared" ca="1" si="289"/>
        <v>-1.1427665317440958</v>
      </c>
    </row>
    <row r="589" spans="1:34" x14ac:dyDescent="0.2">
      <c r="A589" s="347">
        <f t="shared" ca="1" si="267"/>
        <v>0.1</v>
      </c>
      <c r="B589" s="304">
        <f t="shared" ca="1" si="268"/>
        <v>22.500000000000007</v>
      </c>
      <c r="D589" s="306">
        <f t="shared" ca="1" si="269"/>
        <v>-0.28222519385537032</v>
      </c>
      <c r="E589" s="307">
        <f t="shared" ca="1" si="270"/>
        <v>-8.6642105044978202</v>
      </c>
      <c r="F589" s="304">
        <f t="shared" ca="1" si="271"/>
        <v>8.6688058420002161</v>
      </c>
      <c r="G589" s="306">
        <f t="shared" ca="1" si="272"/>
        <v>12.762816278046703</v>
      </c>
      <c r="H589" s="307">
        <f t="shared" ca="1" si="273"/>
        <v>-52.796008520834398</v>
      </c>
      <c r="I589" s="304">
        <f t="shared" ca="1" si="274"/>
        <v>54.316737706522773</v>
      </c>
      <c r="J589" s="306">
        <f t="shared" ca="1" si="275"/>
        <v>333.70601895525363</v>
      </c>
      <c r="K589" s="307">
        <f t="shared" ca="1" si="276"/>
        <v>1276.1270848533143</v>
      </c>
      <c r="L589" s="304">
        <f t="shared" ca="1" si="261"/>
        <v>1319.0375444934014</v>
      </c>
      <c r="M589" s="306">
        <f t="shared" ca="1" si="277"/>
        <v>-1.3336083877009925</v>
      </c>
      <c r="N589" s="304">
        <f t="shared" ca="1" si="278"/>
        <v>-76.410132138513276</v>
      </c>
      <c r="P589" s="310">
        <f t="shared" ca="1" si="279"/>
        <v>23</v>
      </c>
      <c r="Q589" s="304">
        <f t="shared" ca="1" si="280"/>
        <v>0</v>
      </c>
      <c r="R589" s="306">
        <f t="shared" ca="1" si="281"/>
        <v>0</v>
      </c>
      <c r="S589" s="307">
        <f t="shared" ca="1" si="282"/>
        <v>7.9789999999999939</v>
      </c>
      <c r="T589" s="304">
        <f t="shared" ca="1" si="262"/>
        <v>78.273989999999941</v>
      </c>
      <c r="U589" s="311">
        <f t="shared" ca="1" si="263"/>
        <v>0</v>
      </c>
      <c r="V589" s="306">
        <f t="shared" ca="1" si="264"/>
        <v>1.0780507293258079</v>
      </c>
      <c r="W589" s="304">
        <f t="shared" ca="1" si="265"/>
        <v>9.7169257963055653</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8.3452636200861257</v>
      </c>
      <c r="AH589" s="304">
        <f t="shared" ca="1" si="289"/>
        <v>-1.1800358587983011</v>
      </c>
    </row>
    <row r="590" spans="1:34" x14ac:dyDescent="0.2">
      <c r="A590" s="347">
        <f t="shared" ca="1" si="267"/>
        <v>0.1</v>
      </c>
      <c r="B590" s="304">
        <f t="shared" ca="1" si="268"/>
        <v>22.600000000000009</v>
      </c>
      <c r="D590" s="306">
        <f t="shared" ca="1" si="269"/>
        <v>-0.28614967741139929</v>
      </c>
      <c r="E590" s="307">
        <f t="shared" ca="1" si="270"/>
        <v>-8.626283140200588</v>
      </c>
      <c r="F590" s="304">
        <f t="shared" ca="1" si="271"/>
        <v>8.6310278908593254</v>
      </c>
      <c r="G590" s="306">
        <f t="shared" ca="1" si="272"/>
        <v>12.734201310305563</v>
      </c>
      <c r="H590" s="307">
        <f t="shared" ca="1" si="273"/>
        <v>-53.658636834854455</v>
      </c>
      <c r="I590" s="304">
        <f t="shared" ca="1" si="274"/>
        <v>55.148972701095595</v>
      </c>
      <c r="J590" s="306">
        <f t="shared" ca="1" si="275"/>
        <v>334.98086983467124</v>
      </c>
      <c r="K590" s="307">
        <f t="shared" ca="1" si="276"/>
        <v>1270.8043525855298</v>
      </c>
      <c r="L590" s="304">
        <f t="shared" ca="1" si="261"/>
        <v>1314.2130290426742</v>
      </c>
      <c r="M590" s="306">
        <f t="shared" ca="1" si="277"/>
        <v>-1.3377880932179602</v>
      </c>
      <c r="N590" s="304">
        <f t="shared" ca="1" si="278"/>
        <v>-76.649611624243065</v>
      </c>
      <c r="P590" s="310">
        <f t="shared" ca="1" si="279"/>
        <v>23</v>
      </c>
      <c r="Q590" s="304">
        <f t="shared" ca="1" si="280"/>
        <v>0</v>
      </c>
      <c r="R590" s="306">
        <f t="shared" ca="1" si="281"/>
        <v>0</v>
      </c>
      <c r="S590" s="307">
        <f t="shared" ca="1" si="282"/>
        <v>7.9789999999999939</v>
      </c>
      <c r="T590" s="304">
        <f t="shared" ca="1" si="262"/>
        <v>78.273989999999941</v>
      </c>
      <c r="U590" s="311">
        <f t="shared" ca="1" si="263"/>
        <v>0</v>
      </c>
      <c r="V590" s="306">
        <f t="shared" ca="1" si="264"/>
        <v>1.0786270367483264</v>
      </c>
      <c r="W590" s="304">
        <f t="shared" ca="1" si="265"/>
        <v>10.022325150508278</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8.3175327070146015</v>
      </c>
      <c r="AH590" s="304">
        <f t="shared" ca="1" si="289"/>
        <v>-1.2178124823042453</v>
      </c>
    </row>
    <row r="591" spans="1:34" x14ac:dyDescent="0.2">
      <c r="A591" s="347">
        <f t="shared" ca="1" si="267"/>
        <v>0.1</v>
      </c>
      <c r="B591" s="304">
        <f t="shared" ca="1" si="268"/>
        <v>22.70000000000001</v>
      </c>
      <c r="D591" s="306">
        <f t="shared" ca="1" si="269"/>
        <v>-0.29003760312648647</v>
      </c>
      <c r="E591" s="307">
        <f t="shared" ca="1" si="270"/>
        <v>-8.5878564171102827</v>
      </c>
      <c r="F591" s="304">
        <f t="shared" ca="1" si="271"/>
        <v>8.5927527400786783</v>
      </c>
      <c r="G591" s="306">
        <f t="shared" ca="1" si="272"/>
        <v>12.705197549992915</v>
      </c>
      <c r="H591" s="307">
        <f t="shared" ca="1" si="273"/>
        <v>-54.517422476565486</v>
      </c>
      <c r="I591" s="304">
        <f t="shared" ca="1" si="274"/>
        <v>55.978311856224046</v>
      </c>
      <c r="J591" s="306">
        <f t="shared" ca="1" si="275"/>
        <v>336.25283977768618</v>
      </c>
      <c r="K591" s="307">
        <f t="shared" ca="1" si="276"/>
        <v>1265.395549619959</v>
      </c>
      <c r="L591" s="304">
        <f t="shared" ca="1" si="261"/>
        <v>1309.3096918821598</v>
      </c>
      <c r="M591" s="306">
        <f t="shared" ca="1" si="277"/>
        <v>-1.3418346410618451</v>
      </c>
      <c r="N591" s="304">
        <f t="shared" ca="1" si="278"/>
        <v>-76.881461737295439</v>
      </c>
      <c r="P591" s="310">
        <f t="shared" ca="1" si="279"/>
        <v>23</v>
      </c>
      <c r="Q591" s="304">
        <f t="shared" ca="1" si="280"/>
        <v>0</v>
      </c>
      <c r="R591" s="306">
        <f t="shared" ca="1" si="281"/>
        <v>0</v>
      </c>
      <c r="S591" s="307">
        <f t="shared" ca="1" si="282"/>
        <v>7.9789999999999939</v>
      </c>
      <c r="T591" s="304">
        <f t="shared" ca="1" si="262"/>
        <v>78.273989999999941</v>
      </c>
      <c r="U591" s="311">
        <f t="shared" ca="1" si="263"/>
        <v>0</v>
      </c>
      <c r="V591" s="306">
        <f t="shared" ca="1" si="264"/>
        <v>1.0792129588262322</v>
      </c>
      <c r="W591" s="304">
        <f t="shared" ca="1" si="265"/>
        <v>10.331635560798768</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8.2888084593594371</v>
      </c>
      <c r="AH591" s="304">
        <f t="shared" ca="1" si="289"/>
        <v>-1.2560878744840565</v>
      </c>
    </row>
    <row r="592" spans="1:34" x14ac:dyDescent="0.2">
      <c r="A592" s="347">
        <f t="shared" ca="1" si="267"/>
        <v>0.1</v>
      </c>
      <c r="B592" s="304">
        <f t="shared" ca="1" si="268"/>
        <v>22.800000000000011</v>
      </c>
      <c r="D592" s="306">
        <f t="shared" ca="1" si="269"/>
        <v>-0.2938882604550046</v>
      </c>
      <c r="E592" s="307">
        <f t="shared" ca="1" si="270"/>
        <v>-8.548938895433599</v>
      </c>
      <c r="F592" s="304">
        <f t="shared" ca="1" si="271"/>
        <v>8.5539889260794997</v>
      </c>
      <c r="G592" s="306">
        <f t="shared" ca="1" si="272"/>
        <v>12.675808723947414</v>
      </c>
      <c r="H592" s="307">
        <f t="shared" ca="1" si="273"/>
        <v>-55.372316366108848</v>
      </c>
      <c r="I592" s="304">
        <f t="shared" ca="1" si="274"/>
        <v>56.804661310094502</v>
      </c>
      <c r="J592" s="306">
        <f t="shared" ca="1" si="275"/>
        <v>337.52189009138317</v>
      </c>
      <c r="K592" s="307">
        <f t="shared" ca="1" si="276"/>
        <v>1259.9010626778252</v>
      </c>
      <c r="L592" s="304">
        <f t="shared" ca="1" si="261"/>
        <v>1304.3280699377642</v>
      </c>
      <c r="M592" s="306">
        <f t="shared" ca="1" si="277"/>
        <v>-1.3457542953993733</v>
      </c>
      <c r="N592" s="304">
        <f t="shared" ca="1" si="278"/>
        <v>-77.106041387985954</v>
      </c>
      <c r="P592" s="310">
        <f t="shared" ca="1" si="279"/>
        <v>23</v>
      </c>
      <c r="Q592" s="304">
        <f t="shared" ca="1" si="280"/>
        <v>0</v>
      </c>
      <c r="R592" s="306">
        <f t="shared" ca="1" si="281"/>
        <v>0</v>
      </c>
      <c r="S592" s="307">
        <f t="shared" ca="1" si="282"/>
        <v>7.9789999999999939</v>
      </c>
      <c r="T592" s="304">
        <f t="shared" ca="1" si="262"/>
        <v>78.273989999999941</v>
      </c>
      <c r="U592" s="311">
        <f t="shared" ca="1" si="263"/>
        <v>0</v>
      </c>
      <c r="V592" s="306">
        <f t="shared" ca="1" si="264"/>
        <v>1.0798084680892737</v>
      </c>
      <c r="W592" s="304">
        <f t="shared" ca="1" si="265"/>
        <v>10.644787860951141</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8.2591308982210201</v>
      </c>
      <c r="AH592" s="304">
        <f t="shared" ca="1" si="289"/>
        <v>-1.294853435367687</v>
      </c>
    </row>
    <row r="593" spans="1:34" x14ac:dyDescent="0.2">
      <c r="A593" s="347">
        <f t="shared" ca="1" si="267"/>
        <v>0.1</v>
      </c>
      <c r="B593" s="304">
        <f t="shared" ca="1" si="268"/>
        <v>22.900000000000013</v>
      </c>
      <c r="D593" s="306">
        <f t="shared" ca="1" si="269"/>
        <v>-0.29770096891966585</v>
      </c>
      <c r="E593" s="307">
        <f t="shared" ca="1" si="270"/>
        <v>-8.509539209488528</v>
      </c>
      <c r="F593" s="304">
        <f t="shared" ca="1" si="271"/>
        <v>8.514745059290874</v>
      </c>
      <c r="G593" s="306">
        <f t="shared" ca="1" si="272"/>
        <v>12.646038627055447</v>
      </c>
      <c r="H593" s="307">
        <f t="shared" ca="1" si="273"/>
        <v>-56.223270287057701</v>
      </c>
      <c r="I593" s="304">
        <f t="shared" ca="1" si="274"/>
        <v>57.627930855866445</v>
      </c>
      <c r="J593" s="306">
        <f t="shared" ca="1" si="275"/>
        <v>338.7879824589333</v>
      </c>
      <c r="K593" s="307">
        <f t="shared" ca="1" si="276"/>
        <v>1254.3212833451669</v>
      </c>
      <c r="L593" s="304">
        <f t="shared" ca="1" si="261"/>
        <v>1299.2687092789008</v>
      </c>
      <c r="M593" s="306">
        <f t="shared" ca="1" si="277"/>
        <v>-1.3495529405660314</v>
      </c>
      <c r="N593" s="304">
        <f t="shared" ca="1" si="278"/>
        <v>-77.32368772390322</v>
      </c>
      <c r="P593" s="310">
        <f t="shared" ca="1" si="279"/>
        <v>23</v>
      </c>
      <c r="Q593" s="304">
        <f t="shared" ca="1" si="280"/>
        <v>0</v>
      </c>
      <c r="R593" s="306">
        <f t="shared" ca="1" si="281"/>
        <v>0</v>
      </c>
      <c r="S593" s="307">
        <f t="shared" ca="1" si="282"/>
        <v>7.9789999999999939</v>
      </c>
      <c r="T593" s="304">
        <f t="shared" ca="1" si="262"/>
        <v>78.273989999999941</v>
      </c>
      <c r="U593" s="311">
        <f t="shared" ca="1" si="263"/>
        <v>0</v>
      </c>
      <c r="V593" s="306">
        <f t="shared" ca="1" si="264"/>
        <v>1.0804135367002419</v>
      </c>
      <c r="W593" s="304">
        <f t="shared" ca="1" si="265"/>
        <v>10.96171236668094</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8.228537692479545</v>
      </c>
      <c r="AH593" s="304">
        <f t="shared" ca="1" si="289"/>
        <v>-1.3341004964220013</v>
      </c>
    </row>
    <row r="594" spans="1:34" x14ac:dyDescent="0.2">
      <c r="A594" s="347">
        <f t="shared" ca="1" si="267"/>
        <v>0.1</v>
      </c>
      <c r="B594" s="304">
        <f t="shared" ca="1" si="268"/>
        <v>23.000000000000014</v>
      </c>
      <c r="D594" s="306">
        <f t="shared" ca="1" si="269"/>
        <v>-0.30147507689880493</v>
      </c>
      <c r="E594" s="307">
        <f t="shared" ca="1" si="270"/>
        <v>-8.4696660635663665</v>
      </c>
      <c r="F594" s="304">
        <f t="shared" ca="1" si="271"/>
        <v>8.47502982002535</v>
      </c>
      <c r="G594" s="306">
        <f t="shared" ca="1" si="272"/>
        <v>12.615891119365566</v>
      </c>
      <c r="H594" s="307">
        <f t="shared" ca="1" si="273"/>
        <v>-57.070236893414339</v>
      </c>
      <c r="I594" s="304">
        <f t="shared" ca="1" si="274"/>
        <v>58.448033737723961</v>
      </c>
      <c r="J594" s="306">
        <f t="shared" ca="1" si="275"/>
        <v>340.05107894625434</v>
      </c>
      <c r="K594" s="307">
        <f t="shared" ca="1" si="276"/>
        <v>1248.6566079861432</v>
      </c>
      <c r="L594" s="304">
        <f t="shared" ca="1" si="261"/>
        <v>1294.1321651825103</v>
      </c>
      <c r="M594" s="306">
        <f t="shared" ca="1" si="277"/>
        <v>-1.3532361088425957</v>
      </c>
      <c r="N594" s="304">
        <f t="shared" ca="1" si="278"/>
        <v>-77.534717721386841</v>
      </c>
      <c r="P594" s="310">
        <f t="shared" ca="1" si="279"/>
        <v>23</v>
      </c>
      <c r="Q594" s="304">
        <f t="shared" ca="1" si="280"/>
        <v>0</v>
      </c>
      <c r="R594" s="306">
        <f t="shared" ca="1" si="281"/>
        <v>0</v>
      </c>
      <c r="S594" s="307">
        <f t="shared" ca="1" si="282"/>
        <v>7.9789999999999939</v>
      </c>
      <c r="T594" s="304">
        <f t="shared" ca="1" si="262"/>
        <v>78.273989999999941</v>
      </c>
      <c r="U594" s="311">
        <f t="shared" ca="1" si="263"/>
        <v>0</v>
      </c>
      <c r="V594" s="306">
        <f t="shared" ca="1" si="264"/>
        <v>1.0810281364603411</v>
      </c>
      <c r="W594" s="304">
        <f t="shared" ca="1" si="265"/>
        <v>11.282338904681104</v>
      </c>
      <c r="Y594" s="314" t="str">
        <f t="shared" ca="1" si="283"/>
        <v/>
      </c>
      <c r="Z594" s="315" t="str">
        <f t="shared" ca="1" si="284"/>
        <v/>
      </c>
      <c r="AA594" s="316" t="str">
        <f t="shared" ca="1" si="285"/>
        <v/>
      </c>
      <c r="AC594" s="310">
        <f t="shared" ca="1" si="286"/>
        <v>23.000000000000014</v>
      </c>
      <c r="AD594" s="323">
        <f t="shared" ca="1" si="287"/>
        <v>340.05107894625434</v>
      </c>
      <c r="AE594" s="324" t="e">
        <f t="shared" ca="1" si="266"/>
        <v>#N/A</v>
      </c>
      <c r="AG594" s="306">
        <f t="shared" ca="1" si="288"/>
        <v>8.1970643722559995</v>
      </c>
      <c r="AH594" s="304">
        <f t="shared" ca="1" si="289"/>
        <v>-1.3738203241861071</v>
      </c>
    </row>
    <row r="595" spans="1:34" x14ac:dyDescent="0.2">
      <c r="A595" s="347">
        <f t="shared" ca="1" si="267"/>
        <v>0.1</v>
      </c>
      <c r="B595" s="304">
        <f t="shared" ca="1" si="268"/>
        <v>23.100000000000016</v>
      </c>
      <c r="D595" s="306">
        <f t="shared" ca="1" si="269"/>
        <v>-0.30520996052043103</v>
      </c>
      <c r="E595" s="307">
        <f t="shared" ca="1" si="270"/>
        <v>-8.4293282278416992</v>
      </c>
      <c r="F595" s="304">
        <f t="shared" ca="1" si="271"/>
        <v>8.4348519544026246</v>
      </c>
      <c r="G595" s="306">
        <f t="shared" ca="1" si="272"/>
        <v>12.585370123313522</v>
      </c>
      <c r="H595" s="307">
        <f t="shared" ca="1" si="273"/>
        <v>-57.91316971619851</v>
      </c>
      <c r="I595" s="304">
        <f t="shared" ca="1" si="274"/>
        <v>59.264886465073097</v>
      </c>
      <c r="J595" s="306">
        <f t="shared" ca="1" si="275"/>
        <v>341.31114200838829</v>
      </c>
      <c r="K595" s="307">
        <f t="shared" ca="1" si="276"/>
        <v>1242.9074376556625</v>
      </c>
      <c r="L595" s="304">
        <f t="shared" ca="1" si="261"/>
        <v>1288.9190022025568</v>
      </c>
      <c r="M595" s="306">
        <f t="shared" ca="1" si="277"/>
        <v>-1.3568090058819886</v>
      </c>
      <c r="N595" s="304">
        <f t="shared" ca="1" si="278"/>
        <v>-77.739429642378838</v>
      </c>
      <c r="P595" s="310">
        <f t="shared" ca="1" si="279"/>
        <v>23</v>
      </c>
      <c r="Q595" s="304">
        <f t="shared" ca="1" si="280"/>
        <v>0</v>
      </c>
      <c r="R595" s="306">
        <f t="shared" ca="1" si="281"/>
        <v>0</v>
      </c>
      <c r="S595" s="307">
        <f t="shared" ca="1" si="282"/>
        <v>7.9789999999999939</v>
      </c>
      <c r="T595" s="304">
        <f t="shared" ca="1" si="262"/>
        <v>78.273989999999941</v>
      </c>
      <c r="U595" s="311">
        <f t="shared" ca="1" si="263"/>
        <v>0</v>
      </c>
      <c r="V595" s="306">
        <f t="shared" ca="1" si="264"/>
        <v>1.0816522388146117</v>
      </c>
      <c r="W595" s="304">
        <f t="shared" ca="1" si="265"/>
        <v>11.606596841667475</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8.1647445203411877</v>
      </c>
      <c r="AH595" s="304">
        <f t="shared" ca="1" si="289"/>
        <v>-1.414004123910404</v>
      </c>
    </row>
    <row r="596" spans="1:34" x14ac:dyDescent="0.2">
      <c r="A596" s="347">
        <f t="shared" ca="1" si="267"/>
        <v>0.1</v>
      </c>
      <c r="B596" s="304">
        <f t="shared" ca="1" si="268"/>
        <v>23.200000000000017</v>
      </c>
      <c r="D596" s="306">
        <f t="shared" ca="1" si="269"/>
        <v>-0.30890502265155428</v>
      </c>
      <c r="E596" s="307">
        <f t="shared" ca="1" si="270"/>
        <v>-8.3885345343267854</v>
      </c>
      <c r="F596" s="304">
        <f t="shared" ca="1" si="271"/>
        <v>8.3942202703176942</v>
      </c>
      <c r="G596" s="306">
        <f t="shared" ca="1" si="272"/>
        <v>12.554479621048367</v>
      </c>
      <c r="H596" s="307">
        <f t="shared" ca="1" si="273"/>
        <v>-58.752023169631187</v>
      </c>
      <c r="I596" s="304">
        <f t="shared" ca="1" si="274"/>
        <v>60.078408643040795</v>
      </c>
      <c r="J596" s="306">
        <f t="shared" ca="1" si="275"/>
        <v>342.56813449560639</v>
      </c>
      <c r="K596" s="307">
        <f t="shared" ca="1" si="276"/>
        <v>1237.074178011371</v>
      </c>
      <c r="L596" s="304">
        <f t="shared" ca="1" si="261"/>
        <v>1283.6297942453302</v>
      </c>
      <c r="M596" s="306">
        <f t="shared" ca="1" si="277"/>
        <v>-1.3602765340095326</v>
      </c>
      <c r="N596" s="304">
        <f t="shared" ca="1" si="278"/>
        <v>-77.938104369430008</v>
      </c>
      <c r="P596" s="310">
        <f t="shared" ca="1" si="279"/>
        <v>23</v>
      </c>
      <c r="Q596" s="304">
        <f t="shared" ca="1" si="280"/>
        <v>0</v>
      </c>
      <c r="R596" s="306">
        <f t="shared" ca="1" si="281"/>
        <v>0</v>
      </c>
      <c r="S596" s="307">
        <f t="shared" ca="1" si="282"/>
        <v>7.9789999999999939</v>
      </c>
      <c r="T596" s="304">
        <f t="shared" ca="1" si="262"/>
        <v>78.273989999999941</v>
      </c>
      <c r="U596" s="311">
        <f t="shared" ca="1" si="263"/>
        <v>0</v>
      </c>
      <c r="V596" s="306">
        <f t="shared" ca="1" si="264"/>
        <v>1.0822858148573995</v>
      </c>
      <c r="W596" s="304">
        <f t="shared" ca="1" si="265"/>
        <v>11.934415113414218</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8.1316099440711991</v>
      </c>
      <c r="AH596" s="304">
        <f t="shared" ca="1" si="289"/>
        <v>-1.4546430431968271</v>
      </c>
    </row>
    <row r="597" spans="1:34" x14ac:dyDescent="0.2">
      <c r="A597" s="347">
        <f t="shared" ca="1" si="267"/>
        <v>0.1</v>
      </c>
      <c r="B597" s="304">
        <f t="shared" ca="1" si="268"/>
        <v>23.300000000000018</v>
      </c>
      <c r="D597" s="306">
        <f t="shared" ca="1" si="269"/>
        <v>-0.31255969197260219</v>
      </c>
      <c r="E597" s="307">
        <f t="shared" ca="1" si="270"/>
        <v>-8.3472938728675352</v>
      </c>
      <c r="F597" s="304">
        <f t="shared" ca="1" si="271"/>
        <v>8.3531436334506974</v>
      </c>
      <c r="G597" s="306">
        <f t="shared" ca="1" si="272"/>
        <v>12.523223651851106</v>
      </c>
      <c r="H597" s="307">
        <f t="shared" ca="1" si="273"/>
        <v>-59.586752556917943</v>
      </c>
      <c r="I597" s="304">
        <f t="shared" ca="1" si="274"/>
        <v>60.888522817634936</v>
      </c>
      <c r="J597" s="306">
        <f t="shared" ca="1" si="275"/>
        <v>343.82201965925134</v>
      </c>
      <c r="K597" s="307">
        <f t="shared" ca="1" si="276"/>
        <v>1231.1572392250437</v>
      </c>
      <c r="L597" s="304">
        <f t="shared" ca="1" si="261"/>
        <v>1278.2651246509067</v>
      </c>
      <c r="M597" s="306">
        <f t="shared" ca="1" si="277"/>
        <v>-1.3636433135964736</v>
      </c>
      <c r="N597" s="304">
        <f t="shared" ca="1" si="278"/>
        <v>-78.131006630312527</v>
      </c>
      <c r="P597" s="310">
        <f t="shared" ca="1" si="279"/>
        <v>23</v>
      </c>
      <c r="Q597" s="304">
        <f t="shared" ca="1" si="280"/>
        <v>0</v>
      </c>
      <c r="R597" s="306">
        <f t="shared" ca="1" si="281"/>
        <v>0</v>
      </c>
      <c r="S597" s="307">
        <f t="shared" ca="1" si="282"/>
        <v>7.9789999999999939</v>
      </c>
      <c r="T597" s="304">
        <f t="shared" ca="1" si="262"/>
        <v>78.273989999999941</v>
      </c>
      <c r="U597" s="311">
        <f t="shared" ca="1" si="263"/>
        <v>0</v>
      </c>
      <c r="V597" s="306">
        <f t="shared" ca="1" si="264"/>
        <v>1.0829288353378772</v>
      </c>
      <c r="W597" s="304">
        <f t="shared" ca="1" si="265"/>
        <v>12.265722253759732</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8.097690829824538</v>
      </c>
      <c r="AH597" s="304">
        <f t="shared" ca="1" si="289"/>
        <v>-1.4957281756378278</v>
      </c>
    </row>
    <row r="598" spans="1:34" x14ac:dyDescent="0.2">
      <c r="A598" s="347">
        <f t="shared" ca="1" si="267"/>
        <v>0.1</v>
      </c>
      <c r="B598" s="304">
        <f t="shared" ca="1" si="268"/>
        <v>23.40000000000002</v>
      </c>
      <c r="D598" s="306">
        <f t="shared" ca="1" si="269"/>
        <v>-0.31617342212786775</v>
      </c>
      <c r="E598" s="307">
        <f t="shared" ca="1" si="270"/>
        <v>-8.3056151871788657</v>
      </c>
      <c r="F598" s="304">
        <f t="shared" ca="1" si="271"/>
        <v>8.3116309633161816</v>
      </c>
      <c r="G598" s="306">
        <f t="shared" ca="1" si="272"/>
        <v>12.491606309638319</v>
      </c>
      <c r="H598" s="307">
        <f t="shared" ca="1" si="273"/>
        <v>-60.417314075635829</v>
      </c>
      <c r="I598" s="304">
        <f t="shared" ca="1" si="274"/>
        <v>61.69515433410487</v>
      </c>
      <c r="J598" s="306">
        <f t="shared" ca="1" si="275"/>
        <v>345.07276115732583</v>
      </c>
      <c r="K598" s="307">
        <f t="shared" ca="1" si="276"/>
        <v>1225.1570358934159</v>
      </c>
      <c r="L598" s="304">
        <f t="shared" ca="1" si="261"/>
        <v>1272.825586281122</v>
      </c>
      <c r="M598" s="306">
        <f t="shared" ca="1" si="277"/>
        <v>-1.3669137026860272</v>
      </c>
      <c r="N598" s="304">
        <f t="shared" ca="1" si="278"/>
        <v>-78.31838612250958</v>
      </c>
      <c r="P598" s="310">
        <f t="shared" ca="1" si="279"/>
        <v>23</v>
      </c>
      <c r="Q598" s="304">
        <f t="shared" ca="1" si="280"/>
        <v>0</v>
      </c>
      <c r="R598" s="306">
        <f t="shared" ca="1" si="281"/>
        <v>0</v>
      </c>
      <c r="S598" s="307">
        <f t="shared" ca="1" si="282"/>
        <v>7.9789999999999939</v>
      </c>
      <c r="T598" s="304">
        <f t="shared" ca="1" si="262"/>
        <v>78.273989999999941</v>
      </c>
      <c r="U598" s="311">
        <f t="shared" ca="1" si="263"/>
        <v>0</v>
      </c>
      <c r="V598" s="306">
        <f t="shared" ca="1" si="264"/>
        <v>1.0835812706656134</v>
      </c>
      <c r="W598" s="304">
        <f t="shared" ca="1" si="265"/>
        <v>12.600446423564074</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8.0630158820528575</v>
      </c>
      <c r="AH598" s="304">
        <f t="shared" ca="1" si="289"/>
        <v>-1.5372505644516532</v>
      </c>
    </row>
    <row r="599" spans="1:34" x14ac:dyDescent="0.2">
      <c r="A599" s="347">
        <f t="shared" ca="1" si="267"/>
        <v>0.1</v>
      </c>
      <c r="B599" s="304">
        <f t="shared" ca="1" si="268"/>
        <v>23.500000000000021</v>
      </c>
      <c r="D599" s="306">
        <f t="shared" ca="1" si="269"/>
        <v>-0.31974569094394223</v>
      </c>
      <c r="E599" s="307">
        <f t="shared" ca="1" si="270"/>
        <v>-8.2635074709178316</v>
      </c>
      <c r="F599" s="304">
        <f t="shared" ca="1" si="271"/>
        <v>8.269691229350224</v>
      </c>
      <c r="G599" s="306">
        <f t="shared" ca="1" si="272"/>
        <v>12.459631740543925</v>
      </c>
      <c r="H599" s="307">
        <f t="shared" ca="1" si="273"/>
        <v>-61.243664822727609</v>
      </c>
      <c r="I599" s="304">
        <f t="shared" ca="1" si="274"/>
        <v>62.498231207199559</v>
      </c>
      <c r="J599" s="306">
        <f t="shared" ca="1" si="275"/>
        <v>346.32032305983495</v>
      </c>
      <c r="K599" s="307">
        <f t="shared" ca="1" si="276"/>
        <v>1219.0739869484978</v>
      </c>
      <c r="L599" s="304">
        <f t="shared" ca="1" si="261"/>
        <v>1267.3117816144434</v>
      </c>
      <c r="M599" s="306">
        <f t="shared" ca="1" si="277"/>
        <v>-1.3700918150328749</v>
      </c>
      <c r="N599" s="304">
        <f t="shared" ca="1" si="278"/>
        <v>-78.50047854680237</v>
      </c>
      <c r="P599" s="310">
        <f t="shared" ca="1" si="279"/>
        <v>23</v>
      </c>
      <c r="Q599" s="304">
        <f t="shared" ca="1" si="280"/>
        <v>0</v>
      </c>
      <c r="R599" s="306">
        <f t="shared" ca="1" si="281"/>
        <v>0</v>
      </c>
      <c r="S599" s="307">
        <f t="shared" ca="1" si="282"/>
        <v>7.9789999999999939</v>
      </c>
      <c r="T599" s="304">
        <f t="shared" ca="1" si="262"/>
        <v>78.273989999999941</v>
      </c>
      <c r="U599" s="311">
        <f t="shared" ca="1" si="263"/>
        <v>0</v>
      </c>
      <c r="V599" s="306">
        <f t="shared" ca="1" si="264"/>
        <v>1.0842430909161773</v>
      </c>
      <c r="W599" s="304">
        <f t="shared" ca="1" si="265"/>
        <v>12.938515439599009</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8.0276124485282292</v>
      </c>
      <c r="AH599" s="304">
        <f t="shared" ca="1" si="289"/>
        <v>-1.5792012061115532</v>
      </c>
    </row>
    <row r="600" spans="1:34" x14ac:dyDescent="0.2">
      <c r="A600" s="347">
        <f t="shared" ca="1" si="267"/>
        <v>0.1</v>
      </c>
      <c r="B600" s="304">
        <f t="shared" ca="1" si="268"/>
        <v>23.600000000000023</v>
      </c>
      <c r="D600" s="306">
        <f t="shared" ca="1" si="269"/>
        <v>-0.32327599970895382</v>
      </c>
      <c r="E600" s="307">
        <f t="shared" ca="1" si="270"/>
        <v>-8.2209797637933217</v>
      </c>
      <c r="F600" s="304">
        <f t="shared" ca="1" si="271"/>
        <v>8.2273334470341677</v>
      </c>
      <c r="G600" s="306">
        <f t="shared" ca="1" si="272"/>
        <v>12.42730414057303</v>
      </c>
      <c r="H600" s="307">
        <f t="shared" ca="1" si="273"/>
        <v>-62.065762799106942</v>
      </c>
      <c r="I600" s="304">
        <f t="shared" ca="1" si="274"/>
        <v>63.297684002160068</v>
      </c>
      <c r="J600" s="306">
        <f t="shared" ca="1" si="275"/>
        <v>347.56466985389079</v>
      </c>
      <c r="K600" s="307">
        <f t="shared" ca="1" si="276"/>
        <v>1212.9085155674061</v>
      </c>
      <c r="L600" s="304">
        <f t="shared" ca="1" si="261"/>
        <v>1261.7243228481302</v>
      </c>
      <c r="M600" s="306">
        <f t="shared" ca="1" si="277"/>
        <v>-1.3731815367007272</v>
      </c>
      <c r="N600" s="304">
        <f t="shared" ca="1" si="278"/>
        <v>-78.677506558240424</v>
      </c>
      <c r="P600" s="310">
        <f t="shared" ca="1" si="279"/>
        <v>23</v>
      </c>
      <c r="Q600" s="304">
        <f t="shared" ca="1" si="280"/>
        <v>0</v>
      </c>
      <c r="R600" s="306">
        <f t="shared" ca="1" si="281"/>
        <v>0</v>
      </c>
      <c r="S600" s="307">
        <f t="shared" ca="1" si="282"/>
        <v>7.9789999999999939</v>
      </c>
      <c r="T600" s="304">
        <f t="shared" ca="1" si="262"/>
        <v>78.273989999999941</v>
      </c>
      <c r="U600" s="311">
        <f t="shared" ca="1" si="263"/>
        <v>0</v>
      </c>
      <c r="V600" s="306">
        <f t="shared" ca="1" si="264"/>
        <v>1.0849142658367958</v>
      </c>
      <c r="W600" s="304">
        <f t="shared" ca="1" si="265"/>
        <v>13.279856803352464</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7.9915066332904399</v>
      </c>
      <c r="AH600" s="304">
        <f t="shared" ca="1" si="289"/>
        <v>-1.6215710539665396</v>
      </c>
    </row>
    <row r="601" spans="1:34" x14ac:dyDescent="0.2">
      <c r="A601" s="347">
        <f t="shared" ca="1" si="267"/>
        <v>0.1</v>
      </c>
      <c r="B601" s="304">
        <f t="shared" ca="1" si="268"/>
        <v>23.700000000000024</v>
      </c>
      <c r="D601" s="306">
        <f t="shared" ca="1" si="269"/>
        <v>-0.32676387250622424</v>
      </c>
      <c r="E601" s="307">
        <f t="shared" ca="1" si="270"/>
        <v>-8.1780411477115607</v>
      </c>
      <c r="F601" s="304">
        <f t="shared" ca="1" si="271"/>
        <v>8.1845666740542029</v>
      </c>
      <c r="G601" s="306">
        <f t="shared" ca="1" si="272"/>
        <v>12.394627753322407</v>
      </c>
      <c r="H601" s="307">
        <f t="shared" ca="1" si="273"/>
        <v>-62.883566913878099</v>
      </c>
      <c r="I601" s="304">
        <f t="shared" ca="1" si="274"/>
        <v>64.093445725406383</v>
      </c>
      <c r="J601" s="306">
        <f t="shared" ca="1" si="275"/>
        <v>348.80576644858559</v>
      </c>
      <c r="K601" s="307">
        <f t="shared" ca="1" si="276"/>
        <v>1206.6610490817568</v>
      </c>
      <c r="L601" s="304">
        <f t="shared" ca="1" si="261"/>
        <v>1256.0638320080993</v>
      </c>
      <c r="M601" s="306">
        <f t="shared" ca="1" si="277"/>
        <v>-1.3761865413480376</v>
      </c>
      <c r="N601" s="304">
        <f t="shared" ca="1" si="278"/>
        <v>-78.84968064194851</v>
      </c>
      <c r="P601" s="310">
        <f t="shared" ca="1" si="279"/>
        <v>23</v>
      </c>
      <c r="Q601" s="304">
        <f t="shared" ca="1" si="280"/>
        <v>0</v>
      </c>
      <c r="R601" s="306">
        <f t="shared" ca="1" si="281"/>
        <v>0</v>
      </c>
      <c r="S601" s="307">
        <f t="shared" ca="1" si="282"/>
        <v>7.9789999999999939</v>
      </c>
      <c r="T601" s="304">
        <f t="shared" ca="1" si="262"/>
        <v>78.273989999999941</v>
      </c>
      <c r="U601" s="311">
        <f t="shared" ca="1" si="263"/>
        <v>0</v>
      </c>
      <c r="V601" s="306">
        <f t="shared" ca="1" si="264"/>
        <v>1.085594764852041</v>
      </c>
      <c r="W601" s="304">
        <f t="shared" ca="1" si="265"/>
        <v>13.624397729729116</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7.9547233986038579</v>
      </c>
      <c r="AH601" s="304">
        <f t="shared" ca="1" si="289"/>
        <v>-1.6643510218514193</v>
      </c>
    </row>
    <row r="602" spans="1:34" x14ac:dyDescent="0.2">
      <c r="A602" s="347">
        <f t="shared" ca="1" si="267"/>
        <v>0.1</v>
      </c>
      <c r="B602" s="304">
        <f t="shared" ca="1" si="268"/>
        <v>23.800000000000026</v>
      </c>
      <c r="D602" s="306">
        <f t="shared" ca="1" si="269"/>
        <v>-0.33020885559663582</v>
      </c>
      <c r="E602" s="307">
        <f t="shared" ca="1" si="270"/>
        <v>-8.1347007429569533</v>
      </c>
      <c r="F602" s="304">
        <f t="shared" ca="1" si="271"/>
        <v>8.1414000064963563</v>
      </c>
      <c r="G602" s="306">
        <f t="shared" ca="1" si="272"/>
        <v>12.361606867762744</v>
      </c>
      <c r="H602" s="307">
        <f t="shared" ca="1" si="273"/>
        <v>-63.697036988173792</v>
      </c>
      <c r="I602" s="304">
        <f t="shared" ca="1" si="274"/>
        <v>64.885451723987401</v>
      </c>
      <c r="J602" s="306">
        <f t="shared" ca="1" si="275"/>
        <v>350.04357817963984</v>
      </c>
      <c r="K602" s="307">
        <f t="shared" ca="1" si="276"/>
        <v>1200.3320188866542</v>
      </c>
      <c r="L602" s="304">
        <f t="shared" ca="1" si="261"/>
        <v>1250.3309410669308</v>
      </c>
      <c r="M602" s="306">
        <f t="shared" ca="1" si="277"/>
        <v>-1.3791103043190123</v>
      </c>
      <c r="N602" s="304">
        <f t="shared" ca="1" si="278"/>
        <v>-79.017199920481985</v>
      </c>
      <c r="P602" s="310">
        <f t="shared" ca="1" si="279"/>
        <v>23</v>
      </c>
      <c r="Q602" s="304">
        <f t="shared" ca="1" si="280"/>
        <v>0</v>
      </c>
      <c r="R602" s="306">
        <f t="shared" ca="1" si="281"/>
        <v>0</v>
      </c>
      <c r="S602" s="307">
        <f t="shared" ca="1" si="282"/>
        <v>7.9789999999999939</v>
      </c>
      <c r="T602" s="304">
        <f t="shared" ca="1" si="262"/>
        <v>78.273989999999941</v>
      </c>
      <c r="U602" s="311">
        <f t="shared" ca="1" si="263"/>
        <v>0</v>
      </c>
      <c r="V602" s="306">
        <f t="shared" ca="1" si="264"/>
        <v>1.0862845570695578</v>
      </c>
      <c r="W602" s="304">
        <f t="shared" ca="1" si="265"/>
        <v>13.972065175629522</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7.9172866570814877</v>
      </c>
      <c r="AH602" s="304">
        <f t="shared" ca="1" si="289"/>
        <v>-1.7075319876838109</v>
      </c>
    </row>
    <row r="603" spans="1:34" x14ac:dyDescent="0.2">
      <c r="A603" s="347">
        <f t="shared" ca="1" si="267"/>
        <v>0.1</v>
      </c>
      <c r="B603" s="304">
        <f t="shared" ca="1" si="268"/>
        <v>23.900000000000027</v>
      </c>
      <c r="D603" s="306">
        <f t="shared" ca="1" si="269"/>
        <v>-0.33361051684460885</v>
      </c>
      <c r="E603" s="307">
        <f t="shared" ca="1" si="270"/>
        <v>-8.0909677044080972</v>
      </c>
      <c r="F603" s="304">
        <f t="shared" ca="1" si="271"/>
        <v>8.0978425750766583</v>
      </c>
      <c r="G603" s="306">
        <f t="shared" ca="1" si="272"/>
        <v>12.328245816078283</v>
      </c>
      <c r="H603" s="307">
        <f t="shared" ca="1" si="273"/>
        <v>-64.506133758614595</v>
      </c>
      <c r="I603" s="304">
        <f t="shared" ca="1" si="274"/>
        <v>65.673639592959432</v>
      </c>
      <c r="J603" s="306">
        <f t="shared" ca="1" si="275"/>
        <v>351.2780708138319</v>
      </c>
      <c r="K603" s="307">
        <f t="shared" ca="1" si="276"/>
        <v>1193.9218603493148</v>
      </c>
      <c r="L603" s="304">
        <f t="shared" ca="1" si="261"/>
        <v>1244.5262920704633</v>
      </c>
      <c r="M603" s="306">
        <f t="shared" ca="1" si="277"/>
        <v>-1.3819561156454971</v>
      </c>
      <c r="N603" s="304">
        <f t="shared" ca="1" si="278"/>
        <v>-79.180252898780097</v>
      </c>
      <c r="P603" s="310">
        <f t="shared" ca="1" si="279"/>
        <v>23</v>
      </c>
      <c r="Q603" s="304">
        <f t="shared" ca="1" si="280"/>
        <v>0</v>
      </c>
      <c r="R603" s="306">
        <f t="shared" ca="1" si="281"/>
        <v>0</v>
      </c>
      <c r="S603" s="307">
        <f t="shared" ca="1" si="282"/>
        <v>7.9789999999999939</v>
      </c>
      <c r="T603" s="304">
        <f t="shared" ca="1" si="262"/>
        <v>78.273989999999941</v>
      </c>
      <c r="U603" s="311">
        <f t="shared" ca="1" si="263"/>
        <v>0</v>
      </c>
      <c r="V603" s="306">
        <f t="shared" ca="1" si="264"/>
        <v>1.0869836112858253</v>
      </c>
      <c r="W603" s="304">
        <f t="shared" ca="1" si="265"/>
        <v>14.322785868390261</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7.8792193550008998</v>
      </c>
      <c r="AH603" s="304">
        <f t="shared" ca="1" si="289"/>
        <v>-1.7511047970459372</v>
      </c>
    </row>
    <row r="604" spans="1:34" x14ac:dyDescent="0.2">
      <c r="A604" s="347">
        <f t="shared" ca="1" si="267"/>
        <v>0.1</v>
      </c>
      <c r="B604" s="304">
        <f t="shared" ca="1" si="268"/>
        <v>24.000000000000028</v>
      </c>
      <c r="D604" s="306">
        <f t="shared" ca="1" si="269"/>
        <v>-0.33696844518312918</v>
      </c>
      <c r="E604" s="307">
        <f t="shared" ca="1" si="270"/>
        <v>-8.0468512177890794</v>
      </c>
      <c r="F604" s="304">
        <f t="shared" ca="1" si="271"/>
        <v>8.0539035414066582</v>
      </c>
      <c r="G604" s="306">
        <f t="shared" ca="1" si="272"/>
        <v>12.294548971559971</v>
      </c>
      <c r="H604" s="307">
        <f t="shared" ca="1" si="273"/>
        <v>-65.310818880393498</v>
      </c>
      <c r="I604" s="304">
        <f t="shared" ca="1" si="274"/>
        <v>66.457949089944464</v>
      </c>
      <c r="J604" s="306">
        <f t="shared" ca="1" si="275"/>
        <v>352.50921055321379</v>
      </c>
      <c r="K604" s="307">
        <f t="shared" ca="1" si="276"/>
        <v>1187.4310127173644</v>
      </c>
      <c r="L604" s="304">
        <f t="shared" ca="1" si="261"/>
        <v>1238.6505372734619</v>
      </c>
      <c r="M604" s="306">
        <f t="shared" ca="1" si="277"/>
        <v>-1.3847270920550085</v>
      </c>
      <c r="N604" s="304">
        <f t="shared" ca="1" si="278"/>
        <v>-79.339018152175413</v>
      </c>
      <c r="P604" s="310">
        <f t="shared" ca="1" si="279"/>
        <v>23</v>
      </c>
      <c r="Q604" s="304">
        <f t="shared" ca="1" si="280"/>
        <v>0</v>
      </c>
      <c r="R604" s="306">
        <f t="shared" ca="1" si="281"/>
        <v>0</v>
      </c>
      <c r="S604" s="307">
        <f t="shared" ca="1" si="282"/>
        <v>7.9789999999999939</v>
      </c>
      <c r="T604" s="304">
        <f t="shared" ca="1" si="262"/>
        <v>78.273989999999941</v>
      </c>
      <c r="U604" s="311">
        <f t="shared" ca="1" si="263"/>
        <v>0</v>
      </c>
      <c r="V604" s="306">
        <f t="shared" ca="1" si="264"/>
        <v>1.0876918959919519</v>
      </c>
      <c r="W604" s="304">
        <f t="shared" ca="1" si="265"/>
        <v>14.676486334068228</v>
      </c>
      <c r="Y604" s="314" t="str">
        <f t="shared" ca="1" si="283"/>
        <v/>
      </c>
      <c r="Z604" s="315" t="str">
        <f t="shared" ca="1" si="284"/>
        <v/>
      </c>
      <c r="AA604" s="316" t="str">
        <f t="shared" ca="1" si="285"/>
        <v/>
      </c>
      <c r="AC604" s="310">
        <f t="shared" ca="1" si="286"/>
        <v>24.000000000000028</v>
      </c>
      <c r="AD604" s="323">
        <f t="shared" ca="1" si="287"/>
        <v>352.50921055321379</v>
      </c>
      <c r="AE604" s="324" t="e">
        <f t="shared" ca="1" si="266"/>
        <v>#N/A</v>
      </c>
      <c r="AG604" s="306">
        <f t="shared" ca="1" si="288"/>
        <v>7.8405435477204088</v>
      </c>
      <c r="AH604" s="304">
        <f t="shared" ca="1" si="289"/>
        <v>-1.7950602667490001</v>
      </c>
    </row>
    <row r="605" spans="1:34" x14ac:dyDescent="0.2">
      <c r="A605" s="347">
        <f t="shared" ca="1" si="267"/>
        <v>0.1</v>
      </c>
      <c r="B605" s="304">
        <f t="shared" ca="1" si="268"/>
        <v>24.10000000000003</v>
      </c>
      <c r="D605" s="306">
        <f t="shared" ca="1" si="269"/>
        <v>-0.34028225011375307</v>
      </c>
      <c r="E605" s="307">
        <f t="shared" ca="1" si="270"/>
        <v>-8.0023604959562658</v>
      </c>
      <c r="F605" s="304">
        <f t="shared" ca="1" si="271"/>
        <v>8.0095920942944332</v>
      </c>
      <c r="G605" s="306">
        <f t="shared" ca="1" si="272"/>
        <v>12.260520746548595</v>
      </c>
      <c r="H605" s="307">
        <f t="shared" ca="1" si="273"/>
        <v>-66.111054929989123</v>
      </c>
      <c r="I605" s="304">
        <f t="shared" ca="1" si="274"/>
        <v>67.238322056194917</v>
      </c>
      <c r="J605" s="306">
        <f t="shared" ca="1" si="275"/>
        <v>353.73696403911924</v>
      </c>
      <c r="K605" s="307">
        <f t="shared" ca="1" si="276"/>
        <v>1180.8599190268453</v>
      </c>
      <c r="L605" s="304">
        <f t="shared" ca="1" si="261"/>
        <v>1232.7043392848509</v>
      </c>
      <c r="M605" s="306">
        <f t="shared" ca="1" si="277"/>
        <v>-1.3874261880709531</v>
      </c>
      <c r="N605" s="304">
        <f t="shared" ca="1" si="278"/>
        <v>-79.493664962389616</v>
      </c>
      <c r="P605" s="310">
        <f t="shared" ca="1" si="279"/>
        <v>23</v>
      </c>
      <c r="Q605" s="304">
        <f t="shared" ca="1" si="280"/>
        <v>0</v>
      </c>
      <c r="R605" s="306">
        <f t="shared" ca="1" si="281"/>
        <v>0</v>
      </c>
      <c r="S605" s="307">
        <f t="shared" ca="1" si="282"/>
        <v>7.9789999999999939</v>
      </c>
      <c r="T605" s="304">
        <f t="shared" ca="1" si="262"/>
        <v>78.273989999999941</v>
      </c>
      <c r="U605" s="311">
        <f t="shared" ca="1" si="263"/>
        <v>0</v>
      </c>
      <c r="V605" s="306">
        <f t="shared" ca="1" si="264"/>
        <v>1.0884093793794989</v>
      </c>
      <c r="W605" s="304">
        <f t="shared" ca="1" si="265"/>
        <v>15.033092925552209</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7.8012804680017629</v>
      </c>
      <c r="AH605" s="304">
        <f t="shared" ca="1" si="289"/>
        <v>-1.8393891883780222</v>
      </c>
    </row>
    <row r="606" spans="1:34" x14ac:dyDescent="0.2">
      <c r="A606" s="347">
        <f t="shared" ca="1" si="267"/>
        <v>0.1</v>
      </c>
      <c r="B606" s="304">
        <f t="shared" ca="1" si="268"/>
        <v>24.200000000000031</v>
      </c>
      <c r="D606" s="306">
        <f t="shared" ca="1" si="269"/>
        <v>-0.34355156123792219</v>
      </c>
      <c r="E606" s="307">
        <f t="shared" ca="1" si="270"/>
        <v>-7.9575047752211097</v>
      </c>
      <c r="F606" s="304">
        <f t="shared" ca="1" si="271"/>
        <v>7.964917446081647</v>
      </c>
      <c r="G606" s="306">
        <f t="shared" ca="1" si="272"/>
        <v>12.226165590424802</v>
      </c>
      <c r="H606" s="307">
        <f t="shared" ca="1" si="273"/>
        <v>-66.906805407511229</v>
      </c>
      <c r="I606" s="304">
        <f t="shared" ca="1" si="274"/>
        <v>68.014702343559961</v>
      </c>
      <c r="J606" s="306">
        <f t="shared" ca="1" si="275"/>
        <v>354.96129835596793</v>
      </c>
      <c r="K606" s="307">
        <f t="shared" ca="1" si="276"/>
        <v>1174.2090260099703</v>
      </c>
      <c r="L606" s="304">
        <f t="shared" ca="1" si="261"/>
        <v>1226.6883712230413</v>
      </c>
      <c r="M606" s="306">
        <f t="shared" ca="1" si="277"/>
        <v>-1.3900562062828234</v>
      </c>
      <c r="N606" s="304">
        <f t="shared" ca="1" si="278"/>
        <v>-79.644353905972338</v>
      </c>
      <c r="P606" s="310">
        <f t="shared" ca="1" si="279"/>
        <v>23</v>
      </c>
      <c r="Q606" s="304">
        <f t="shared" ca="1" si="280"/>
        <v>0</v>
      </c>
      <c r="R606" s="306">
        <f t="shared" ca="1" si="281"/>
        <v>0</v>
      </c>
      <c r="S606" s="307">
        <f t="shared" ca="1" si="282"/>
        <v>7.9789999999999939</v>
      </c>
      <c r="T606" s="304">
        <f t="shared" ca="1" si="262"/>
        <v>78.273989999999941</v>
      </c>
      <c r="U606" s="311">
        <f t="shared" ca="1" si="263"/>
        <v>0</v>
      </c>
      <c r="V606" s="306">
        <f t="shared" ca="1" si="264"/>
        <v>1.089136029346333</v>
      </c>
      <c r="W606" s="304">
        <f t="shared" ca="1" si="265"/>
        <v>15.392531850485545</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7.7614505879559701</v>
      </c>
      <c r="AH606" s="304">
        <f t="shared" ca="1" si="289"/>
        <v>-1.8840823318150421</v>
      </c>
    </row>
    <row r="607" spans="1:34" x14ac:dyDescent="0.2">
      <c r="A607" s="347">
        <f t="shared" ca="1" si="267"/>
        <v>0.1</v>
      </c>
      <c r="B607" s="304">
        <f t="shared" ca="1" si="268"/>
        <v>24.300000000000033</v>
      </c>
      <c r="D607" s="306">
        <f t="shared" ca="1" si="269"/>
        <v>-0.34677602781631961</v>
      </c>
      <c r="E607" s="307">
        <f t="shared" ca="1" si="270"/>
        <v>-7.9122933117095116</v>
      </c>
      <c r="F607" s="304">
        <f t="shared" ca="1" si="271"/>
        <v>7.9198888290171814</v>
      </c>
      <c r="G607" s="306">
        <f t="shared" ca="1" si="272"/>
        <v>12.191487987643171</v>
      </c>
      <c r="H607" s="307">
        <f t="shared" ca="1" si="273"/>
        <v>-67.698034738682182</v>
      </c>
      <c r="I607" s="304">
        <f t="shared" ca="1" si="274"/>
        <v>68.787035746808186</v>
      </c>
      <c r="J607" s="306">
        <f t="shared" ca="1" si="275"/>
        <v>356.18218103487135</v>
      </c>
      <c r="K607" s="307">
        <f t="shared" ca="1" si="276"/>
        <v>1167.4787840026606</v>
      </c>
      <c r="L607" s="304">
        <f t="shared" ca="1" si="261"/>
        <v>1220.6033168818972</v>
      </c>
      <c r="M607" s="306">
        <f t="shared" ca="1" si="277"/>
        <v>-1.3926198068567717</v>
      </c>
      <c r="N607" s="304">
        <f t="shared" ca="1" si="278"/>
        <v>-79.791237399216882</v>
      </c>
      <c r="P607" s="310">
        <f t="shared" ca="1" si="279"/>
        <v>23</v>
      </c>
      <c r="Q607" s="304">
        <f t="shared" ca="1" si="280"/>
        <v>0</v>
      </c>
      <c r="R607" s="306">
        <f t="shared" ca="1" si="281"/>
        <v>0</v>
      </c>
      <c r="S607" s="307">
        <f t="shared" ca="1" si="282"/>
        <v>7.9789999999999939</v>
      </c>
      <c r="T607" s="304">
        <f t="shared" ca="1" si="262"/>
        <v>78.273989999999941</v>
      </c>
      <c r="U607" s="311">
        <f t="shared" ca="1" si="263"/>
        <v>0</v>
      </c>
      <c r="V607" s="306">
        <f t="shared" ca="1" si="264"/>
        <v>1.089871813502503</v>
      </c>
      <c r="W607" s="304">
        <f t="shared" ca="1" si="265"/>
        <v>15.754729198983938</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7.7210736752500493</v>
      </c>
      <c r="AH607" s="304">
        <f t="shared" ca="1" si="289"/>
        <v>-1.9291304487386336</v>
      </c>
    </row>
    <row r="608" spans="1:34" x14ac:dyDescent="0.2">
      <c r="A608" s="347">
        <f t="shared" ca="1" si="267"/>
        <v>0.1</v>
      </c>
      <c r="B608" s="304">
        <f t="shared" ca="1" si="268"/>
        <v>24.400000000000034</v>
      </c>
      <c r="D608" s="306">
        <f t="shared" ca="1" si="269"/>
        <v>-0.34995531835332111</v>
      </c>
      <c r="E608" s="307">
        <f t="shared" ca="1" si="270"/>
        <v>-7.8667353777584568</v>
      </c>
      <c r="F608" s="304">
        <f t="shared" ca="1" si="271"/>
        <v>7.8745154916680598</v>
      </c>
      <c r="G608" s="306">
        <f t="shared" ca="1" si="272"/>
        <v>12.15649245580784</v>
      </c>
      <c r="H608" s="307">
        <f t="shared" ca="1" si="273"/>
        <v>-68.484708276458022</v>
      </c>
      <c r="I608" s="304">
        <f t="shared" ca="1" si="274"/>
        <v>69.555269940815194</v>
      </c>
      <c r="J608" s="306">
        <f t="shared" ca="1" si="275"/>
        <v>357.39958005704392</v>
      </c>
      <c r="K608" s="307">
        <f t="shared" ca="1" si="276"/>
        <v>1160.6696468519035</v>
      </c>
      <c r="L608" s="304">
        <f t="shared" ca="1" si="261"/>
        <v>1214.4498709079242</v>
      </c>
      <c r="M608" s="306">
        <f t="shared" ca="1" si="277"/>
        <v>-1.3951195163503274</v>
      </c>
      <c r="N608" s="304">
        <f t="shared" ca="1" si="278"/>
        <v>-79.934460203206413</v>
      </c>
      <c r="P608" s="310">
        <f t="shared" ca="1" si="279"/>
        <v>23</v>
      </c>
      <c r="Q608" s="304">
        <f t="shared" ca="1" si="280"/>
        <v>0</v>
      </c>
      <c r="R608" s="306">
        <f t="shared" ca="1" si="281"/>
        <v>0</v>
      </c>
      <c r="S608" s="307">
        <f t="shared" ca="1" si="282"/>
        <v>7.9789999999999939</v>
      </c>
      <c r="T608" s="304">
        <f t="shared" ca="1" si="262"/>
        <v>78.273989999999941</v>
      </c>
      <c r="U608" s="311">
        <f t="shared" ca="1" si="263"/>
        <v>0</v>
      </c>
      <c r="V608" s="306">
        <f t="shared" ca="1" si="264"/>
        <v>1.0906166991761428</v>
      </c>
      <c r="W608" s="304">
        <f t="shared" ca="1" si="265"/>
        <v>16.119610971132829</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7.6801688441431262</v>
      </c>
      <c r="AH608" s="304">
        <f t="shared" ca="1" si="289"/>
        <v>-1.9745242760977504</v>
      </c>
    </row>
    <row r="609" spans="1:34" x14ac:dyDescent="0.2">
      <c r="A609" s="347">
        <f t="shared" ca="1" si="267"/>
        <v>0.1</v>
      </c>
      <c r="B609" s="304">
        <f t="shared" ca="1" si="268"/>
        <v>24.500000000000036</v>
      </c>
      <c r="D609" s="306">
        <f t="shared" ca="1" si="269"/>
        <v>-0.35308912020390715</v>
      </c>
      <c r="E609" s="307">
        <f t="shared" ca="1" si="270"/>
        <v>-7.8208402583507493</v>
      </c>
      <c r="F609" s="304">
        <f t="shared" ca="1" si="271"/>
        <v>7.8288066953684705</v>
      </c>
      <c r="G609" s="306">
        <f t="shared" ca="1" si="272"/>
        <v>12.121183543787449</v>
      </c>
      <c r="H609" s="307">
        <f t="shared" ca="1" si="273"/>
        <v>-69.266792302293098</v>
      </c>
      <c r="I609" s="304">
        <f t="shared" ca="1" si="274"/>
        <v>70.319354422173092</v>
      </c>
      <c r="J609" s="306">
        <f t="shared" ca="1" si="275"/>
        <v>358.6134638570237</v>
      </c>
      <c r="K609" s="307">
        <f t="shared" ca="1" si="276"/>
        <v>1153.7820718229659</v>
      </c>
      <c r="L609" s="304">
        <f t="shared" ca="1" si="261"/>
        <v>1208.2287389892813</v>
      </c>
      <c r="M609" s="306">
        <f t="shared" ca="1" si="277"/>
        <v>-1.3975577358890929</v>
      </c>
      <c r="N609" s="304">
        <f t="shared" ca="1" si="278"/>
        <v>-80.07415989230401</v>
      </c>
      <c r="P609" s="310">
        <f t="shared" ca="1" si="279"/>
        <v>23</v>
      </c>
      <c r="Q609" s="304">
        <f t="shared" ca="1" si="280"/>
        <v>0</v>
      </c>
      <c r="R609" s="306">
        <f t="shared" ca="1" si="281"/>
        <v>0</v>
      </c>
      <c r="S609" s="307">
        <f t="shared" ca="1" si="282"/>
        <v>7.9789999999999939</v>
      </c>
      <c r="T609" s="304">
        <f t="shared" ca="1" si="262"/>
        <v>78.273989999999941</v>
      </c>
      <c r="U609" s="311">
        <f t="shared" ca="1" si="263"/>
        <v>0</v>
      </c>
      <c r="V609" s="306">
        <f t="shared" ca="1" si="264"/>
        <v>1.0913706534193928</v>
      </c>
      <c r="W609" s="304">
        <f t="shared" ca="1" si="265"/>
        <v>16.487103104249226</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7.6387546018589418</v>
      </c>
      <c r="AH609" s="304">
        <f t="shared" ca="1" si="289"/>
        <v>-2.020254539557945</v>
      </c>
    </row>
    <row r="610" spans="1:34" x14ac:dyDescent="0.2">
      <c r="A610" s="347">
        <f t="shared" ca="1" si="267"/>
        <v>0.1</v>
      </c>
      <c r="B610" s="304">
        <f t="shared" ca="1" si="268"/>
        <v>24.600000000000037</v>
      </c>
      <c r="D610" s="306">
        <f t="shared" ca="1" si="269"/>
        <v>-0.35617713920065441</v>
      </c>
      <c r="E610" s="307">
        <f t="shared" ca="1" si="270"/>
        <v>-7.7746172475887008</v>
      </c>
      <c r="F610" s="304">
        <f t="shared" ca="1" si="271"/>
        <v>7.7827717107077516</v>
      </c>
      <c r="G610" s="306">
        <f t="shared" ca="1" si="272"/>
        <v>12.085565829867384</v>
      </c>
      <c r="H610" s="307">
        <f t="shared" ca="1" si="273"/>
        <v>-70.044254027051963</v>
      </c>
      <c r="I610" s="304">
        <f t="shared" ca="1" si="274"/>
        <v>71.079240454820862</v>
      </c>
      <c r="J610" s="306">
        <f t="shared" ca="1" si="275"/>
        <v>359.82380132570643</v>
      </c>
      <c r="K610" s="307">
        <f t="shared" ca="1" si="276"/>
        <v>1146.8165195064987</v>
      </c>
      <c r="L610" s="304">
        <f t="shared" ca="1" si="261"/>
        <v>1201.940638057255</v>
      </c>
      <c r="M610" s="306">
        <f t="shared" ca="1" si="277"/>
        <v>-1.3999367487578922</v>
      </c>
      <c r="N610" s="304">
        <f t="shared" ca="1" si="278"/>
        <v>-80.210467289093515</v>
      </c>
      <c r="P610" s="310">
        <f t="shared" ca="1" si="279"/>
        <v>23</v>
      </c>
      <c r="Q610" s="304">
        <f t="shared" ca="1" si="280"/>
        <v>0</v>
      </c>
      <c r="R610" s="306">
        <f t="shared" ca="1" si="281"/>
        <v>0</v>
      </c>
      <c r="S610" s="307">
        <f t="shared" ca="1" si="282"/>
        <v>7.9789999999999939</v>
      </c>
      <c r="T610" s="304">
        <f t="shared" ca="1" si="262"/>
        <v>78.273989999999941</v>
      </c>
      <c r="U610" s="311">
        <f t="shared" ca="1" si="263"/>
        <v>0</v>
      </c>
      <c r="V610" s="306">
        <f t="shared" ca="1" si="264"/>
        <v>1.092133643014344</v>
      </c>
      <c r="W610" s="304">
        <f t="shared" ca="1" si="265"/>
        <v>16.857131499893168</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7.5968488907479825</v>
      </c>
      <c r="AH610" s="304">
        <f t="shared" ca="1" si="289"/>
        <v>-2.0663119569180646</v>
      </c>
    </row>
    <row r="611" spans="1:34" x14ac:dyDescent="0.2">
      <c r="A611" s="347">
        <f t="shared" ca="1" si="267"/>
        <v>0.1</v>
      </c>
      <c r="B611" s="304">
        <f t="shared" ca="1" si="268"/>
        <v>24.700000000000038</v>
      </c>
      <c r="D611" s="306">
        <f t="shared" ca="1" si="269"/>
        <v>-0.35921909929868873</v>
      </c>
      <c r="E611" s="307">
        <f t="shared" ca="1" si="270"/>
        <v>-7.7280756452077295</v>
      </c>
      <c r="F611" s="304">
        <f t="shared" ca="1" si="271"/>
        <v>7.7364198140582978</v>
      </c>
      <c r="G611" s="306">
        <f t="shared" ca="1" si="272"/>
        <v>12.049643919937516</v>
      </c>
      <c r="H611" s="307">
        <f t="shared" ca="1" si="273"/>
        <v>-70.817061591572738</v>
      </c>
      <c r="I611" s="304">
        <f t="shared" ca="1" si="274"/>
        <v>71.834881019334148</v>
      </c>
      <c r="J611" s="306">
        <f t="shared" ca="1" si="275"/>
        <v>361.0305618131967</v>
      </c>
      <c r="K611" s="307">
        <f t="shared" ca="1" si="276"/>
        <v>1139.7734537255674</v>
      </c>
      <c r="L611" s="304">
        <f t="shared" ca="1" si="261"/>
        <v>1195.5862965008675</v>
      </c>
      <c r="M611" s="306">
        <f t="shared" ca="1" si="277"/>
        <v>-1.402258727454061</v>
      </c>
      <c r="N611" s="304">
        <f t="shared" ca="1" si="278"/>
        <v>-80.343506868503283</v>
      </c>
      <c r="P611" s="310">
        <f t="shared" ca="1" si="279"/>
        <v>23</v>
      </c>
      <c r="Q611" s="304">
        <f t="shared" ca="1" si="280"/>
        <v>0</v>
      </c>
      <c r="R611" s="306">
        <f t="shared" ca="1" si="281"/>
        <v>0</v>
      </c>
      <c r="S611" s="307">
        <f t="shared" ca="1" si="282"/>
        <v>7.9789999999999939</v>
      </c>
      <c r="T611" s="304">
        <f t="shared" ca="1" si="262"/>
        <v>78.273989999999941</v>
      </c>
      <c r="U611" s="311">
        <f t="shared" ca="1" si="263"/>
        <v>0</v>
      </c>
      <c r="V611" s="306">
        <f t="shared" ca="1" si="264"/>
        <v>1.092905634478996</v>
      </c>
      <c r="W611" s="304">
        <f t="shared" ca="1" si="265"/>
        <v>17.229622050614562</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7.5544691266444826</v>
      </c>
      <c r="AH611" s="304">
        <f t="shared" ca="1" si="289"/>
        <v>-2.1126872414955735</v>
      </c>
    </row>
    <row r="612" spans="1:34" x14ac:dyDescent="0.2">
      <c r="A612" s="347">
        <f t="shared" ca="1" si="267"/>
        <v>0.1</v>
      </c>
      <c r="B612" s="304">
        <f t="shared" ca="1" si="268"/>
        <v>24.80000000000004</v>
      </c>
      <c r="D612" s="306">
        <f t="shared" ca="1" si="269"/>
        <v>-0.36221474223667355</v>
      </c>
      <c r="E612" s="307">
        <f t="shared" ca="1" si="270"/>
        <v>-7.6812247531308673</v>
      </c>
      <c r="F612" s="304">
        <f t="shared" ca="1" si="271"/>
        <v>7.6897602841443593</v>
      </c>
      <c r="G612" s="306">
        <f t="shared" ca="1" si="272"/>
        <v>12.013422445713848</v>
      </c>
      <c r="H612" s="307">
        <f t="shared" ca="1" si="273"/>
        <v>-71.58518406688583</v>
      </c>
      <c r="I612" s="304">
        <f t="shared" ca="1" si="274"/>
        <v>72.586230765546063</v>
      </c>
      <c r="J612" s="306">
        <f t="shared" ca="1" si="275"/>
        <v>362.23371513147924</v>
      </c>
      <c r="K612" s="307">
        <f t="shared" ca="1" si="276"/>
        <v>1132.6533414426444</v>
      </c>
      <c r="L612" s="304">
        <f t="shared" ca="1" si="261"/>
        <v>1189.166454395322</v>
      </c>
      <c r="M612" s="306">
        <f t="shared" ca="1" si="277"/>
        <v>-1.4045257402462399</v>
      </c>
      <c r="N612" s="304">
        <f t="shared" ca="1" si="278"/>
        <v>-80.473397133597302</v>
      </c>
      <c r="P612" s="310">
        <f t="shared" ca="1" si="279"/>
        <v>23</v>
      </c>
      <c r="Q612" s="304">
        <f t="shared" ca="1" si="280"/>
        <v>0</v>
      </c>
      <c r="R612" s="306">
        <f t="shared" ca="1" si="281"/>
        <v>0</v>
      </c>
      <c r="S612" s="307">
        <f t="shared" ca="1" si="282"/>
        <v>7.9789999999999939</v>
      </c>
      <c r="T612" s="304">
        <f t="shared" ca="1" si="262"/>
        <v>78.273989999999941</v>
      </c>
      <c r="U612" s="311">
        <f t="shared" ca="1" si="263"/>
        <v>0</v>
      </c>
      <c r="V612" s="306">
        <f t="shared" ca="1" si="264"/>
        <v>1.0936865940732343</v>
      </c>
      <c r="W612" s="304">
        <f t="shared" ca="1" si="265"/>
        <v>17.604500666421412</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7.5116322337813397</v>
      </c>
      <c r="AH612" s="304">
        <f t="shared" ca="1" si="289"/>
        <v>-2.1593711054787037</v>
      </c>
    </row>
    <row r="613" spans="1:34" x14ac:dyDescent="0.2">
      <c r="A613" s="347">
        <f t="shared" ca="1" si="267"/>
        <v>0.1</v>
      </c>
      <c r="B613" s="304">
        <f t="shared" ca="1" si="268"/>
        <v>24.900000000000041</v>
      </c>
      <c r="D613" s="306">
        <f t="shared" ca="1" si="269"/>
        <v>-0.3651638272121101</v>
      </c>
      <c r="E613" s="307">
        <f t="shared" ca="1" si="270"/>
        <v>-7.63407387206518</v>
      </c>
      <c r="F613" s="304">
        <f t="shared" ca="1" si="271"/>
        <v>7.6428023986527638</v>
      </c>
      <c r="G613" s="306">
        <f t="shared" ca="1" si="272"/>
        <v>11.976906062992636</v>
      </c>
      <c r="H613" s="307">
        <f t="shared" ca="1" si="273"/>
        <v>-72.348591454092343</v>
      </c>
      <c r="I613" s="304">
        <f t="shared" ca="1" si="274"/>
        <v>73.333245968202675</v>
      </c>
      <c r="J613" s="306">
        <f t="shared" ca="1" si="275"/>
        <v>363.43323155691456</v>
      </c>
      <c r="K613" s="307">
        <f t="shared" ca="1" si="276"/>
        <v>1125.4566526665956</v>
      </c>
      <c r="L613" s="304">
        <f t="shared" ca="1" si="261"/>
        <v>1182.6818637450224</v>
      </c>
      <c r="M613" s="306">
        <f t="shared" ca="1" si="277"/>
        <v>-1.4067397572781304</v>
      </c>
      <c r="N613" s="304">
        <f t="shared" ca="1" si="278"/>
        <v>-80.600250965294705</v>
      </c>
      <c r="P613" s="310">
        <f t="shared" ca="1" si="279"/>
        <v>23</v>
      </c>
      <c r="Q613" s="304">
        <f t="shared" ca="1" si="280"/>
        <v>0</v>
      </c>
      <c r="R613" s="306">
        <f t="shared" ca="1" si="281"/>
        <v>0</v>
      </c>
      <c r="S613" s="307">
        <f t="shared" ca="1" si="282"/>
        <v>7.9789999999999939</v>
      </c>
      <c r="T613" s="304">
        <f t="shared" ca="1" si="262"/>
        <v>78.273989999999941</v>
      </c>
      <c r="U613" s="311">
        <f t="shared" ca="1" si="263"/>
        <v>0</v>
      </c>
      <c r="V613" s="306">
        <f t="shared" ca="1" si="264"/>
        <v>1.0944764878048161</v>
      </c>
      <c r="W613" s="304">
        <f t="shared" ca="1" si="265"/>
        <v>17.981693300955826</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7.4683546765884845</v>
      </c>
      <c r="AH613" s="304">
        <f t="shared" ca="1" si="289"/>
        <v>-2.2063542632436928</v>
      </c>
    </row>
    <row r="614" spans="1:34" x14ac:dyDescent="0.2">
      <c r="A614" s="347">
        <f t="shared" ca="1" si="267"/>
        <v>0.1</v>
      </c>
      <c r="B614" s="304">
        <f t="shared" ca="1" si="268"/>
        <v>25.000000000000043</v>
      </c>
      <c r="D614" s="306">
        <f t="shared" ca="1" si="269"/>
        <v>-0.36806613056941118</v>
      </c>
      <c r="E614" s="307">
        <f t="shared" ca="1" si="270"/>
        <v>-7.5866322981411773</v>
      </c>
      <c r="F614" s="304">
        <f t="shared" ca="1" si="271"/>
        <v>7.5955554308866198</v>
      </c>
      <c r="G614" s="306">
        <f t="shared" ca="1" si="272"/>
        <v>11.940099449935696</v>
      </c>
      <c r="H614" s="307">
        <f t="shared" ca="1" si="273"/>
        <v>-73.107254683906461</v>
      </c>
      <c r="I614" s="304">
        <f t="shared" ca="1" si="274"/>
        <v>74.075884485383753</v>
      </c>
      <c r="J614" s="306">
        <f t="shared" ca="1" si="275"/>
        <v>364.62908183256098</v>
      </c>
      <c r="K614" s="307">
        <f t="shared" ca="1" si="276"/>
        <v>1118.1838603596957</v>
      </c>
      <c r="L614" s="304">
        <f t="shared" ca="1" si="261"/>
        <v>1176.1332887419555</v>
      </c>
      <c r="M614" s="306">
        <f t="shared" ca="1" si="277"/>
        <v>-1.4089026562531808</v>
      </c>
      <c r="N614" s="304">
        <f t="shared" ca="1" si="278"/>
        <v>-80.724175948078255</v>
      </c>
      <c r="P614" s="310">
        <f t="shared" ca="1" si="279"/>
        <v>23</v>
      </c>
      <c r="Q614" s="304">
        <f t="shared" ca="1" si="280"/>
        <v>0</v>
      </c>
      <c r="R614" s="306">
        <f t="shared" ca="1" si="281"/>
        <v>0</v>
      </c>
      <c r="S614" s="307">
        <f t="shared" ca="1" si="282"/>
        <v>7.9789999999999939</v>
      </c>
      <c r="T614" s="304">
        <f t="shared" ca="1" si="262"/>
        <v>78.273989999999941</v>
      </c>
      <c r="U614" s="311">
        <f t="shared" ca="1" si="263"/>
        <v>0</v>
      </c>
      <c r="V614" s="306">
        <f t="shared" ca="1" si="264"/>
        <v>1.095275281435371</v>
      </c>
      <c r="W614" s="304">
        <f t="shared" ca="1" si="265"/>
        <v>18.361125977364917</v>
      </c>
      <c r="Y614" s="314" t="str">
        <f t="shared" ca="1" si="283"/>
        <v/>
      </c>
      <c r="Z614" s="315" t="str">
        <f t="shared" ca="1" si="284"/>
        <v/>
      </c>
      <c r="AA614" s="316" t="str">
        <f t="shared" ca="1" si="285"/>
        <v/>
      </c>
      <c r="AC614" s="310">
        <f t="shared" ca="1" si="286"/>
        <v>25.000000000000043</v>
      </c>
      <c r="AD614" s="323">
        <f t="shared" ca="1" si="287"/>
        <v>364.62908183256098</v>
      </c>
      <c r="AE614" s="324" t="e">
        <f t="shared" ca="1" si="266"/>
        <v>#N/A</v>
      </c>
      <c r="AG614" s="306">
        <f t="shared" ca="1" si="288"/>
        <v>7.4246524886669114</v>
      </c>
      <c r="AH614" s="304">
        <f t="shared" ca="1" si="289"/>
        <v>-2.2536274346353977</v>
      </c>
    </row>
    <row r="615" spans="1:34" x14ac:dyDescent="0.2">
      <c r="A615" s="347">
        <f t="shared" ca="1" si="267"/>
        <v>0.1</v>
      </c>
      <c r="B615" s="304">
        <f t="shared" ca="1" si="268"/>
        <v>25.100000000000044</v>
      </c>
      <c r="D615" s="306">
        <f t="shared" ca="1" si="269"/>
        <v>-0.37092144549933803</v>
      </c>
      <c r="E615" s="307">
        <f t="shared" ca="1" si="270"/>
        <v>-7.5389093195962555</v>
      </c>
      <c r="F615" s="304">
        <f t="shared" ca="1" si="271"/>
        <v>7.5480286464630346</v>
      </c>
      <c r="G615" s="306">
        <f t="shared" ca="1" si="272"/>
        <v>11.903007305385762</v>
      </c>
      <c r="H615" s="307">
        <f t="shared" ca="1" si="273"/>
        <v>-73.861145615866093</v>
      </c>
      <c r="I615" s="304">
        <f t="shared" ca="1" si="274"/>
        <v>74.814105719444655</v>
      </c>
      <c r="J615" s="306">
        <f t="shared" ca="1" si="275"/>
        <v>365.82123717032704</v>
      </c>
      <c r="K615" s="307">
        <f t="shared" ca="1" si="276"/>
        <v>1110.835440344707</v>
      </c>
      <c r="L615" s="304">
        <f t="shared" ca="1" si="261"/>
        <v>1169.5215060402472</v>
      </c>
      <c r="M615" s="306">
        <f t="shared" ca="1" si="277"/>
        <v>-1.4110162277329834</v>
      </c>
      <c r="N615" s="304">
        <f t="shared" ca="1" si="278"/>
        <v>-80.845274673570174</v>
      </c>
      <c r="P615" s="310">
        <f t="shared" ca="1" si="279"/>
        <v>23</v>
      </c>
      <c r="Q615" s="304">
        <f t="shared" ca="1" si="280"/>
        <v>0</v>
      </c>
      <c r="R615" s="306">
        <f t="shared" ca="1" si="281"/>
        <v>0</v>
      </c>
      <c r="S615" s="307">
        <f t="shared" ca="1" si="282"/>
        <v>7.9789999999999939</v>
      </c>
      <c r="T615" s="304">
        <f t="shared" ca="1" si="262"/>
        <v>78.273989999999941</v>
      </c>
      <c r="U615" s="311">
        <f t="shared" ca="1" si="263"/>
        <v>0</v>
      </c>
      <c r="V615" s="306">
        <f t="shared" ca="1" si="264"/>
        <v>1.0960829404864094</v>
      </c>
      <c r="W615" s="304">
        <f t="shared" ca="1" si="265"/>
        <v>18.742724813853737</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7.3805412992010826</v>
      </c>
      <c r="AH615" s="304">
        <f t="shared" ca="1" si="289"/>
        <v>-2.301181348209667</v>
      </c>
    </row>
    <row r="616" spans="1:34" x14ac:dyDescent="0.2">
      <c r="A616" s="347">
        <f t="shared" ca="1" si="267"/>
        <v>0.1</v>
      </c>
      <c r="B616" s="304">
        <f t="shared" ca="1" si="268"/>
        <v>25.200000000000045</v>
      </c>
      <c r="D616" s="306">
        <f t="shared" ca="1" si="269"/>
        <v>-0.37372958174855853</v>
      </c>
      <c r="E616" s="307">
        <f t="shared" ca="1" si="270"/>
        <v>-7.4909142135032569</v>
      </c>
      <c r="F616" s="304">
        <f t="shared" ca="1" si="271"/>
        <v>7.5002313000559573</v>
      </c>
      <c r="G616" s="306">
        <f t="shared" ca="1" si="272"/>
        <v>11.865634347210905</v>
      </c>
      <c r="H616" s="307">
        <f t="shared" ca="1" si="273"/>
        <v>-74.610237037216422</v>
      </c>
      <c r="I616" s="304">
        <f t="shared" ca="1" si="274"/>
        <v>75.547870580257467</v>
      </c>
      <c r="J616" s="306">
        <f t="shared" ca="1" si="275"/>
        <v>367.00966925295688</v>
      </c>
      <c r="K616" s="307">
        <f t="shared" ca="1" si="276"/>
        <v>1103.4118712120528</v>
      </c>
      <c r="L616" s="304">
        <f t="shared" ca="1" si="261"/>
        <v>1162.8473050477646</v>
      </c>
      <c r="M616" s="306">
        <f t="shared" ca="1" si="277"/>
        <v>-1.4130821800793125</v>
      </c>
      <c r="N616" s="304">
        <f t="shared" ca="1" si="278"/>
        <v>-80.963645023689978</v>
      </c>
      <c r="P616" s="310">
        <f t="shared" ca="1" si="279"/>
        <v>23</v>
      </c>
      <c r="Q616" s="304">
        <f t="shared" ca="1" si="280"/>
        <v>0</v>
      </c>
      <c r="R616" s="306">
        <f t="shared" ca="1" si="281"/>
        <v>0</v>
      </c>
      <c r="S616" s="307">
        <f t="shared" ca="1" si="282"/>
        <v>7.9789999999999939</v>
      </c>
      <c r="T616" s="304">
        <f t="shared" ca="1" si="262"/>
        <v>78.273989999999941</v>
      </c>
      <c r="U616" s="311">
        <f t="shared" ca="1" si="263"/>
        <v>0</v>
      </c>
      <c r="V616" s="306">
        <f t="shared" ca="1" si="264"/>
        <v>1.0968994302453394</v>
      </c>
      <c r="W616" s="304">
        <f t="shared" ca="1" si="265"/>
        <v>19.126416048908059</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7.3360363570460549</v>
      </c>
      <c r="AH616" s="304">
        <f t="shared" ca="1" si="289"/>
        <v>-2.3490067444358629</v>
      </c>
    </row>
    <row r="617" spans="1:34" x14ac:dyDescent="0.2">
      <c r="A617" s="347">
        <f t="shared" ca="1" si="267"/>
        <v>0.1</v>
      </c>
      <c r="B617" s="304">
        <f t="shared" ca="1" si="268"/>
        <v>25.300000000000047</v>
      </c>
      <c r="D617" s="306">
        <f t="shared" ca="1" si="269"/>
        <v>-0.37649036533819497</v>
      </c>
      <c r="E617" s="307">
        <f t="shared" ca="1" si="270"/>
        <v>-7.4426562425452056</v>
      </c>
      <c r="F617" s="304">
        <f t="shared" ca="1" si="271"/>
        <v>7.4521726321851673</v>
      </c>
      <c r="G617" s="306">
        <f t="shared" ca="1" si="272"/>
        <v>11.827985310677086</v>
      </c>
      <c r="H617" s="307">
        <f t="shared" ca="1" si="273"/>
        <v>-75.354502661470946</v>
      </c>
      <c r="I617" s="304">
        <f t="shared" ca="1" si="274"/>
        <v>76.277141450550076</v>
      </c>
      <c r="J617" s="306">
        <f t="shared" ca="1" si="275"/>
        <v>368.19435023585129</v>
      </c>
      <c r="K617" s="307">
        <f t="shared" ca="1" si="276"/>
        <v>1095.9136342271183</v>
      </c>
      <c r="L617" s="304">
        <f t="shared" ca="1" si="261"/>
        <v>1156.111488235668</v>
      </c>
      <c r="M617" s="306">
        <f t="shared" ca="1" si="277"/>
        <v>-1.4151021440671432</v>
      </c>
      <c r="N617" s="304">
        <f t="shared" ca="1" si="278"/>
        <v>-81.079380434961095</v>
      </c>
      <c r="P617" s="310">
        <f t="shared" ca="1" si="279"/>
        <v>23</v>
      </c>
      <c r="Q617" s="304">
        <f t="shared" ca="1" si="280"/>
        <v>0</v>
      </c>
      <c r="R617" s="306">
        <f t="shared" ca="1" si="281"/>
        <v>0</v>
      </c>
      <c r="S617" s="307">
        <f t="shared" ca="1" si="282"/>
        <v>7.9789999999999939</v>
      </c>
      <c r="T617" s="304">
        <f t="shared" ca="1" si="262"/>
        <v>78.273989999999941</v>
      </c>
      <c r="U617" s="311">
        <f t="shared" ca="1" si="263"/>
        <v>0</v>
      </c>
      <c r="V617" s="306">
        <f t="shared" ca="1" si="264"/>
        <v>1.097724715771486</v>
      </c>
      <c r="W617" s="304">
        <f t="shared" ca="1" si="265"/>
        <v>19.512126066175288</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7.2911525527022754</v>
      </c>
      <c r="AH617" s="304">
        <f t="shared" ca="1" si="289"/>
        <v>-2.3970943788580112</v>
      </c>
    </row>
    <row r="618" spans="1:34" x14ac:dyDescent="0.2">
      <c r="A618" s="347">
        <f t="shared" ca="1" si="267"/>
        <v>0.1</v>
      </c>
      <c r="B618" s="304">
        <f t="shared" ca="1" si="268"/>
        <v>25.400000000000048</v>
      </c>
      <c r="D618" s="306">
        <f t="shared" ca="1" si="269"/>
        <v>-0.3792036382903437</v>
      </c>
      <c r="E618" s="307">
        <f t="shared" ca="1" si="270"/>
        <v>-7.3941446518372951</v>
      </c>
      <c r="F618" s="304">
        <f t="shared" ca="1" si="271"/>
        <v>7.4038618660525204</v>
      </c>
      <c r="G618" s="306">
        <f t="shared" ca="1" si="272"/>
        <v>11.790064946848052</v>
      </c>
      <c r="H618" s="307">
        <f t="shared" ca="1" si="273"/>
        <v>-76.093917126654674</v>
      </c>
      <c r="I618" s="304">
        <f t="shared" ca="1" si="274"/>
        <v>77.001882153159642</v>
      </c>
      <c r="J618" s="306">
        <f t="shared" ca="1" si="275"/>
        <v>369.37525274872752</v>
      </c>
      <c r="K618" s="307">
        <f t="shared" ca="1" si="276"/>
        <v>1088.3412132377121</v>
      </c>
      <c r="L618" s="304">
        <f t="shared" ca="1" si="261"/>
        <v>1149.3148714668757</v>
      </c>
      <c r="M618" s="306">
        <f t="shared" ca="1" si="277"/>
        <v>-1.4170776771936449</v>
      </c>
      <c r="N618" s="304">
        <f t="shared" ca="1" si="278"/>
        <v>-81.192570145397923</v>
      </c>
      <c r="P618" s="310">
        <f t="shared" ca="1" si="279"/>
        <v>23</v>
      </c>
      <c r="Q618" s="304">
        <f t="shared" ca="1" si="280"/>
        <v>0</v>
      </c>
      <c r="R618" s="306">
        <f t="shared" ca="1" si="281"/>
        <v>0</v>
      </c>
      <c r="S618" s="307">
        <f t="shared" ca="1" si="282"/>
        <v>7.9789999999999939</v>
      </c>
      <c r="T618" s="304">
        <f t="shared" ca="1" si="262"/>
        <v>78.273989999999941</v>
      </c>
      <c r="U618" s="311">
        <f t="shared" ca="1" si="263"/>
        <v>0</v>
      </c>
      <c r="V618" s="306">
        <f t="shared" ca="1" si="264"/>
        <v>1.0985587619021167</v>
      </c>
      <c r="W618" s="304">
        <f t="shared" ca="1" si="265"/>
        <v>19.899781418992024</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7.2459044383700526</v>
      </c>
      <c r="AH618" s="304">
        <f t="shared" ca="1" si="289"/>
        <v>-2.4454350252130972</v>
      </c>
    </row>
    <row r="619" spans="1:34" x14ac:dyDescent="0.2">
      <c r="A619" s="347">
        <f t="shared" ca="1" si="267"/>
        <v>0.1</v>
      </c>
      <c r="B619" s="304">
        <f t="shared" ca="1" si="268"/>
        <v>25.50000000000005</v>
      </c>
      <c r="D619" s="306">
        <f t="shared" ca="1" si="269"/>
        <v>-0.38186925836165997</v>
      </c>
      <c r="E619" s="307">
        <f t="shared" ca="1" si="270"/>
        <v>-7.3453886657971674</v>
      </c>
      <c r="F619" s="304">
        <f t="shared" ca="1" si="271"/>
        <v>7.3553082044264588</v>
      </c>
      <c r="G619" s="306">
        <f t="shared" ca="1" si="272"/>
        <v>11.751878021011885</v>
      </c>
      <c r="H619" s="307">
        <f t="shared" ca="1" si="273"/>
        <v>-76.828455993234385</v>
      </c>
      <c r="I619" s="304">
        <f t="shared" ca="1" si="274"/>
        <v>77.722057920033834</v>
      </c>
      <c r="J619" s="306">
        <f t="shared" ca="1" si="275"/>
        <v>370.55234989712051</v>
      </c>
      <c r="K619" s="307">
        <f t="shared" ca="1" si="276"/>
        <v>1080.6950945817175</v>
      </c>
      <c r="L619" s="304">
        <f t="shared" ca="1" si="261"/>
        <v>1142.4582843444505</v>
      </c>
      <c r="M619" s="306">
        <f t="shared" ca="1" si="277"/>
        <v>-1.4190102677060255</v>
      </c>
      <c r="N619" s="304">
        <f t="shared" ca="1" si="278"/>
        <v>-81.303299425284351</v>
      </c>
      <c r="P619" s="310">
        <f t="shared" ca="1" si="279"/>
        <v>23</v>
      </c>
      <c r="Q619" s="304">
        <f t="shared" ca="1" si="280"/>
        <v>0</v>
      </c>
      <c r="R619" s="306">
        <f t="shared" ca="1" si="281"/>
        <v>0</v>
      </c>
      <c r="S619" s="307">
        <f t="shared" ca="1" si="282"/>
        <v>7.9789999999999939</v>
      </c>
      <c r="T619" s="304">
        <f t="shared" ca="1" si="262"/>
        <v>78.273989999999941</v>
      </c>
      <c r="U619" s="311">
        <f t="shared" ca="1" si="263"/>
        <v>0</v>
      </c>
      <c r="V619" s="306">
        <f t="shared" ca="1" si="264"/>
        <v>1.0994015332584675</v>
      </c>
      <c r="W619" s="304">
        <f t="shared" ca="1" si="265"/>
        <v>20.289308854547471</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7.2003062462571137</v>
      </c>
      <c r="AH619" s="304">
        <f t="shared" ca="1" si="289"/>
        <v>-2.4940194785050807</v>
      </c>
    </row>
    <row r="620" spans="1:34" x14ac:dyDescent="0.2">
      <c r="A620" s="347">
        <f t="shared" ca="1" si="267"/>
        <v>0.1</v>
      </c>
      <c r="B620" s="304">
        <f t="shared" ca="1" si="268"/>
        <v>25.600000000000051</v>
      </c>
      <c r="D620" s="306">
        <f t="shared" ca="1" si="269"/>
        <v>-0.38448709878318887</v>
      </c>
      <c r="E620" s="307">
        <f t="shared" ca="1" si="270"/>
        <v>-7.2963974850645101</v>
      </c>
      <c r="F620" s="304">
        <f t="shared" ca="1" si="271"/>
        <v>7.3065208265758352</v>
      </c>
      <c r="G620" s="306">
        <f t="shared" ca="1" si="272"/>
        <v>11.713429311133567</v>
      </c>
      <c r="H620" s="307">
        <f t="shared" ca="1" si="273"/>
        <v>-77.558095741740843</v>
      </c>
      <c r="I620" s="304">
        <f t="shared" ca="1" si="274"/>
        <v>78.437635362827976</v>
      </c>
      <c r="J620" s="306">
        <f t="shared" ca="1" si="275"/>
        <v>371.72561526372778</v>
      </c>
      <c r="K620" s="307">
        <f t="shared" ca="1" si="276"/>
        <v>1072.9757669949688</v>
      </c>
      <c r="L620" s="304">
        <f t="shared" ca="1" si="261"/>
        <v>1135.5425705809705</v>
      </c>
      <c r="M620" s="306">
        <f t="shared" ca="1" si="277"/>
        <v>-1.4209013383691775</v>
      </c>
      <c r="N620" s="304">
        <f t="shared" ca="1" si="278"/>
        <v>-81.411649793043978</v>
      </c>
      <c r="P620" s="310">
        <f t="shared" ca="1" si="279"/>
        <v>23</v>
      </c>
      <c r="Q620" s="304">
        <f t="shared" ca="1" si="280"/>
        <v>0</v>
      </c>
      <c r="R620" s="306">
        <f t="shared" ca="1" si="281"/>
        <v>0</v>
      </c>
      <c r="S620" s="307">
        <f t="shared" ca="1" si="282"/>
        <v>7.9789999999999939</v>
      </c>
      <c r="T620" s="304">
        <f t="shared" ca="1" si="262"/>
        <v>78.273989999999941</v>
      </c>
      <c r="U620" s="311">
        <f t="shared" ca="1" si="263"/>
        <v>0</v>
      </c>
      <c r="V620" s="306">
        <f t="shared" ca="1" si="264"/>
        <v>1.100252994251768</v>
      </c>
      <c r="W620" s="304">
        <f t="shared" ca="1" si="265"/>
        <v>20.680635337672204</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7.1543719052959158</v>
      </c>
      <c r="AH620" s="304">
        <f t="shared" ca="1" si="289"/>
        <v>-2.5428385580332731</v>
      </c>
    </row>
    <row r="621" spans="1:34" x14ac:dyDescent="0.2">
      <c r="A621" s="347">
        <f t="shared" ca="1" si="267"/>
        <v>0.1</v>
      </c>
      <c r="B621" s="304">
        <f t="shared" ca="1" si="268"/>
        <v>25.700000000000053</v>
      </c>
      <c r="D621" s="306">
        <f t="shared" ca="1" si="269"/>
        <v>-0.38705704800570423</v>
      </c>
      <c r="E621" s="307">
        <f t="shared" ca="1" si="270"/>
        <v>-7.2471802834709855</v>
      </c>
      <c r="F621" s="304">
        <f t="shared" ca="1" si="271"/>
        <v>7.2575088852540501</v>
      </c>
      <c r="G621" s="306">
        <f t="shared" ca="1" si="272"/>
        <v>11.674723606332996</v>
      </c>
      <c r="H621" s="307">
        <f t="shared" ca="1" si="273"/>
        <v>-78.282813770087941</v>
      </c>
      <c r="I621" s="304">
        <f t="shared" ca="1" si="274"/>
        <v>79.148582444959416</v>
      </c>
      <c r="J621" s="306">
        <f t="shared" ca="1" si="275"/>
        <v>372.8950229096011</v>
      </c>
      <c r="K621" s="307">
        <f t="shared" ca="1" si="276"/>
        <v>1065.1837215193773</v>
      </c>
      <c r="L621" s="304">
        <f t="shared" ca="1" si="261"/>
        <v>1128.568588390011</v>
      </c>
      <c r="M621" s="306">
        <f t="shared" ca="1" si="277"/>
        <v>-1.4227522499923304</v>
      </c>
      <c r="N621" s="304">
        <f t="shared" ca="1" si="278"/>
        <v>-81.517699217302351</v>
      </c>
      <c r="P621" s="310">
        <f t="shared" ca="1" si="279"/>
        <v>23</v>
      </c>
      <c r="Q621" s="304">
        <f t="shared" ca="1" si="280"/>
        <v>0</v>
      </c>
      <c r="R621" s="306">
        <f t="shared" ca="1" si="281"/>
        <v>0</v>
      </c>
      <c r="S621" s="307">
        <f t="shared" ca="1" si="282"/>
        <v>7.9789999999999939</v>
      </c>
      <c r="T621" s="304">
        <f t="shared" ca="1" si="262"/>
        <v>78.273989999999941</v>
      </c>
      <c r="U621" s="311">
        <f t="shared" ca="1" si="263"/>
        <v>0</v>
      </c>
      <c r="V621" s="306">
        <f t="shared" ca="1" si="264"/>
        <v>1.1011131090892645</v>
      </c>
      <c r="W621" s="304">
        <f t="shared" ca="1" si="265"/>
        <v>21.073688074242128</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7.1081150564124638</v>
      </c>
      <c r="AH621" s="304">
        <f t="shared" ca="1" si="289"/>
        <v>-2.5918831103737587</v>
      </c>
    </row>
    <row r="622" spans="1:34" x14ac:dyDescent="0.2">
      <c r="A622" s="347">
        <f t="shared" ca="1" si="267"/>
        <v>0.1</v>
      </c>
      <c r="B622" s="304">
        <f t="shared" ca="1" si="268"/>
        <v>25.800000000000054</v>
      </c>
      <c r="D622" s="306">
        <f t="shared" ca="1" si="269"/>
        <v>-0.3895790094498971</v>
      </c>
      <c r="E622" s="307">
        <f t="shared" ca="1" si="270"/>
        <v>-7.1977462050614847</v>
      </c>
      <c r="F622" s="304">
        <f t="shared" ca="1" si="271"/>
        <v>7.2082815037345043</v>
      </c>
      <c r="G622" s="306">
        <f t="shared" ca="1" si="272"/>
        <v>11.635765705388007</v>
      </c>
      <c r="H622" s="307">
        <f t="shared" ca="1" si="273"/>
        <v>-79.002588390594084</v>
      </c>
      <c r="I622" s="304">
        <f t="shared" ca="1" si="274"/>
        <v>79.854868454993493</v>
      </c>
      <c r="J622" s="306">
        <f t="shared" ca="1" si="275"/>
        <v>374.06054737518713</v>
      </c>
      <c r="K622" s="307">
        <f t="shared" ca="1" si="276"/>
        <v>1057.3194514113432</v>
      </c>
      <c r="L622" s="304">
        <f t="shared" ca="1" si="261"/>
        <v>1121.5372109009172</v>
      </c>
      <c r="M622" s="306">
        <f t="shared" ca="1" si="277"/>
        <v>-1.424564304732326</v>
      </c>
      <c r="N622" s="304">
        <f t="shared" ca="1" si="278"/>
        <v>-81.621522306150766</v>
      </c>
      <c r="P622" s="310">
        <f t="shared" ca="1" si="279"/>
        <v>23</v>
      </c>
      <c r="Q622" s="304">
        <f t="shared" ca="1" si="280"/>
        <v>0</v>
      </c>
      <c r="R622" s="306">
        <f t="shared" ca="1" si="281"/>
        <v>0</v>
      </c>
      <c r="S622" s="307">
        <f t="shared" ca="1" si="282"/>
        <v>7.9789999999999939</v>
      </c>
      <c r="T622" s="304">
        <f t="shared" ca="1" si="262"/>
        <v>78.273989999999941</v>
      </c>
      <c r="U622" s="311">
        <f t="shared" ca="1" si="263"/>
        <v>0</v>
      </c>
      <c r="V622" s="306">
        <f t="shared" ca="1" si="264"/>
        <v>1.1019818417802383</v>
      </c>
      <c r="W622" s="304">
        <f t="shared" ca="1" si="265"/>
        <v>21.468394534188413</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7.0615490664750773</v>
      </c>
      <c r="AH622" s="304">
        <f t="shared" ca="1" si="289"/>
        <v>-2.6411440123125884</v>
      </c>
    </row>
    <row r="623" spans="1:34" x14ac:dyDescent="0.2">
      <c r="A623" s="347">
        <f t="shared" ca="1" si="267"/>
        <v>0.1</v>
      </c>
      <c r="B623" s="304">
        <f t="shared" ca="1" si="268"/>
        <v>25.900000000000055</v>
      </c>
      <c r="D623" s="306">
        <f t="shared" ca="1" si="269"/>
        <v>-0.39205290126083181</v>
      </c>
      <c r="E623" s="307">
        <f t="shared" ca="1" si="270"/>
        <v>-7.1481043611676185</v>
      </c>
      <c r="F623" s="304">
        <f t="shared" ca="1" si="271"/>
        <v>7.1588477728982731</v>
      </c>
      <c r="G623" s="306">
        <f t="shared" ca="1" si="272"/>
        <v>11.596560415261923</v>
      </c>
      <c r="H623" s="307">
        <f t="shared" ca="1" si="273"/>
        <v>-79.717398826710848</v>
      </c>
      <c r="I623" s="304">
        <f t="shared" ca="1" si="274"/>
        <v>80.556463981245471</v>
      </c>
      <c r="J623" s="306">
        <f t="shared" ca="1" si="275"/>
        <v>375.22216368121963</v>
      </c>
      <c r="K623" s="307">
        <f t="shared" ca="1" si="276"/>
        <v>1049.3834520504779</v>
      </c>
      <c r="L623" s="304">
        <f t="shared" ca="1" si="261"/>
        <v>1114.4493265981157</v>
      </c>
      <c r="M623" s="306">
        <f t="shared" ca="1" si="277"/>
        <v>-1.4263387491896991</v>
      </c>
      <c r="N623" s="304">
        <f t="shared" ca="1" si="278"/>
        <v>-81.72319048453862</v>
      </c>
      <c r="P623" s="310">
        <f t="shared" ca="1" si="279"/>
        <v>23</v>
      </c>
      <c r="Q623" s="304">
        <f t="shared" ca="1" si="280"/>
        <v>0</v>
      </c>
      <c r="R623" s="306">
        <f t="shared" ca="1" si="281"/>
        <v>0</v>
      </c>
      <c r="S623" s="307">
        <f t="shared" ca="1" si="282"/>
        <v>7.9789999999999939</v>
      </c>
      <c r="T623" s="304">
        <f t="shared" ca="1" si="262"/>
        <v>78.273989999999941</v>
      </c>
      <c r="U623" s="311">
        <f t="shared" ca="1" si="263"/>
        <v>0</v>
      </c>
      <c r="V623" s="306">
        <f t="shared" ca="1" si="264"/>
        <v>1.1028591561420189</v>
      </c>
      <c r="W623" s="304">
        <f t="shared" ca="1" si="265"/>
        <v>21.864682474103866</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7.0146870410393785</v>
      </c>
      <c r="AH623" s="304">
        <f t="shared" ca="1" si="289"/>
        <v>-2.6906121737295936</v>
      </c>
    </row>
    <row r="624" spans="1:34" x14ac:dyDescent="0.2">
      <c r="A624" s="347">
        <f t="shared" ca="1" si="267"/>
        <v>0.1</v>
      </c>
      <c r="B624" s="304">
        <f t="shared" ca="1" si="268"/>
        <v>26.000000000000057</v>
      </c>
      <c r="D624" s="306">
        <f t="shared" ca="1" si="269"/>
        <v>-0.39447865606612609</v>
      </c>
      <c r="E624" s="307">
        <f t="shared" ca="1" si="270"/>
        <v>-7.0982638275344154</v>
      </c>
      <c r="F624" s="304">
        <f t="shared" ca="1" si="271"/>
        <v>7.1092167483749762</v>
      </c>
      <c r="G624" s="306">
        <f t="shared" ca="1" si="272"/>
        <v>11.55711254965531</v>
      </c>
      <c r="H624" s="307">
        <f t="shared" ca="1" si="273"/>
        <v>-80.427225209464297</v>
      </c>
      <c r="I624" s="304">
        <f t="shared" ca="1" si="274"/>
        <v>81.253340887493906</v>
      </c>
      <c r="J624" s="306">
        <f t="shared" ca="1" si="275"/>
        <v>376.37984732946546</v>
      </c>
      <c r="K624" s="307">
        <f t="shared" ca="1" si="276"/>
        <v>1041.3762208486692</v>
      </c>
      <c r="L624" s="304">
        <f t="shared" ca="1" si="261"/>
        <v>1107.3058397862842</v>
      </c>
      <c r="M624" s="306">
        <f t="shared" ca="1" si="277"/>
        <v>-1.4280767773124228</v>
      </c>
      <c r="N624" s="304">
        <f t="shared" ca="1" si="278"/>
        <v>-81.822772160645741</v>
      </c>
      <c r="P624" s="310">
        <f t="shared" ca="1" si="279"/>
        <v>23</v>
      </c>
      <c r="Q624" s="304">
        <f t="shared" ca="1" si="280"/>
        <v>0</v>
      </c>
      <c r="R624" s="306">
        <f t="shared" ca="1" si="281"/>
        <v>0</v>
      </c>
      <c r="S624" s="307">
        <f t="shared" ca="1" si="282"/>
        <v>7.9789999999999939</v>
      </c>
      <c r="T624" s="304">
        <f t="shared" ca="1" si="262"/>
        <v>78.273989999999941</v>
      </c>
      <c r="U624" s="311">
        <f t="shared" ca="1" si="263"/>
        <v>0</v>
      </c>
      <c r="V624" s="306">
        <f t="shared" ca="1" si="264"/>
        <v>1.1037450158059892</v>
      </c>
      <c r="W624" s="304">
        <f t="shared" ca="1" si="265"/>
        <v>22.262479959437524</v>
      </c>
      <c r="Y624" s="314" t="str">
        <f t="shared" ca="1" si="283"/>
        <v/>
      </c>
      <c r="Z624" s="315" t="str">
        <f t="shared" ca="1" si="284"/>
        <v/>
      </c>
      <c r="AA624" s="316" t="str">
        <f t="shared" ca="1" si="285"/>
        <v/>
      </c>
      <c r="AC624" s="310">
        <f t="shared" ca="1" si="286"/>
        <v>26.000000000000057</v>
      </c>
      <c r="AD624" s="323">
        <f t="shared" ca="1" si="287"/>
        <v>376.37984732946546</v>
      </c>
      <c r="AE624" s="324" t="e">
        <f t="shared" ca="1" si="266"/>
        <v>#N/A</v>
      </c>
      <c r="AG624" s="306">
        <f t="shared" ca="1" si="288"/>
        <v>6.9675418359952701</v>
      </c>
      <c r="AH624" s="304">
        <f t="shared" ca="1" si="289"/>
        <v>-2.7402785404316181</v>
      </c>
    </row>
    <row r="625" spans="1:34" x14ac:dyDescent="0.2">
      <c r="A625" s="347">
        <f t="shared" ca="1" si="267"/>
        <v>0.1</v>
      </c>
      <c r="B625" s="304">
        <f t="shared" ca="1" si="268"/>
        <v>26.100000000000058</v>
      </c>
      <c r="D625" s="306">
        <f t="shared" ca="1" si="269"/>
        <v>-0.3968562207374039</v>
      </c>
      <c r="E625" s="307">
        <f t="shared" ca="1" si="270"/>
        <v>-7.0482336415010529</v>
      </c>
      <c r="F625" s="304">
        <f t="shared" ca="1" si="271"/>
        <v>7.0593974477376724</v>
      </c>
      <c r="G625" s="306">
        <f t="shared" ca="1" si="272"/>
        <v>11.517426927581569</v>
      </c>
      <c r="H625" s="307">
        <f t="shared" ca="1" si="273"/>
        <v>-81.132048573614398</v>
      </c>
      <c r="I625" s="304">
        <f t="shared" ca="1" si="274"/>
        <v>81.945472289709258</v>
      </c>
      <c r="J625" s="306">
        <f t="shared" ca="1" si="275"/>
        <v>377.53357430332733</v>
      </c>
      <c r="K625" s="307">
        <f t="shared" ca="1" si="276"/>
        <v>1033.2982571595153</v>
      </c>
      <c r="L625" s="304">
        <f t="shared" ca="1" si="261"/>
        <v>1100.1076710827617</v>
      </c>
      <c r="M625" s="306">
        <f t="shared" ca="1" si="277"/>
        <v>-1.4297795331209948</v>
      </c>
      <c r="N625" s="304">
        <f t="shared" ca="1" si="278"/>
        <v>-81.9203328820183</v>
      </c>
      <c r="P625" s="310">
        <f t="shared" ca="1" si="279"/>
        <v>23</v>
      </c>
      <c r="Q625" s="304">
        <f t="shared" ca="1" si="280"/>
        <v>0</v>
      </c>
      <c r="R625" s="306">
        <f t="shared" ca="1" si="281"/>
        <v>0</v>
      </c>
      <c r="S625" s="307">
        <f t="shared" ca="1" si="282"/>
        <v>7.9789999999999939</v>
      </c>
      <c r="T625" s="304">
        <f t="shared" ca="1" si="262"/>
        <v>78.273989999999941</v>
      </c>
      <c r="U625" s="311">
        <f t="shared" ca="1" si="263"/>
        <v>0</v>
      </c>
      <c r="V625" s="306">
        <f t="shared" ca="1" si="264"/>
        <v>1.1046393842235804</v>
      </c>
      <c r="W625" s="304">
        <f t="shared" ca="1" si="265"/>
        <v>22.661715386268849</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6.9201260682116583</v>
      </c>
      <c r="AH625" s="304">
        <f t="shared" ca="1" si="289"/>
        <v>-2.7901340969341448</v>
      </c>
    </row>
    <row r="626" spans="1:34" x14ac:dyDescent="0.2">
      <c r="A626" s="347">
        <f t="shared" ca="1" si="267"/>
        <v>0.1</v>
      </c>
      <c r="B626" s="304">
        <f t="shared" ca="1" si="268"/>
        <v>26.20000000000006</v>
      </c>
      <c r="D626" s="306">
        <f t="shared" ca="1" si="269"/>
        <v>-0.3991855561545809</v>
      </c>
      <c r="E626" s="307">
        <f t="shared" ca="1" si="270"/>
        <v>-6.9980227992365194</v>
      </c>
      <c r="F626" s="304">
        <f t="shared" ca="1" si="271"/>
        <v>7.0093988477526779</v>
      </c>
      <c r="G626" s="306">
        <f t="shared" ca="1" si="272"/>
        <v>11.477508371966112</v>
      </c>
      <c r="H626" s="307">
        <f t="shared" ca="1" si="273"/>
        <v>-81.831850853538043</v>
      </c>
      <c r="I626" s="304">
        <f t="shared" ca="1" si="274"/>
        <v>82.632832533710513</v>
      </c>
      <c r="J626" s="306">
        <f t="shared" ca="1" si="275"/>
        <v>378.68332106830474</v>
      </c>
      <c r="K626" s="307">
        <f t="shared" ca="1" si="276"/>
        <v>1025.1500621881576</v>
      </c>
      <c r="L626" s="304">
        <f t="shared" ca="1" si="261"/>
        <v>1092.8557579386697</v>
      </c>
      <c r="M626" s="306">
        <f t="shared" ca="1" si="277"/>
        <v>-1.4314481132674406</v>
      </c>
      <c r="N626" s="304">
        <f t="shared" ca="1" si="278"/>
        <v>-82.015935482188965</v>
      </c>
      <c r="P626" s="310">
        <f t="shared" ca="1" si="279"/>
        <v>23</v>
      </c>
      <c r="Q626" s="304">
        <f t="shared" ca="1" si="280"/>
        <v>0</v>
      </c>
      <c r="R626" s="306">
        <f t="shared" ca="1" si="281"/>
        <v>0</v>
      </c>
      <c r="S626" s="307">
        <f t="shared" ca="1" si="282"/>
        <v>7.9789999999999939</v>
      </c>
      <c r="T626" s="304">
        <f t="shared" ca="1" si="262"/>
        <v>78.273989999999941</v>
      </c>
      <c r="U626" s="311">
        <f t="shared" ca="1" si="263"/>
        <v>0</v>
      </c>
      <c r="V626" s="306">
        <f t="shared" ca="1" si="264"/>
        <v>1.1055422246722557</v>
      </c>
      <c r="W626" s="304">
        <f t="shared" ca="1" si="265"/>
        <v>23.062317502654132</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6.8724521252662871</v>
      </c>
      <c r="AH626" s="304">
        <f t="shared" ca="1" si="289"/>
        <v>-2.8401698691902326</v>
      </c>
    </row>
    <row r="627" spans="1:34" x14ac:dyDescent="0.2">
      <c r="A627" s="347">
        <f t="shared" ca="1" si="267"/>
        <v>0.1</v>
      </c>
      <c r="B627" s="304">
        <f t="shared" ca="1" si="268"/>
        <v>26.300000000000061</v>
      </c>
      <c r="D627" s="306">
        <f t="shared" ca="1" si="269"/>
        <v>-0.40146663697263091</v>
      </c>
      <c r="E627" s="307">
        <f t="shared" ca="1" si="270"/>
        <v>-6.9476402530309693</v>
      </c>
      <c r="F627" s="304">
        <f t="shared" ca="1" si="271"/>
        <v>6.9592298816850668</v>
      </c>
      <c r="G627" s="306">
        <f t="shared" ca="1" si="272"/>
        <v>11.437361708268849</v>
      </c>
      <c r="H627" s="307">
        <f t="shared" ca="1" si="273"/>
        <v>-82.526614878841144</v>
      </c>
      <c r="I627" s="304">
        <f t="shared" ca="1" si="274"/>
        <v>83.315397173669766</v>
      </c>
      <c r="J627" s="306">
        <f t="shared" ca="1" si="275"/>
        <v>379.8290645723165</v>
      </c>
      <c r="K627" s="307">
        <f t="shared" ca="1" si="276"/>
        <v>1016.9321389015386</v>
      </c>
      <c r="L627" s="304">
        <f t="shared" ca="1" si="261"/>
        <v>1085.5510551902839</v>
      </c>
      <c r="M627" s="306">
        <f t="shared" ca="1" si="277"/>
        <v>-1.4330835694398292</v>
      </c>
      <c r="N627" s="304">
        <f t="shared" ca="1" si="278"/>
        <v>-82.109640218445449</v>
      </c>
      <c r="P627" s="310">
        <f t="shared" ca="1" si="279"/>
        <v>23</v>
      </c>
      <c r="Q627" s="304">
        <f t="shared" ca="1" si="280"/>
        <v>0</v>
      </c>
      <c r="R627" s="306">
        <f t="shared" ca="1" si="281"/>
        <v>0</v>
      </c>
      <c r="S627" s="307">
        <f t="shared" ca="1" si="282"/>
        <v>7.9789999999999939</v>
      </c>
      <c r="T627" s="304">
        <f t="shared" ca="1" si="262"/>
        <v>78.273989999999941</v>
      </c>
      <c r="U627" s="311">
        <f t="shared" ca="1" si="263"/>
        <v>0</v>
      </c>
      <c r="V627" s="306">
        <f t="shared" ca="1" si="264"/>
        <v>1.1064535002614808</v>
      </c>
      <c r="W627" s="304">
        <f t="shared" ca="1" si="265"/>
        <v>23.464215429537635</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6.8245321743399101</v>
      </c>
      <c r="AH627" s="304">
        <f t="shared" ca="1" si="289"/>
        <v>-2.8903769272658417</v>
      </c>
    </row>
    <row r="628" spans="1:34" x14ac:dyDescent="0.2">
      <c r="A628" s="347">
        <f t="shared" ca="1" si="267"/>
        <v>0.1</v>
      </c>
      <c r="B628" s="304">
        <f t="shared" ca="1" si="268"/>
        <v>26.400000000000063</v>
      </c>
      <c r="D628" s="306">
        <f t="shared" ca="1" si="269"/>
        <v>-0.40369945139048102</v>
      </c>
      <c r="E628" s="307">
        <f t="shared" ca="1" si="270"/>
        <v>-6.8970949086435454</v>
      </c>
      <c r="F628" s="304">
        <f t="shared" ca="1" si="271"/>
        <v>6.9088994366606382</v>
      </c>
      <c r="G628" s="306">
        <f t="shared" ca="1" si="272"/>
        <v>11.396991763129801</v>
      </c>
      <c r="H628" s="307">
        <f t="shared" ca="1" si="273"/>
        <v>-83.216324369705504</v>
      </c>
      <c r="I628" s="304">
        <f t="shared" ca="1" si="274"/>
        <v>83.993142951391519</v>
      </c>
      <c r="J628" s="306">
        <f t="shared" ca="1" si="275"/>
        <v>380.97078224588643</v>
      </c>
      <c r="K628" s="307">
        <f t="shared" ca="1" si="276"/>
        <v>1008.6449919391113</v>
      </c>
      <c r="L628" s="304">
        <f t="shared" ca="1" si="261"/>
        <v>1078.1945356422896</v>
      </c>
      <c r="M628" s="306">
        <f t="shared" ca="1" si="277"/>
        <v>-1.4346869106229772</v>
      </c>
      <c r="N628" s="304">
        <f t="shared" ca="1" si="278"/>
        <v>-82.201504901359343</v>
      </c>
      <c r="P628" s="310">
        <f t="shared" ca="1" si="279"/>
        <v>23</v>
      </c>
      <c r="Q628" s="304">
        <f t="shared" ca="1" si="280"/>
        <v>0</v>
      </c>
      <c r="R628" s="306">
        <f t="shared" ca="1" si="281"/>
        <v>0</v>
      </c>
      <c r="S628" s="307">
        <f t="shared" ca="1" si="282"/>
        <v>7.9789999999999939</v>
      </c>
      <c r="T628" s="304">
        <f t="shared" ca="1" si="262"/>
        <v>78.273989999999941</v>
      </c>
      <c r="U628" s="311">
        <f t="shared" ca="1" si="263"/>
        <v>0</v>
      </c>
      <c r="V628" s="306">
        <f t="shared" ca="1" si="264"/>
        <v>1.107373173938681</v>
      </c>
      <c r="W628" s="304">
        <f t="shared" ca="1" si="265"/>
        <v>23.867338681220648</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6.7763781703471597</v>
      </c>
      <c r="AH628" s="304">
        <f t="shared" ca="1" si="289"/>
        <v>-2.9407463879606031</v>
      </c>
    </row>
    <row r="629" spans="1:34" x14ac:dyDescent="0.2">
      <c r="A629" s="347">
        <f t="shared" ca="1" si="267"/>
        <v>0.1</v>
      </c>
      <c r="B629" s="304">
        <f t="shared" ca="1" si="268"/>
        <v>26.500000000000064</v>
      </c>
      <c r="D629" s="306">
        <f t="shared" ca="1" si="269"/>
        <v>-0.40588400092176208</v>
      </c>
      <c r="E629" s="307">
        <f t="shared" ca="1" si="270"/>
        <v>-6.8463956227073979</v>
      </c>
      <c r="F629" s="304">
        <f t="shared" ca="1" si="271"/>
        <v>6.8584163510850864</v>
      </c>
      <c r="G629" s="306">
        <f t="shared" ca="1" si="272"/>
        <v>11.356403363037625</v>
      </c>
      <c r="H629" s="307">
        <f t="shared" ca="1" si="273"/>
        <v>-83.90096393197625</v>
      </c>
      <c r="I629" s="304">
        <f t="shared" ca="1" si="274"/>
        <v>84.666047776300459</v>
      </c>
      <c r="J629" s="306">
        <f t="shared" ca="1" si="275"/>
        <v>382.10845200219478</v>
      </c>
      <c r="K629" s="307">
        <f t="shared" ca="1" si="276"/>
        <v>1000.2891275240272</v>
      </c>
      <c r="L629" s="304">
        <f t="shared" ca="1" si="261"/>
        <v>1070.7871906846351</v>
      </c>
      <c r="M629" s="306">
        <f t="shared" ca="1" si="277"/>
        <v>-1.4362591052251983</v>
      </c>
      <c r="N629" s="304">
        <f t="shared" ca="1" si="278"/>
        <v>-82.291585016639857</v>
      </c>
      <c r="P629" s="310">
        <f t="shared" ca="1" si="279"/>
        <v>23</v>
      </c>
      <c r="Q629" s="304">
        <f t="shared" ca="1" si="280"/>
        <v>0</v>
      </c>
      <c r="R629" s="306">
        <f t="shared" ca="1" si="281"/>
        <v>0</v>
      </c>
      <c r="S629" s="307">
        <f t="shared" ca="1" si="282"/>
        <v>7.9789999999999939</v>
      </c>
      <c r="T629" s="304">
        <f t="shared" ca="1" si="262"/>
        <v>78.273989999999941</v>
      </c>
      <c r="U629" s="311">
        <f t="shared" ca="1" si="263"/>
        <v>0</v>
      </c>
      <c r="V629" s="306">
        <f t="shared" ca="1" si="264"/>
        <v>1.1083012084951802</v>
      </c>
      <c r="W629" s="304">
        <f t="shared" ca="1" si="265"/>
        <v>24.271617185382176</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6.7280018633699328</v>
      </c>
      <c r="AH629" s="304">
        <f t="shared" ca="1" si="289"/>
        <v>-2.991269417373188</v>
      </c>
    </row>
    <row r="630" spans="1:34" x14ac:dyDescent="0.2">
      <c r="A630" s="347">
        <f t="shared" ca="1" si="267"/>
        <v>0.1</v>
      </c>
      <c r="B630" s="304">
        <f t="shared" ca="1" si="268"/>
        <v>26.600000000000065</v>
      </c>
      <c r="D630" s="306">
        <f t="shared" ca="1" si="269"/>
        <v>-0.40802030016714663</v>
      </c>
      <c r="E630" s="307">
        <f t="shared" ca="1" si="270"/>
        <v>-6.7955512001925635</v>
      </c>
      <c r="F630" s="304">
        <f t="shared" ca="1" si="271"/>
        <v>6.8077894121210214</v>
      </c>
      <c r="G630" s="306">
        <f t="shared" ca="1" si="272"/>
        <v>11.315601333020911</v>
      </c>
      <c r="H630" s="307">
        <f t="shared" ca="1" si="273"/>
        <v>-84.580519051995509</v>
      </c>
      <c r="I630" s="304">
        <f t="shared" ca="1" si="274"/>
        <v>85.334090706076196</v>
      </c>
      <c r="J630" s="306">
        <f t="shared" ca="1" si="275"/>
        <v>383.24205223699772</v>
      </c>
      <c r="K630" s="307">
        <f t="shared" ca="1" si="276"/>
        <v>991.86505337482868</v>
      </c>
      <c r="L630" s="304">
        <f t="shared" ca="1" si="261"/>
        <v>1063.3300309448039</v>
      </c>
      <c r="M630" s="306">
        <f t="shared" ca="1" si="277"/>
        <v>-1.4378010830801933</v>
      </c>
      <c r="N630" s="304">
        <f t="shared" ca="1" si="278"/>
        <v>-82.379933839833711</v>
      </c>
      <c r="P630" s="310">
        <f t="shared" ca="1" si="279"/>
        <v>23</v>
      </c>
      <c r="Q630" s="304">
        <f t="shared" ca="1" si="280"/>
        <v>0</v>
      </c>
      <c r="R630" s="306">
        <f t="shared" ca="1" si="281"/>
        <v>0</v>
      </c>
      <c r="S630" s="307">
        <f t="shared" ca="1" si="282"/>
        <v>7.9789999999999939</v>
      </c>
      <c r="T630" s="304">
        <f t="shared" ca="1" si="262"/>
        <v>78.273989999999941</v>
      </c>
      <c r="U630" s="311">
        <f t="shared" ca="1" si="263"/>
        <v>0</v>
      </c>
      <c r="V630" s="306">
        <f t="shared" ca="1" si="264"/>
        <v>1.1092375665721206</v>
      </c>
      <c r="W630" s="304">
        <f t="shared" ca="1" si="265"/>
        <v>24.676981302645142</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6.6794148054534261</v>
      </c>
      <c r="AH630" s="304">
        <f t="shared" ca="1" si="289"/>
        <v>-3.0419372334104771</v>
      </c>
    </row>
    <row r="631" spans="1:34" x14ac:dyDescent="0.2">
      <c r="A631" s="347">
        <f t="shared" ca="1" si="267"/>
        <v>0.1</v>
      </c>
      <c r="B631" s="304">
        <f t="shared" ca="1" si="268"/>
        <v>26.700000000000067</v>
      </c>
      <c r="D631" s="306">
        <f t="shared" ca="1" si="269"/>
        <v>-0.41010837658805321</v>
      </c>
      <c r="E631" s="307">
        <f t="shared" ca="1" si="270"/>
        <v>-6.7445703919273399</v>
      </c>
      <c r="F631" s="304">
        <f t="shared" ca="1" si="271"/>
        <v>6.7570273532235019</v>
      </c>
      <c r="G631" s="306">
        <f t="shared" ca="1" si="272"/>
        <v>11.274590495362107</v>
      </c>
      <c r="H631" s="307">
        <f t="shared" ca="1" si="273"/>
        <v>-85.25497609118824</v>
      </c>
      <c r="I631" s="304">
        <f t="shared" ca="1" si="274"/>
        <v>85.997251927879574</v>
      </c>
      <c r="J631" s="306">
        <f t="shared" ca="1" si="275"/>
        <v>384.37156182841687</v>
      </c>
      <c r="K631" s="307">
        <f t="shared" ca="1" si="276"/>
        <v>983.37327861766948</v>
      </c>
      <c r="L631" s="304">
        <f t="shared" ca="1" si="261"/>
        <v>1055.8240869774099</v>
      </c>
      <c r="M631" s="306">
        <f t="shared" ca="1" si="277"/>
        <v>-1.4393137373324838</v>
      </c>
      <c r="N631" s="304">
        <f t="shared" ca="1" si="278"/>
        <v>-82.466602544352483</v>
      </c>
      <c r="P631" s="310">
        <f t="shared" ca="1" si="279"/>
        <v>23</v>
      </c>
      <c r="Q631" s="304">
        <f t="shared" ca="1" si="280"/>
        <v>0</v>
      </c>
      <c r="R631" s="306">
        <f t="shared" ca="1" si="281"/>
        <v>0</v>
      </c>
      <c r="S631" s="307">
        <f t="shared" ca="1" si="282"/>
        <v>7.9789999999999939</v>
      </c>
      <c r="T631" s="304">
        <f t="shared" ca="1" si="262"/>
        <v>78.273989999999941</v>
      </c>
      <c r="U631" s="311">
        <f t="shared" ca="1" si="263"/>
        <v>0</v>
      </c>
      <c r="V631" s="306">
        <f t="shared" ca="1" si="264"/>
        <v>1.1101822106663679</v>
      </c>
      <c r="W631" s="304">
        <f t="shared" ca="1" si="265"/>
        <v>25.083361845682948</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6.63062835681969</v>
      </c>
      <c r="AH631" s="304">
        <f t="shared" ca="1" si="289"/>
        <v>-3.0927411082397747</v>
      </c>
    </row>
    <row r="632" spans="1:34" x14ac:dyDescent="0.2">
      <c r="A632" s="347">
        <f t="shared" ca="1" si="267"/>
        <v>0.1</v>
      </c>
      <c r="B632" s="304">
        <f t="shared" ca="1" si="268"/>
        <v>26.800000000000068</v>
      </c>
      <c r="D632" s="306">
        <f t="shared" ca="1" si="269"/>
        <v>-0.41214827028151996</v>
      </c>
      <c r="E632" s="307">
        <f t="shared" ca="1" si="270"/>
        <v>-6.693461892178723</v>
      </c>
      <c r="F632" s="304">
        <f t="shared" ca="1" si="271"/>
        <v>6.7061388517346412</v>
      </c>
      <c r="G632" s="306">
        <f t="shared" ca="1" si="272"/>
        <v>11.233375668333954</v>
      </c>
      <c r="H632" s="307">
        <f t="shared" ca="1" si="273"/>
        <v>-85.924322280406116</v>
      </c>
      <c r="I632" s="304">
        <f t="shared" ca="1" si="274"/>
        <v>86.655512740119491</v>
      </c>
      <c r="J632" s="306">
        <f t="shared" ca="1" si="275"/>
        <v>385.49696013660167</v>
      </c>
      <c r="K632" s="307">
        <f t="shared" ca="1" si="276"/>
        <v>974.81431369908978</v>
      </c>
      <c r="L632" s="304">
        <f t="shared" ca="1" si="261"/>
        <v>1048.2704099931411</v>
      </c>
      <c r="M632" s="306">
        <f t="shared" ca="1" si="277"/>
        <v>-1.4407979262141553</v>
      </c>
      <c r="N632" s="304">
        <f t="shared" ca="1" si="278"/>
        <v>-82.551640303272492</v>
      </c>
      <c r="P632" s="310">
        <f t="shared" ca="1" si="279"/>
        <v>23</v>
      </c>
      <c r="Q632" s="304">
        <f t="shared" ca="1" si="280"/>
        <v>0</v>
      </c>
      <c r="R632" s="306">
        <f t="shared" ca="1" si="281"/>
        <v>0</v>
      </c>
      <c r="S632" s="307">
        <f t="shared" ca="1" si="282"/>
        <v>7.9789999999999939</v>
      </c>
      <c r="T632" s="304">
        <f t="shared" ca="1" si="262"/>
        <v>78.273989999999941</v>
      </c>
      <c r="U632" s="311">
        <f t="shared" ca="1" si="263"/>
        <v>0</v>
      </c>
      <c r="V632" s="306">
        <f t="shared" ca="1" si="264"/>
        <v>1.1111351031363874</v>
      </c>
      <c r="W632" s="304">
        <f t="shared" ca="1" si="265"/>
        <v>25.490690097860906</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6.581653691548798</v>
      </c>
      <c r="AH632" s="304">
        <f t="shared" ca="1" si="289"/>
        <v>-3.1436723706834147</v>
      </c>
    </row>
    <row r="633" spans="1:34" x14ac:dyDescent="0.2">
      <c r="A633" s="347">
        <f t="shared" ca="1" si="267"/>
        <v>0.1</v>
      </c>
      <c r="B633" s="304">
        <f t="shared" ca="1" si="268"/>
        <v>26.90000000000007</v>
      </c>
      <c r="D633" s="306">
        <f t="shared" ca="1" si="269"/>
        <v>-0.41414003375608371</v>
      </c>
      <c r="E633" s="307">
        <f t="shared" ca="1" si="270"/>
        <v>-6.6422343362924661</v>
      </c>
      <c r="F633" s="304">
        <f t="shared" ca="1" si="271"/>
        <v>6.6551325265378525</v>
      </c>
      <c r="G633" s="306">
        <f t="shared" ca="1" si="272"/>
        <v>11.191961664958345</v>
      </c>
      <c r="H633" s="307">
        <f t="shared" ca="1" si="273"/>
        <v>-86.588545714035362</v>
      </c>
      <c r="I633" s="304">
        <f t="shared" ca="1" si="274"/>
        <v>87.308855534713601</v>
      </c>
      <c r="J633" s="306">
        <f t="shared" ca="1" si="275"/>
        <v>386.61822700326627</v>
      </c>
      <c r="K633" s="307">
        <f t="shared" ca="1" si="276"/>
        <v>966.18867029936769</v>
      </c>
      <c r="L633" s="304">
        <f t="shared" ca="1" si="261"/>
        <v>1040.6700726291735</v>
      </c>
      <c r="M633" s="306">
        <f t="shared" ca="1" si="277"/>
        <v>-1.4422544747201005</v>
      </c>
      <c r="N633" s="304">
        <f t="shared" ca="1" si="278"/>
        <v>-82.635094385319235</v>
      </c>
      <c r="P633" s="310">
        <f t="shared" ca="1" si="279"/>
        <v>23</v>
      </c>
      <c r="Q633" s="304">
        <f t="shared" ca="1" si="280"/>
        <v>0</v>
      </c>
      <c r="R633" s="306">
        <f t="shared" ca="1" si="281"/>
        <v>0</v>
      </c>
      <c r="S633" s="307">
        <f t="shared" ca="1" si="282"/>
        <v>7.9789999999999939</v>
      </c>
      <c r="T633" s="304">
        <f t="shared" ca="1" si="262"/>
        <v>78.273989999999941</v>
      </c>
      <c r="U633" s="311">
        <f t="shared" ca="1" si="263"/>
        <v>0</v>
      </c>
      <c r="V633" s="306">
        <f t="shared" ca="1" si="264"/>
        <v>1.1120962062081048</v>
      </c>
      <c r="W633" s="304">
        <f t="shared" ca="1" si="265"/>
        <v>25.89889783140838</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6.5325018027735222</v>
      </c>
      <c r="AH633" s="304">
        <f t="shared" ca="1" si="289"/>
        <v>-3.1947224085550729</v>
      </c>
    </row>
    <row r="634" spans="1:34" x14ac:dyDescent="0.2">
      <c r="A634" s="347">
        <f t="shared" ca="1" si="267"/>
        <v>0.1</v>
      </c>
      <c r="B634" s="304">
        <f t="shared" ca="1" si="268"/>
        <v>27.000000000000071</v>
      </c>
      <c r="D634" s="306">
        <f t="shared" ca="1" si="269"/>
        <v>-0.4160837317085051</v>
      </c>
      <c r="E634" s="307">
        <f t="shared" ca="1" si="270"/>
        <v>-6.5908962983932433</v>
      </c>
      <c r="F634" s="304">
        <f t="shared" ca="1" si="271"/>
        <v>6.6040169357722149</v>
      </c>
      <c r="G634" s="306">
        <f t="shared" ca="1" si="272"/>
        <v>11.150353291787495</v>
      </c>
      <c r="H634" s="307">
        <f t="shared" ca="1" si="273"/>
        <v>-87.247635343874691</v>
      </c>
      <c r="I634" s="304">
        <f t="shared" ca="1" si="274"/>
        <v>87.957263779800513</v>
      </c>
      <c r="J634" s="306">
        <f t="shared" ca="1" si="275"/>
        <v>387.73534275110359</v>
      </c>
      <c r="K634" s="307">
        <f t="shared" ca="1" si="276"/>
        <v>957.49686124647224</v>
      </c>
      <c r="L634" s="304">
        <f t="shared" ca="1" si="261"/>
        <v>1033.0241697633032</v>
      </c>
      <c r="M634" s="306">
        <f t="shared" ca="1" si="277"/>
        <v>-1.4436841761884089</v>
      </c>
      <c r="N634" s="304">
        <f t="shared" ca="1" si="278"/>
        <v>-82.717010245416972</v>
      </c>
      <c r="P634" s="310">
        <f t="shared" ca="1" si="279"/>
        <v>23</v>
      </c>
      <c r="Q634" s="304">
        <f t="shared" ca="1" si="280"/>
        <v>0</v>
      </c>
      <c r="R634" s="306">
        <f t="shared" ca="1" si="281"/>
        <v>0</v>
      </c>
      <c r="S634" s="307">
        <f t="shared" ca="1" si="282"/>
        <v>7.9789999999999939</v>
      </c>
      <c r="T634" s="304">
        <f t="shared" ca="1" si="262"/>
        <v>78.273989999999941</v>
      </c>
      <c r="U634" s="311">
        <f t="shared" ca="1" si="263"/>
        <v>0</v>
      </c>
      <c r="V634" s="306">
        <f t="shared" ca="1" si="264"/>
        <v>1.1130654819807362</v>
      </c>
      <c r="W634" s="304">
        <f t="shared" ca="1" si="265"/>
        <v>26.307917325117167</v>
      </c>
      <c r="Y634" s="314" t="str">
        <f t="shared" ca="1" si="283"/>
        <v/>
      </c>
      <c r="Z634" s="315" t="str">
        <f t="shared" ca="1" si="284"/>
        <v/>
      </c>
      <c r="AA634" s="316" t="str">
        <f t="shared" ca="1" si="285"/>
        <v/>
      </c>
      <c r="AC634" s="310">
        <f t="shared" ca="1" si="286"/>
        <v>27.000000000000071</v>
      </c>
      <c r="AD634" s="323">
        <f t="shared" ca="1" si="287"/>
        <v>387.73534275110359</v>
      </c>
      <c r="AE634" s="324" t="e">
        <f t="shared" ca="1" si="266"/>
        <v>#N/A</v>
      </c>
      <c r="AG634" s="306">
        <f t="shared" ca="1" si="288"/>
        <v>6.4831835074294473</v>
      </c>
      <c r="AH634" s="304">
        <f t="shared" ca="1" si="289"/>
        <v>-3.2458826709372604</v>
      </c>
    </row>
    <row r="635" spans="1:34" x14ac:dyDescent="0.2">
      <c r="A635" s="347">
        <f t="shared" ca="1" si="267"/>
        <v>0.1</v>
      </c>
      <c r="B635" s="304">
        <f t="shared" ca="1" si="268"/>
        <v>27.100000000000072</v>
      </c>
      <c r="D635" s="306">
        <f t="shared" ca="1" si="269"/>
        <v>-0.41797944080123861</v>
      </c>
      <c r="E635" s="307">
        <f t="shared" ca="1" si="270"/>
        <v>-6.5394562891453418</v>
      </c>
      <c r="F635" s="304">
        <f t="shared" ca="1" si="271"/>
        <v>6.5528005746074003</v>
      </c>
      <c r="G635" s="306">
        <f t="shared" ca="1" si="272"/>
        <v>11.108555347707371</v>
      </c>
      <c r="H635" s="307">
        <f t="shared" ca="1" si="273"/>
        <v>-87.901580972789219</v>
      </c>
      <c r="I635" s="304">
        <f t="shared" ca="1" si="274"/>
        <v>88.600722002864615</v>
      </c>
      <c r="J635" s="306">
        <f t="shared" ca="1" si="275"/>
        <v>388.84828818307835</v>
      </c>
      <c r="K635" s="307">
        <f t="shared" ca="1" si="276"/>
        <v>948.73940043063908</v>
      </c>
      <c r="L635" s="304">
        <f t="shared" ca="1" si="261"/>
        <v>1025.3338193741583</v>
      </c>
      <c r="M635" s="306">
        <f t="shared" ca="1" si="277"/>
        <v>-1.4450877937920716</v>
      </c>
      <c r="N635" s="304">
        <f t="shared" ca="1" si="278"/>
        <v>-82.797431610157105</v>
      </c>
      <c r="P635" s="310">
        <f t="shared" ca="1" si="279"/>
        <v>23</v>
      </c>
      <c r="Q635" s="304">
        <f t="shared" ca="1" si="280"/>
        <v>0</v>
      </c>
      <c r="R635" s="306">
        <f t="shared" ca="1" si="281"/>
        <v>0</v>
      </c>
      <c r="S635" s="307">
        <f t="shared" ca="1" si="282"/>
        <v>7.9789999999999939</v>
      </c>
      <c r="T635" s="304">
        <f t="shared" ca="1" si="262"/>
        <v>78.273989999999941</v>
      </c>
      <c r="U635" s="311">
        <f t="shared" ca="1" si="263"/>
        <v>0</v>
      </c>
      <c r="V635" s="306">
        <f t="shared" ca="1" si="264"/>
        <v>1.1140428924325974</v>
      </c>
      <c r="W635" s="304">
        <f t="shared" ca="1" si="265"/>
        <v>26.717681381562649</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6.4337094505989025</v>
      </c>
      <c r="AH635" s="304">
        <f t="shared" ca="1" si="289"/>
        <v>-3.2971446703994469</v>
      </c>
    </row>
    <row r="636" spans="1:34" x14ac:dyDescent="0.2">
      <c r="A636" s="347">
        <f t="shared" ca="1" si="267"/>
        <v>0.1</v>
      </c>
      <c r="B636" s="304">
        <f t="shared" ca="1" si="268"/>
        <v>27.200000000000074</v>
      </c>
      <c r="D636" s="306">
        <f t="shared" ca="1" si="269"/>
        <v>-0.41982724944052052</v>
      </c>
      <c r="E636" s="307">
        <f t="shared" ca="1" si="270"/>
        <v>-6.4879227535742929</v>
      </c>
      <c r="F636" s="304">
        <f t="shared" ca="1" si="271"/>
        <v>6.5014918730795808</v>
      </c>
      <c r="G636" s="306">
        <f t="shared" ca="1" si="272"/>
        <v>11.066572622763319</v>
      </c>
      <c r="H636" s="307">
        <f t="shared" ca="1" si="273"/>
        <v>-88.550373248146641</v>
      </c>
      <c r="I636" s="304">
        <f t="shared" ca="1" si="274"/>
        <v>89.239215774237834</v>
      </c>
      <c r="J636" s="306">
        <f t="shared" ca="1" si="275"/>
        <v>389.95704458160191</v>
      </c>
      <c r="K636" s="307">
        <f t="shared" ca="1" si="276"/>
        <v>939.91680271959228</v>
      </c>
      <c r="L636" s="304">
        <f t="shared" ca="1" si="261"/>
        <v>1017.6001634499861</v>
      </c>
      <c r="M636" s="306">
        <f t="shared" ca="1" si="277"/>
        <v>-1.4464660619477083</v>
      </c>
      <c r="N636" s="304">
        <f t="shared" ca="1" si="278"/>
        <v>-82.876400558512373</v>
      </c>
      <c r="P636" s="310">
        <f t="shared" ca="1" si="279"/>
        <v>23</v>
      </c>
      <c r="Q636" s="304">
        <f t="shared" ca="1" si="280"/>
        <v>0</v>
      </c>
      <c r="R636" s="306">
        <f t="shared" ca="1" si="281"/>
        <v>0</v>
      </c>
      <c r="S636" s="307">
        <f t="shared" ca="1" si="282"/>
        <v>7.9789999999999939</v>
      </c>
      <c r="T636" s="304">
        <f t="shared" ca="1" si="262"/>
        <v>78.273989999999941</v>
      </c>
      <c r="U636" s="311">
        <f t="shared" ca="1" si="263"/>
        <v>0</v>
      </c>
      <c r="V636" s="306">
        <f t="shared" ca="1" si="264"/>
        <v>1.1150283994268821</v>
      </c>
      <c r="W636" s="304">
        <f t="shared" ca="1" si="265"/>
        <v>27.128123343844141</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6.3840901094839673</v>
      </c>
      <c r="AH636" s="304">
        <f t="shared" ca="1" si="289"/>
        <v>-3.3484999851563693</v>
      </c>
    </row>
    <row r="637" spans="1:34" x14ac:dyDescent="0.2">
      <c r="A637" s="347">
        <f t="shared" ca="1" si="267"/>
        <v>0.1</v>
      </c>
      <c r="B637" s="304">
        <f t="shared" ca="1" si="268"/>
        <v>27.300000000000075</v>
      </c>
      <c r="D637" s="306">
        <f t="shared" ca="1" si="269"/>
        <v>-0.42162725755500624</v>
      </c>
      <c r="E637" s="307">
        <f t="shared" ca="1" si="270"/>
        <v>-6.4363040689497932</v>
      </c>
      <c r="F637" s="304">
        <f t="shared" ca="1" si="271"/>
        <v>6.4500991939886498</v>
      </c>
      <c r="G637" s="306">
        <f t="shared" ca="1" si="272"/>
        <v>11.024409897007818</v>
      </c>
      <c r="H637" s="307">
        <f t="shared" ca="1" si="273"/>
        <v>-89.194003655041627</v>
      </c>
      <c r="I637" s="304">
        <f t="shared" ca="1" si="274"/>
        <v>89.872731690946296</v>
      </c>
      <c r="J637" s="306">
        <f t="shared" ca="1" si="275"/>
        <v>391.06159370759048</v>
      </c>
      <c r="K637" s="307">
        <f t="shared" ca="1" si="276"/>
        <v>931.02958387443289</v>
      </c>
      <c r="L637" s="304">
        <f t="shared" ca="1" si="261"/>
        <v>1009.8243689486405</v>
      </c>
      <c r="M637" s="306">
        <f t="shared" ca="1" si="277"/>
        <v>-1.4478196876466187</v>
      </c>
      <c r="N637" s="304">
        <f t="shared" ca="1" si="278"/>
        <v>-82.953957598100388</v>
      </c>
      <c r="P637" s="310">
        <f t="shared" ca="1" si="279"/>
        <v>23</v>
      </c>
      <c r="Q637" s="304">
        <f t="shared" ca="1" si="280"/>
        <v>0</v>
      </c>
      <c r="R637" s="306">
        <f t="shared" ca="1" si="281"/>
        <v>0</v>
      </c>
      <c r="S637" s="307">
        <f t="shared" ca="1" si="282"/>
        <v>7.9789999999999939</v>
      </c>
      <c r="T637" s="304">
        <f t="shared" ca="1" si="262"/>
        <v>78.273989999999941</v>
      </c>
      <c r="U637" s="311">
        <f t="shared" ca="1" si="263"/>
        <v>0</v>
      </c>
      <c r="V637" s="306">
        <f t="shared" ca="1" si="264"/>
        <v>1.1160219647174121</v>
      </c>
      <c r="W637" s="304">
        <f t="shared" ca="1" si="265"/>
        <v>27.539177111841877</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6.3343357970407688</v>
      </c>
      <c r="AH637" s="304">
        <f t="shared" ca="1" si="289"/>
        <v>-3.3999402611660812</v>
      </c>
    </row>
    <row r="638" spans="1:34" x14ac:dyDescent="0.2">
      <c r="A638" s="347">
        <f t="shared" ca="1" si="267"/>
        <v>0.1</v>
      </c>
      <c r="B638" s="304">
        <f t="shared" ca="1" si="268"/>
        <v>27.400000000000077</v>
      </c>
      <c r="D638" s="306">
        <f t="shared" ca="1" si="269"/>
        <v>-0.42337957637488338</v>
      </c>
      <c r="E638" s="307">
        <f t="shared" ca="1" si="270"/>
        <v>-6.3846085427301897</v>
      </c>
      <c r="F638" s="304">
        <f t="shared" ca="1" si="271"/>
        <v>6.3986308308570745</v>
      </c>
      <c r="G638" s="306">
        <f t="shared" ca="1" si="272"/>
        <v>10.982071939370329</v>
      </c>
      <c r="H638" s="307">
        <f t="shared" ca="1" si="273"/>
        <v>-89.832464509314647</v>
      </c>
      <c r="I638" s="304">
        <f t="shared" ca="1" si="274"/>
        <v>90.501257360871961</v>
      </c>
      <c r="J638" s="306">
        <f t="shared" ca="1" si="275"/>
        <v>392.16191779940937</v>
      </c>
      <c r="K638" s="307">
        <f t="shared" ca="1" si="276"/>
        <v>922.07826046621506</v>
      </c>
      <c r="L638" s="304">
        <f t="shared" ca="1" si="261"/>
        <v>1002.0076288115334</v>
      </c>
      <c r="M638" s="306">
        <f t="shared" ca="1" si="277"/>
        <v>-1.4491493517130749</v>
      </c>
      <c r="N638" s="304">
        <f t="shared" ca="1" si="278"/>
        <v>-83.030141737278527</v>
      </c>
      <c r="P638" s="310">
        <f t="shared" ca="1" si="279"/>
        <v>23</v>
      </c>
      <c r="Q638" s="304">
        <f t="shared" ca="1" si="280"/>
        <v>0</v>
      </c>
      <c r="R638" s="306">
        <f t="shared" ca="1" si="281"/>
        <v>0</v>
      </c>
      <c r="S638" s="307">
        <f t="shared" ca="1" si="282"/>
        <v>7.9789999999999939</v>
      </c>
      <c r="T638" s="304">
        <f t="shared" ca="1" si="262"/>
        <v>78.273989999999941</v>
      </c>
      <c r="U638" s="311">
        <f t="shared" ca="1" si="263"/>
        <v>0</v>
      </c>
      <c r="V638" s="306">
        <f t="shared" ca="1" si="264"/>
        <v>1.1170235499543588</v>
      </c>
      <c r="W638" s="304">
        <f t="shared" ca="1" si="265"/>
        <v>27.950777157987904</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6.2844566653046972</v>
      </c>
      <c r="AH638" s="304">
        <f t="shared" ca="1" si="289"/>
        <v>-3.4514572141674269</v>
      </c>
    </row>
    <row r="639" spans="1:34" x14ac:dyDescent="0.2">
      <c r="A639" s="347">
        <f t="shared" ca="1" si="267"/>
        <v>0.1</v>
      </c>
      <c r="B639" s="304">
        <f t="shared" ca="1" si="268"/>
        <v>27.500000000000078</v>
      </c>
      <c r="D639" s="306">
        <f t="shared" ca="1" si="269"/>
        <v>-0.4250843282114059</v>
      </c>
      <c r="E639" s="307">
        <f t="shared" ca="1" si="270"/>
        <v>-6.3328444105688089</v>
      </c>
      <c r="F639" s="304">
        <f t="shared" ca="1" si="271"/>
        <v>6.3470950059506395</v>
      </c>
      <c r="G639" s="306">
        <f t="shared" ca="1" si="272"/>
        <v>10.939563506549188</v>
      </c>
      <c r="H639" s="307">
        <f t="shared" ca="1" si="273"/>
        <v>-90.465748950371534</v>
      </c>
      <c r="I639" s="304">
        <f t="shared" ca="1" si="274"/>
        <v>91.124781387202631</v>
      </c>
      <c r="J639" s="306">
        <f t="shared" ca="1" si="275"/>
        <v>393.25799957170534</v>
      </c>
      <c r="K639" s="307">
        <f t="shared" ca="1" si="276"/>
        <v>913.06334979323071</v>
      </c>
      <c r="L639" s="304">
        <f t="shared" ca="1" si="261"/>
        <v>994.1511630344628</v>
      </c>
      <c r="M639" s="306">
        <f t="shared" ca="1" si="277"/>
        <v>-1.4504557099944249</v>
      </c>
      <c r="N639" s="304">
        <f t="shared" ca="1" si="278"/>
        <v>-83.104990553331845</v>
      </c>
      <c r="P639" s="310">
        <f t="shared" ca="1" si="279"/>
        <v>23</v>
      </c>
      <c r="Q639" s="304">
        <f t="shared" ca="1" si="280"/>
        <v>0</v>
      </c>
      <c r="R639" s="306">
        <f t="shared" ca="1" si="281"/>
        <v>0</v>
      </c>
      <c r="S639" s="307">
        <f t="shared" ca="1" si="282"/>
        <v>7.9789999999999939</v>
      </c>
      <c r="T639" s="304">
        <f t="shared" ca="1" si="262"/>
        <v>78.273989999999941</v>
      </c>
      <c r="U639" s="311">
        <f t="shared" ca="1" si="263"/>
        <v>0</v>
      </c>
      <c r="V639" s="306">
        <f t="shared" ca="1" si="264"/>
        <v>1.1180331166899309</v>
      </c>
      <c r="W639" s="304">
        <f t="shared" ca="1" si="265"/>
        <v>28.362858542549073</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6.2344627084337052</v>
      </c>
      <c r="AH639" s="304">
        <f t="shared" ca="1" si="289"/>
        <v>-3.503042631656589</v>
      </c>
    </row>
    <row r="640" spans="1:34" x14ac:dyDescent="0.2">
      <c r="A640" s="347">
        <f t="shared" ca="1" si="267"/>
        <v>0.1</v>
      </c>
      <c r="B640" s="304">
        <f t="shared" ca="1" si="268"/>
        <v>27.60000000000008</v>
      </c>
      <c r="D640" s="306">
        <f t="shared" ca="1" si="269"/>
        <v>-0.42674164623680677</v>
      </c>
      <c r="E640" s="307">
        <f t="shared" ca="1" si="270"/>
        <v>-6.281019834382306</v>
      </c>
      <c r="F640" s="304">
        <f t="shared" ca="1" si="271"/>
        <v>6.2954998683612748</v>
      </c>
      <c r="G640" s="306">
        <f t="shared" ca="1" si="272"/>
        <v>10.896889341925508</v>
      </c>
      <c r="H640" s="307">
        <f t="shared" ca="1" si="273"/>
        <v>-91.093850933809762</v>
      </c>
      <c r="I640" s="304">
        <f t="shared" ca="1" si="274"/>
        <v>91.74329335314556</v>
      </c>
      <c r="J640" s="306">
        <f t="shared" ca="1" si="275"/>
        <v>394.34982221412906</v>
      </c>
      <c r="K640" s="307">
        <f t="shared" ca="1" si="276"/>
        <v>903.98536979902167</v>
      </c>
      <c r="L640" s="304">
        <f t="shared" ca="1" si="261"/>
        <v>986.25621979837933</v>
      </c>
      <c r="M640" s="306">
        <f t="shared" ca="1" si="277"/>
        <v>-1.4517393944872494</v>
      </c>
      <c r="N640" s="304">
        <f t="shared" ca="1" si="278"/>
        <v>-83.178540256997081</v>
      </c>
      <c r="P640" s="310">
        <f t="shared" ca="1" si="279"/>
        <v>23</v>
      </c>
      <c r="Q640" s="304">
        <f t="shared" ca="1" si="280"/>
        <v>0</v>
      </c>
      <c r="R640" s="306">
        <f t="shared" ca="1" si="281"/>
        <v>0</v>
      </c>
      <c r="S640" s="307">
        <f t="shared" ca="1" si="282"/>
        <v>7.9789999999999939</v>
      </c>
      <c r="T640" s="304">
        <f t="shared" ca="1" si="262"/>
        <v>78.273989999999941</v>
      </c>
      <c r="U640" s="311">
        <f t="shared" ca="1" si="263"/>
        <v>0</v>
      </c>
      <c r="V640" s="306">
        <f t="shared" ca="1" si="264"/>
        <v>1.1190506263840303</v>
      </c>
      <c r="W640" s="304">
        <f t="shared" ca="1" si="265"/>
        <v>28.77535692842039</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6.1843637654946466</v>
      </c>
      <c r="AH640" s="304">
        <f t="shared" ca="1" si="289"/>
        <v>-3.5546883748024936</v>
      </c>
    </row>
    <row r="641" spans="1:34" x14ac:dyDescent="0.2">
      <c r="A641" s="347">
        <f t="shared" ca="1" si="267"/>
        <v>0.1</v>
      </c>
      <c r="B641" s="304">
        <f t="shared" ca="1" si="268"/>
        <v>27.700000000000081</v>
      </c>
      <c r="D641" s="306">
        <f t="shared" ca="1" si="269"/>
        <v>-0.42835167426457016</v>
      </c>
      <c r="E641" s="307">
        <f t="shared" ca="1" si="270"/>
        <v>-6.2291429004812073</v>
      </c>
      <c r="F641" s="304">
        <f t="shared" ca="1" si="271"/>
        <v>6.2438534921521569</v>
      </c>
      <c r="G641" s="306">
        <f t="shared" ca="1" si="272"/>
        <v>10.854054174499051</v>
      </c>
      <c r="H641" s="307">
        <f t="shared" ca="1" si="273"/>
        <v>-91.716765223857877</v>
      </c>
      <c r="I641" s="304">
        <f t="shared" ca="1" si="274"/>
        <v>92.356783806882447</v>
      </c>
      <c r="J641" s="306">
        <f t="shared" ca="1" si="275"/>
        <v>395.43736938995028</v>
      </c>
      <c r="K641" s="307">
        <f t="shared" ca="1" si="276"/>
        <v>894.84483899113832</v>
      </c>
      <c r="L641" s="304">
        <f t="shared" ca="1" si="261"/>
        <v>978.32407666331119</v>
      </c>
      <c r="M641" s="306">
        <f t="shared" ca="1" si="277"/>
        <v>-1.4530010144035235</v>
      </c>
      <c r="N641" s="304">
        <f t="shared" ca="1" si="278"/>
        <v>-83.250825753549236</v>
      </c>
      <c r="P641" s="310">
        <f t="shared" ca="1" si="279"/>
        <v>23</v>
      </c>
      <c r="Q641" s="304">
        <f t="shared" ca="1" si="280"/>
        <v>0</v>
      </c>
      <c r="R641" s="306">
        <f t="shared" ca="1" si="281"/>
        <v>0</v>
      </c>
      <c r="S641" s="307">
        <f t="shared" ca="1" si="282"/>
        <v>7.9789999999999939</v>
      </c>
      <c r="T641" s="304">
        <f t="shared" ca="1" si="262"/>
        <v>78.273989999999941</v>
      </c>
      <c r="U641" s="311">
        <f t="shared" ca="1" si="263"/>
        <v>0</v>
      </c>
      <c r="V641" s="306">
        <f t="shared" ca="1" si="264"/>
        <v>1.1200760404098724</v>
      </c>
      <c r="W641" s="304">
        <f t="shared" ca="1" si="265"/>
        <v>29.188208595427501</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6.1341695230155961</v>
      </c>
      <c r="AH641" s="304">
        <f t="shared" ca="1" si="289"/>
        <v>-3.6063863803008411</v>
      </c>
    </row>
    <row r="642" spans="1:34" x14ac:dyDescent="0.2">
      <c r="A642" s="347">
        <f t="shared" ca="1" si="267"/>
        <v>0.1</v>
      </c>
      <c r="B642" s="304">
        <f t="shared" ca="1" si="268"/>
        <v>27.800000000000082</v>
      </c>
      <c r="D642" s="306">
        <f t="shared" ca="1" si="269"/>
        <v>-0.42991456653003784</v>
      </c>
      <c r="E642" s="307">
        <f t="shared" ca="1" si="270"/>
        <v>-6.1772216177627506</v>
      </c>
      <c r="F642" s="304">
        <f t="shared" ca="1" si="271"/>
        <v>6.1921638745651881</v>
      </c>
      <c r="G642" s="306">
        <f t="shared" ca="1" si="272"/>
        <v>10.811062717846047</v>
      </c>
      <c r="H642" s="307">
        <f t="shared" ca="1" si="273"/>
        <v>-92.334487385634148</v>
      </c>
      <c r="I642" s="304">
        <f t="shared" ca="1" si="274"/>
        <v>92.965244246745414</v>
      </c>
      <c r="J642" s="306">
        <f t="shared" ca="1" si="275"/>
        <v>396.52062523456755</v>
      </c>
      <c r="K642" s="307">
        <f t="shared" ca="1" si="276"/>
        <v>885.64227636066369</v>
      </c>
      <c r="L642" s="304">
        <f t="shared" ca="1" si="261"/>
        <v>970.35604182882821</v>
      </c>
      <c r="M642" s="306">
        <f t="shared" ca="1" si="277"/>
        <v>-1.4542411571804537</v>
      </c>
      <c r="N642" s="304">
        <f t="shared" ca="1" si="278"/>
        <v>-83.321880700660969</v>
      </c>
      <c r="P642" s="310">
        <f t="shared" ca="1" si="279"/>
        <v>23</v>
      </c>
      <c r="Q642" s="304">
        <f t="shared" ca="1" si="280"/>
        <v>0</v>
      </c>
      <c r="R642" s="306">
        <f t="shared" ca="1" si="281"/>
        <v>0</v>
      </c>
      <c r="S642" s="307">
        <f t="shared" ca="1" si="282"/>
        <v>7.9789999999999939</v>
      </c>
      <c r="T642" s="304">
        <f t="shared" ca="1" si="262"/>
        <v>78.273989999999941</v>
      </c>
      <c r="U642" s="311">
        <f t="shared" ca="1" si="263"/>
        <v>0</v>
      </c>
      <c r="V642" s="306">
        <f t="shared" ca="1" si="264"/>
        <v>1.1211093200595734</v>
      </c>
      <c r="W642" s="304">
        <f t="shared" ca="1" si="265"/>
        <v>29.601350454137584</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6.0838895173252032</v>
      </c>
      <c r="AH642" s="304">
        <f t="shared" ca="1" si="289"/>
        <v>-3.6581286621666278</v>
      </c>
    </row>
    <row r="643" spans="1:34" x14ac:dyDescent="0.2">
      <c r="A643" s="347">
        <f t="shared" ca="1" si="267"/>
        <v>0.1</v>
      </c>
      <c r="B643" s="304">
        <f t="shared" ca="1" si="268"/>
        <v>27.900000000000084</v>
      </c>
      <c r="D643" s="306">
        <f t="shared" ca="1" si="269"/>
        <v>-0.43143048747134816</v>
      </c>
      <c r="E643" s="307">
        <f t="shared" ca="1" si="270"/>
        <v>-6.125263915966074</v>
      </c>
      <c r="F643" s="304">
        <f t="shared" ca="1" si="271"/>
        <v>6.1404389342909207</v>
      </c>
      <c r="G643" s="306">
        <f t="shared" ca="1" si="272"/>
        <v>10.767919669098912</v>
      </c>
      <c r="H643" s="307">
        <f t="shared" ca="1" si="273"/>
        <v>-92.947013777230751</v>
      </c>
      <c r="I643" s="304">
        <f t="shared" ca="1" si="274"/>
        <v>93.568667106595512</v>
      </c>
      <c r="J643" s="306">
        <f t="shared" ca="1" si="275"/>
        <v>397.59957435391482</v>
      </c>
      <c r="K643" s="307">
        <f t="shared" ca="1" si="276"/>
        <v>876.37820130252044</v>
      </c>
      <c r="L643" s="304">
        <f t="shared" ca="1" si="261"/>
        <v>962.35345546459973</v>
      </c>
      <c r="M643" s="306">
        <f t="shared" ca="1" si="277"/>
        <v>-1.455460389437413</v>
      </c>
      <c r="N643" s="304">
        <f t="shared" ca="1" si="278"/>
        <v>-83.391737563230947</v>
      </c>
      <c r="P643" s="310">
        <f t="shared" ca="1" si="279"/>
        <v>23</v>
      </c>
      <c r="Q643" s="304">
        <f t="shared" ca="1" si="280"/>
        <v>0</v>
      </c>
      <c r="R643" s="306">
        <f t="shared" ca="1" si="281"/>
        <v>0</v>
      </c>
      <c r="S643" s="307">
        <f t="shared" ca="1" si="282"/>
        <v>7.9789999999999939</v>
      </c>
      <c r="T643" s="304">
        <f t="shared" ca="1" si="262"/>
        <v>78.273989999999941</v>
      </c>
      <c r="U643" s="311">
        <f t="shared" ca="1" si="263"/>
        <v>0</v>
      </c>
      <c r="V643" s="306">
        <f t="shared" ca="1" si="264"/>
        <v>1.1221504265496969</v>
      </c>
      <c r="W643" s="304">
        <f t="shared" ca="1" si="265"/>
        <v>30.014720059178028</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6.033533136698475</v>
      </c>
      <c r="AH643" s="304">
        <f t="shared" ca="1" si="289"/>
        <v>-3.7099073134650467</v>
      </c>
    </row>
    <row r="644" spans="1:34" x14ac:dyDescent="0.2">
      <c r="A644" s="347">
        <f t="shared" ca="1" si="267"/>
        <v>0.1</v>
      </c>
      <c r="B644" s="304">
        <f t="shared" ca="1" si="268"/>
        <v>28.000000000000085</v>
      </c>
      <c r="D644" s="306">
        <f t="shared" ca="1" si="269"/>
        <v>-0.43289961151070988</v>
      </c>
      <c r="E644" s="307">
        <f t="shared" ca="1" si="270"/>
        <v>-6.0732776439898029</v>
      </c>
      <c r="F644" s="304">
        <f t="shared" ca="1" si="271"/>
        <v>6.0886865098009819</v>
      </c>
      <c r="G644" s="306">
        <f t="shared" ca="1" si="272"/>
        <v>10.724629707947841</v>
      </c>
      <c r="H644" s="307">
        <f t="shared" ca="1" si="273"/>
        <v>-93.554341541629725</v>
      </c>
      <c r="I644" s="304">
        <f t="shared" ca="1" si="274"/>
        <v>94.16704574138717</v>
      </c>
      <c r="J644" s="306">
        <f t="shared" ca="1" si="275"/>
        <v>398.67420182276715</v>
      </c>
      <c r="K644" s="307">
        <f t="shared" ca="1" si="276"/>
        <v>867.05313353657743</v>
      </c>
      <c r="L644" s="304">
        <f t="shared" ref="L644:L707" ca="1" si="290">SQRT(pos_x^2+pos_z^2)</f>
        <v>954.31769111476626</v>
      </c>
      <c r="M644" s="306">
        <f t="shared" ca="1" si="277"/>
        <v>-1.4566592578831594</v>
      </c>
      <c r="N644" s="304">
        <f t="shared" ca="1" si="278"/>
        <v>-83.460427665363625</v>
      </c>
      <c r="P644" s="310">
        <f t="shared" ca="1" si="279"/>
        <v>23</v>
      </c>
      <c r="Q644" s="304">
        <f t="shared" ca="1" si="280"/>
        <v>0</v>
      </c>
      <c r="R644" s="306">
        <f t="shared" ca="1" si="281"/>
        <v>0</v>
      </c>
      <c r="S644" s="307">
        <f t="shared" ca="1" si="282"/>
        <v>7.9789999999999939</v>
      </c>
      <c r="T644" s="304">
        <f t="shared" ref="T644:T707" ca="1" si="291">m*g</f>
        <v>78.273989999999941</v>
      </c>
      <c r="U644" s="311">
        <f t="shared" ref="U644:U707" ca="1" si="292">IF(pos_xz&lt;L_rampe,Poids*COS(Beta),0)</f>
        <v>0</v>
      </c>
      <c r="V644" s="306">
        <f t="shared" ref="V644:V707" ca="1" si="293">Rho_moyen*(20000-Alt_rampe-pos_z)/(20000+Alt_rampe+pos_z)</f>
        <v>1.1231993210267641</v>
      </c>
      <c r="W644" s="304">
        <f t="shared" ref="W644:W707" ca="1" si="294">1/2*Rho*Sref*Cx*vit_xz^2</f>
        <v>30.428255622063073</v>
      </c>
      <c r="Y644" s="314" t="str">
        <f t="shared" ca="1" si="283"/>
        <v/>
      </c>
      <c r="Z644" s="315" t="str">
        <f t="shared" ca="1" si="284"/>
        <v/>
      </c>
      <c r="AA644" s="316" t="str">
        <f t="shared" ca="1" si="285"/>
        <v/>
      </c>
      <c r="AC644" s="310">
        <f t="shared" ca="1" si="286"/>
        <v>28.000000000000085</v>
      </c>
      <c r="AD644" s="323">
        <f t="shared" ca="1" si="287"/>
        <v>398.67420182276715</v>
      </c>
      <c r="AE644" s="324" t="e">
        <f t="shared" ref="AE644:AE707" ca="1" si="295">IF(t&lt;T_para, pos_z, NA())</f>
        <v>#N/A</v>
      </c>
      <c r="AG644" s="306">
        <f t="shared" ca="1" si="288"/>
        <v>5.9831096233268308</v>
      </c>
      <c r="AH644" s="304">
        <f t="shared" ca="1" si="289"/>
        <v>-3.7617145079807059</v>
      </c>
    </row>
    <row r="645" spans="1:34" x14ac:dyDescent="0.2">
      <c r="A645" s="347">
        <f t="shared" ref="A645:A708" ca="1" si="296">IF(B644+0.01&lt;=T_ini+ROUNDUP(Temps_fin_propu,0), 0.01, IF(K644&gt;0, 0.1, 0.0001))</f>
        <v>0.1</v>
      </c>
      <c r="B645" s="304">
        <f t="shared" ref="B645:B708" ca="1" si="297">B644+pas</f>
        <v>28.100000000000087</v>
      </c>
      <c r="D645" s="306">
        <f t="shared" ref="D645:D708" ca="1" si="298">IF(AND(L644&lt;L_rampe,Poussee&lt;Poids*SIN(M644)),0,(-W644+Poussee)/m*COS(M644)-U644/m*SIN(M644))</f>
        <v>-0.43432212283602184</v>
      </c>
      <c r="E645" s="307">
        <f t="shared" ref="E645:E708" ca="1" si="299">IF(AND(L644&lt;L_rampe,Poussee&lt;Poids*SIN(M644)),0,(-W644+Poussee)/m*SIN(M644)+U644/m*COS(M644)-Poids/m)</f>
        <v>-6.0212705682719641</v>
      </c>
      <c r="F645" s="304">
        <f t="shared" ref="F645:F708" ca="1" si="300">SQRT(acc_x^2+acc_z^2)</f>
        <v>6.0369143577429494</v>
      </c>
      <c r="G645" s="306">
        <f t="shared" ref="G645:G708" ca="1" si="301">G644+acc_x*pas</f>
        <v>10.681197495664239</v>
      </c>
      <c r="H645" s="307">
        <f t="shared" ref="H645:H708" ca="1" si="302">H644+acc_z*pas</f>
        <v>-94.156468598456925</v>
      </c>
      <c r="I645" s="304">
        <f t="shared" ref="I645:I708" ca="1" si="303">SQRT(vit_x^2+vit_z^2)</f>
        <v>94.760374412903133</v>
      </c>
      <c r="J645" s="306">
        <f t="shared" ref="J645:J708" ca="1" si="304">J644+0.5*(vit_x+G644)*pas*(K644&gt;=0)</f>
        <v>399.74449318294774</v>
      </c>
      <c r="K645" s="307">
        <f t="shared" ref="K645:K708" ca="1" si="305">K644+0.5*(vit_z+H644)*pas</f>
        <v>857.66759302957314</v>
      </c>
      <c r="L645" s="304">
        <f t="shared" ca="1" si="290"/>
        <v>946.2501571800309</v>
      </c>
      <c r="M645" s="306">
        <f t="shared" ref="M645:M708" ca="1" si="306">IF(AND(L644&gt;L_rampe,G645&gt;0),ATAN2(G645,H645),$M$4)</f>
        <v>-1.4578382901763094</v>
      </c>
      <c r="N645" s="304">
        <f t="shared" ref="N645:N708" ca="1" si="307">DEGREES(Beta)</f>
        <v>-83.527981239670751</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7.9789999999999939</v>
      </c>
      <c r="T645" s="304">
        <f t="shared" ca="1" si="291"/>
        <v>78.273989999999941</v>
      </c>
      <c r="U645" s="311">
        <f t="shared" ca="1" si="292"/>
        <v>0</v>
      </c>
      <c r="V645" s="306">
        <f t="shared" ca="1" si="293"/>
        <v>1.1242559645727273</v>
      </c>
      <c r="W645" s="304">
        <f t="shared" ca="1" si="294"/>
        <v>30.841896023528562</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5.9326280751288056</v>
      </c>
      <c r="AH645" s="304">
        <f t="shared" ref="AH645:AH708" ca="1" si="318">IF(AND(L644&lt;L_rampe,Poussee&lt;Poids*SIN(M644)), g*SIN(M644), (-W644+Poussee)/m)</f>
        <v>-3.8135425018251783</v>
      </c>
    </row>
    <row r="646" spans="1:34" x14ac:dyDescent="0.2">
      <c r="A646" s="347">
        <f t="shared" ca="1" si="296"/>
        <v>0.1</v>
      </c>
      <c r="B646" s="304">
        <f t="shared" ca="1" si="297"/>
        <v>28.200000000000088</v>
      </c>
      <c r="D646" s="306">
        <f t="shared" ca="1" si="298"/>
        <v>-0.43569821518285429</v>
      </c>
      <c r="E646" s="307">
        <f t="shared" ca="1" si="299"/>
        <v>-5.9692503712321852</v>
      </c>
      <c r="F646" s="304">
        <f t="shared" ca="1" si="300"/>
        <v>5.9851301513976374</v>
      </c>
      <c r="G646" s="306">
        <f t="shared" ca="1" si="301"/>
        <v>10.637627674145953</v>
      </c>
      <c r="H646" s="307">
        <f t="shared" ca="1" si="302"/>
        <v>-94.753393635580139</v>
      </c>
      <c r="I646" s="304">
        <f t="shared" ca="1" si="303"/>
        <v>95.348648275646553</v>
      </c>
      <c r="J646" s="306">
        <f t="shared" ca="1" si="304"/>
        <v>400.81043444143825</v>
      </c>
      <c r="K646" s="307">
        <f t="shared" ca="1" si="305"/>
        <v>848.22209991787133</v>
      </c>
      <c r="L646" s="304">
        <f t="shared" ca="1" si="290"/>
        <v>938.15229848155127</v>
      </c>
      <c r="M646" s="306">
        <f t="shared" ca="1" si="306"/>
        <v>-1.458997995741834</v>
      </c>
      <c r="N646" s="304">
        <f t="shared" ca="1" si="307"/>
        <v>-83.594427474053134</v>
      </c>
      <c r="P646" s="310">
        <f t="shared" ca="1" si="308"/>
        <v>23</v>
      </c>
      <c r="Q646" s="304">
        <f t="shared" ca="1" si="309"/>
        <v>0</v>
      </c>
      <c r="R646" s="306">
        <f t="shared" ca="1" si="310"/>
        <v>0</v>
      </c>
      <c r="S646" s="307">
        <f t="shared" ca="1" si="311"/>
        <v>7.9789999999999939</v>
      </c>
      <c r="T646" s="304">
        <f t="shared" ca="1" si="291"/>
        <v>78.273989999999941</v>
      </c>
      <c r="U646" s="311">
        <f t="shared" ca="1" si="292"/>
        <v>0</v>
      </c>
      <c r="V646" s="306">
        <f t="shared" ca="1" si="293"/>
        <v>1.125320318210397</v>
      </c>
      <c r="W646" s="304">
        <f t="shared" ca="1" si="294"/>
        <v>31.25558082537562</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5.8820974474165482</v>
      </c>
      <c r="AH646" s="304">
        <f t="shared" ca="1" si="318"/>
        <v>-3.8653836349829032</v>
      </c>
    </row>
    <row r="647" spans="1:34" x14ac:dyDescent="0.2">
      <c r="A647" s="347">
        <f t="shared" ca="1" si="296"/>
        <v>0.1</v>
      </c>
      <c r="B647" s="304">
        <f t="shared" ca="1" si="297"/>
        <v>28.30000000000009</v>
      </c>
      <c r="D647" s="306">
        <f t="shared" ca="1" si="298"/>
        <v>-0.43702809161682682</v>
      </c>
      <c r="E647" s="307">
        <f t="shared" ca="1" si="299"/>
        <v>-5.9172246497760446</v>
      </c>
      <c r="F647" s="304">
        <f t="shared" ca="1" si="300"/>
        <v>5.9333414791986714</v>
      </c>
      <c r="G647" s="306">
        <f t="shared" ca="1" si="301"/>
        <v>10.59392486498427</v>
      </c>
      <c r="H647" s="307">
        <f t="shared" ca="1" si="302"/>
        <v>-95.345116100557746</v>
      </c>
      <c r="I647" s="304">
        <f t="shared" ca="1" si="303"/>
        <v>95.931863362877337</v>
      </c>
      <c r="J647" s="306">
        <f t="shared" ca="1" si="304"/>
        <v>401.87201206839478</v>
      </c>
      <c r="K647" s="307">
        <f t="shared" ca="1" si="305"/>
        <v>838.71717443106445</v>
      </c>
      <c r="L647" s="304">
        <f t="shared" ca="1" si="290"/>
        <v>930.02559791090084</v>
      </c>
      <c r="M647" s="306">
        <f t="shared" ca="1" si="306"/>
        <v>-1.4601388665461674</v>
      </c>
      <c r="N647" s="304">
        <f t="shared" ca="1" si="307"/>
        <v>-83.659794556111137</v>
      </c>
      <c r="P647" s="310">
        <f t="shared" ca="1" si="308"/>
        <v>23</v>
      </c>
      <c r="Q647" s="304">
        <f t="shared" ca="1" si="309"/>
        <v>0</v>
      </c>
      <c r="R647" s="306">
        <f t="shared" ca="1" si="310"/>
        <v>0</v>
      </c>
      <c r="S647" s="307">
        <f t="shared" ca="1" si="311"/>
        <v>7.9789999999999939</v>
      </c>
      <c r="T647" s="304">
        <f t="shared" ca="1" si="291"/>
        <v>78.273989999999941</v>
      </c>
      <c r="U647" s="311">
        <f t="shared" ca="1" si="292"/>
        <v>0</v>
      </c>
      <c r="V647" s="306">
        <f t="shared" ca="1" si="293"/>
        <v>1.1263923429088332</v>
      </c>
      <c r="W647" s="304">
        <f t="shared" ca="1" si="294"/>
        <v>31.66925028182402</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5.8315265544319494</v>
      </c>
      <c r="AH647" s="304">
        <f t="shared" ca="1" si="318"/>
        <v>-3.917230332795544</v>
      </c>
    </row>
    <row r="648" spans="1:34" x14ac:dyDescent="0.2">
      <c r="A648" s="347">
        <f t="shared" ca="1" si="296"/>
        <v>0.1</v>
      </c>
      <c r="B648" s="304">
        <f t="shared" ca="1" si="297"/>
        <v>28.400000000000091</v>
      </c>
      <c r="D648" s="306">
        <f t="shared" ca="1" si="298"/>
        <v>-0.43831196431639635</v>
      </c>
      <c r="E648" s="307">
        <f t="shared" ca="1" si="299"/>
        <v>-5.8652009138614574</v>
      </c>
      <c r="F648" s="304">
        <f t="shared" ca="1" si="300"/>
        <v>5.8815558433142652</v>
      </c>
      <c r="G648" s="306">
        <f t="shared" ca="1" si="301"/>
        <v>10.550093668552631</v>
      </c>
      <c r="H648" s="307">
        <f t="shared" ca="1" si="302"/>
        <v>-95.931636191943895</v>
      </c>
      <c r="I648" s="304">
        <f t="shared" ca="1" si="303"/>
        <v>96.510016572782291</v>
      </c>
      <c r="J648" s="306">
        <f t="shared" ca="1" si="304"/>
        <v>402.92921299507162</v>
      </c>
      <c r="K648" s="307">
        <f t="shared" ca="1" si="305"/>
        <v>829.15333681643938</v>
      </c>
      <c r="L648" s="304">
        <f t="shared" ca="1" si="290"/>
        <v>921.87157817055163</v>
      </c>
      <c r="M648" s="306">
        <f t="shared" ca="1" si="306"/>
        <v>-1.4612613778333383</v>
      </c>
      <c r="N648" s="304">
        <f t="shared" ca="1" si="307"/>
        <v>-83.724109715321831</v>
      </c>
      <c r="P648" s="310">
        <f t="shared" ca="1" si="308"/>
        <v>23</v>
      </c>
      <c r="Q648" s="304">
        <f t="shared" ca="1" si="309"/>
        <v>0</v>
      </c>
      <c r="R648" s="306">
        <f t="shared" ca="1" si="310"/>
        <v>0</v>
      </c>
      <c r="S648" s="307">
        <f t="shared" ca="1" si="311"/>
        <v>7.9789999999999939</v>
      </c>
      <c r="T648" s="304">
        <f t="shared" ca="1" si="291"/>
        <v>78.273989999999941</v>
      </c>
      <c r="U648" s="311">
        <f t="shared" ca="1" si="292"/>
        <v>0</v>
      </c>
      <c r="V648" s="306">
        <f t="shared" ca="1" si="293"/>
        <v>1.1274719995886902</v>
      </c>
      <c r="W648" s="304">
        <f t="shared" ca="1" si="294"/>
        <v>32.082845350377212</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5.7809240707653107</v>
      </c>
      <c r="AH648" s="304">
        <f t="shared" ca="1" si="318"/>
        <v>-3.9690751073848909</v>
      </c>
    </row>
    <row r="649" spans="1:34" x14ac:dyDescent="0.2">
      <c r="A649" s="347">
        <f t="shared" ca="1" si="296"/>
        <v>0.1</v>
      </c>
      <c r="B649" s="304">
        <f t="shared" ca="1" si="297"/>
        <v>28.500000000000092</v>
      </c>
      <c r="D649" s="306">
        <f t="shared" ca="1" si="298"/>
        <v>-0.43955005435611466</v>
      </c>
      <c r="E649" s="307">
        <f t="shared" ca="1" si="299"/>
        <v>-5.8131865851267994</v>
      </c>
      <c r="F649" s="304">
        <f t="shared" ca="1" si="300"/>
        <v>5.8297806582908969</v>
      </c>
      <c r="G649" s="306">
        <f t="shared" ca="1" si="301"/>
        <v>10.506138663117019</v>
      </c>
      <c r="H649" s="307">
        <f t="shared" ca="1" si="302"/>
        <v>-96.51295485045658</v>
      </c>
      <c r="I649" s="304">
        <f t="shared" ca="1" si="303"/>
        <v>97.083105654768346</v>
      </c>
      <c r="J649" s="306">
        <f t="shared" ca="1" si="304"/>
        <v>403.98202461165511</v>
      </c>
      <c r="K649" s="307">
        <f t="shared" ca="1" si="305"/>
        <v>819.5311072643193</v>
      </c>
      <c r="L649" s="304">
        <f t="shared" ca="1" si="290"/>
        <v>913.69180360951748</v>
      </c>
      <c r="M649" s="306">
        <f t="shared" ca="1" si="306"/>
        <v>-1.4623659888243814</v>
      </c>
      <c r="N649" s="304">
        <f t="shared" ca="1" si="307"/>
        <v>-83.787399263112363</v>
      </c>
      <c r="P649" s="310">
        <f t="shared" ca="1" si="308"/>
        <v>23</v>
      </c>
      <c r="Q649" s="304">
        <f t="shared" ca="1" si="309"/>
        <v>0</v>
      </c>
      <c r="R649" s="306">
        <f t="shared" ca="1" si="310"/>
        <v>0</v>
      </c>
      <c r="S649" s="307">
        <f t="shared" ca="1" si="311"/>
        <v>7.9789999999999939</v>
      </c>
      <c r="T649" s="304">
        <f t="shared" ca="1" si="291"/>
        <v>78.273989999999941</v>
      </c>
      <c r="U649" s="311">
        <f t="shared" ca="1" si="292"/>
        <v>0</v>
      </c>
      <c r="V649" s="306">
        <f t="shared" ca="1" si="293"/>
        <v>1.1285592491275174</v>
      </c>
      <c r="W649" s="304">
        <f t="shared" ca="1" si="294"/>
        <v>32.496307702200006</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5.7302985326682014</v>
      </c>
      <c r="AH649" s="304">
        <f t="shared" ca="1" si="318"/>
        <v>-4.0209105590145677</v>
      </c>
    </row>
    <row r="650" spans="1:34" x14ac:dyDescent="0.2">
      <c r="A650" s="347">
        <f t="shared" ca="1" si="296"/>
        <v>0.1</v>
      </c>
      <c r="B650" s="304">
        <f t="shared" ca="1" si="297"/>
        <v>28.600000000000094</v>
      </c>
      <c r="D650" s="306">
        <f t="shared" ca="1" si="298"/>
        <v>-0.4407425914903747</v>
      </c>
      <c r="E650" s="307">
        <f t="shared" ca="1" si="299"/>
        <v>-5.7611889955806515</v>
      </c>
      <c r="F650" s="304">
        <f t="shared" ca="1" si="300"/>
        <v>5.7780232497588004</v>
      </c>
      <c r="G650" s="306">
        <f t="shared" ca="1" si="301"/>
        <v>10.462064403967982</v>
      </c>
      <c r="H650" s="307">
        <f t="shared" ca="1" si="302"/>
        <v>-97.089073750014649</v>
      </c>
      <c r="I650" s="304">
        <f t="shared" ca="1" si="303"/>
        <v>97.651129195870325</v>
      </c>
      <c r="J650" s="306">
        <f t="shared" ca="1" si="304"/>
        <v>405.03043476500937</v>
      </c>
      <c r="K650" s="307">
        <f t="shared" ca="1" si="305"/>
        <v>809.85100583429573</v>
      </c>
      <c r="L650" s="304">
        <f t="shared" ca="1" si="290"/>
        <v>905.487882158979</v>
      </c>
      <c r="M650" s="306">
        <f t="shared" ca="1" si="306"/>
        <v>-1.4634531433821376</v>
      </c>
      <c r="N650" s="304">
        <f t="shared" ca="1" si="307"/>
        <v>-83.849688630950212</v>
      </c>
      <c r="P650" s="310">
        <f t="shared" ca="1" si="308"/>
        <v>23</v>
      </c>
      <c r="Q650" s="304">
        <f t="shared" ca="1" si="309"/>
        <v>0</v>
      </c>
      <c r="R650" s="306">
        <f t="shared" ca="1" si="310"/>
        <v>0</v>
      </c>
      <c r="S650" s="307">
        <f t="shared" ca="1" si="311"/>
        <v>7.9789999999999939</v>
      </c>
      <c r="T650" s="304">
        <f t="shared" ca="1" si="291"/>
        <v>78.273989999999941</v>
      </c>
      <c r="U650" s="311">
        <f t="shared" ca="1" si="292"/>
        <v>0</v>
      </c>
      <c r="V650" s="306">
        <f t="shared" ca="1" si="293"/>
        <v>1.1296540523650196</v>
      </c>
      <c r="W650" s="304">
        <f t="shared" ca="1" si="294"/>
        <v>32.909579732011608</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5.679658339271521</v>
      </c>
      <c r="AH650" s="304">
        <f t="shared" ca="1" si="318"/>
        <v>-4.0727293773906545</v>
      </c>
    </row>
    <row r="651" spans="1:34" x14ac:dyDescent="0.2">
      <c r="A651" s="347">
        <f t="shared" ca="1" si="296"/>
        <v>0.1</v>
      </c>
      <c r="B651" s="304">
        <f t="shared" ca="1" si="297"/>
        <v>28.700000000000095</v>
      </c>
      <c r="D651" s="306">
        <f t="shared" ca="1" si="298"/>
        <v>-0.44188981393770527</v>
      </c>
      <c r="E651" s="307">
        <f t="shared" ca="1" si="299"/>
        <v>-5.7092153863527866</v>
      </c>
      <c r="F651" s="304">
        <f t="shared" ca="1" si="300"/>
        <v>5.7262908531988925</v>
      </c>
      <c r="G651" s="306">
        <f t="shared" ca="1" si="301"/>
        <v>10.417875422574213</v>
      </c>
      <c r="H651" s="307">
        <f t="shared" ca="1" si="302"/>
        <v>-97.659995288649924</v>
      </c>
      <c r="I651" s="304">
        <f t="shared" ca="1" si="303"/>
        <v>98.214086607265259</v>
      </c>
      <c r="J651" s="306">
        <f t="shared" ca="1" si="304"/>
        <v>406.07443175633648</v>
      </c>
      <c r="K651" s="307">
        <f t="shared" ca="1" si="305"/>
        <v>800.11355238236251</v>
      </c>
      <c r="L651" s="304">
        <f t="shared" ca="1" si="290"/>
        <v>897.26146737289184</v>
      </c>
      <c r="M651" s="306">
        <f t="shared" ca="1" si="306"/>
        <v>-1.4645232706434137</v>
      </c>
      <c r="N651" s="304">
        <f t="shared" ca="1" si="307"/>
        <v>-83.911002406563227</v>
      </c>
      <c r="P651" s="310">
        <f t="shared" ca="1" si="308"/>
        <v>23</v>
      </c>
      <c r="Q651" s="304">
        <f t="shared" ca="1" si="309"/>
        <v>0</v>
      </c>
      <c r="R651" s="306">
        <f t="shared" ca="1" si="310"/>
        <v>0</v>
      </c>
      <c r="S651" s="307">
        <f t="shared" ca="1" si="311"/>
        <v>7.9789999999999939</v>
      </c>
      <c r="T651" s="304">
        <f t="shared" ca="1" si="291"/>
        <v>78.273989999999941</v>
      </c>
      <c r="U651" s="311">
        <f t="shared" ca="1" si="292"/>
        <v>0</v>
      </c>
      <c r="V651" s="306">
        <f t="shared" ca="1" si="293"/>
        <v>1.130756370108265</v>
      </c>
      <c r="W651" s="304">
        <f t="shared" ca="1" si="294"/>
        <v>33.322604567496079</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5.6290117537186282</v>
      </c>
      <c r="AH651" s="304">
        <f t="shared" ca="1" si="318"/>
        <v>-4.1245243429015703</v>
      </c>
    </row>
    <row r="652" spans="1:34" x14ac:dyDescent="0.2">
      <c r="A652" s="347">
        <f t="shared" ca="1" si="296"/>
        <v>0.1</v>
      </c>
      <c r="B652" s="304">
        <f t="shared" ca="1" si="297"/>
        <v>28.800000000000097</v>
      </c>
      <c r="D652" s="306">
        <f t="shared" ca="1" si="298"/>
        <v>-0.44299196816565867</v>
      </c>
      <c r="E652" s="307">
        <f t="shared" ca="1" si="299"/>
        <v>-5.6572729065061127</v>
      </c>
      <c r="F652" s="304">
        <f t="shared" ca="1" si="300"/>
        <v>5.6745906127708814</v>
      </c>
      <c r="G652" s="306">
        <f t="shared" ca="1" si="301"/>
        <v>10.373576225757647</v>
      </c>
      <c r="H652" s="307">
        <f t="shared" ca="1" si="302"/>
        <v>-98.225722579300538</v>
      </c>
      <c r="I652" s="304">
        <f t="shared" ca="1" si="303"/>
        <v>98.771978110885868</v>
      </c>
      <c r="J652" s="306">
        <f t="shared" ca="1" si="304"/>
        <v>407.11400433875309</v>
      </c>
      <c r="K652" s="307">
        <f t="shared" ca="1" si="305"/>
        <v>790.31926648896501</v>
      </c>
      <c r="L652" s="304">
        <f t="shared" ca="1" si="290"/>
        <v>889.01426057875472</v>
      </c>
      <c r="M652" s="306">
        <f t="shared" ca="1" si="306"/>
        <v>-1.4655767856203468</v>
      </c>
      <c r="N652" s="304">
        <f t="shared" ca="1" si="307"/>
        <v>-83.971364368395314</v>
      </c>
      <c r="P652" s="310">
        <f t="shared" ca="1" si="308"/>
        <v>23</v>
      </c>
      <c r="Q652" s="304">
        <f t="shared" ca="1" si="309"/>
        <v>0</v>
      </c>
      <c r="R652" s="306">
        <f t="shared" ca="1" si="310"/>
        <v>0</v>
      </c>
      <c r="S652" s="307">
        <f t="shared" ca="1" si="311"/>
        <v>7.9789999999999939</v>
      </c>
      <c r="T652" s="304">
        <f t="shared" ca="1" si="291"/>
        <v>78.273989999999941</v>
      </c>
      <c r="U652" s="311">
        <f t="shared" ca="1" si="292"/>
        <v>0</v>
      </c>
      <c r="V652" s="306">
        <f t="shared" ca="1" si="293"/>
        <v>1.1318661631368514</v>
      </c>
      <c r="W652" s="304">
        <f t="shared" ca="1" si="294"/>
        <v>33.735326078233065</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5.5783669042228272</v>
      </c>
      <c r="AH652" s="304">
        <f t="shared" ca="1" si="318"/>
        <v>-4.1762883277974812</v>
      </c>
    </row>
    <row r="653" spans="1:34" x14ac:dyDescent="0.2">
      <c r="A653" s="347">
        <f t="shared" ca="1" si="296"/>
        <v>0.1</v>
      </c>
      <c r="B653" s="304">
        <f t="shared" ca="1" si="297"/>
        <v>28.900000000000098</v>
      </c>
      <c r="D653" s="306">
        <f t="shared" ca="1" si="298"/>
        <v>-0.44404930867634584</v>
      </c>
      <c r="E653" s="307">
        <f t="shared" ca="1" si="299"/>
        <v>-5.6053686119092161</v>
      </c>
      <c r="F653" s="304">
        <f t="shared" ca="1" si="300"/>
        <v>5.622929580202209</v>
      </c>
      <c r="G653" s="306">
        <f t="shared" ca="1" si="301"/>
        <v>10.329171294890013</v>
      </c>
      <c r="H653" s="307">
        <f t="shared" ca="1" si="302"/>
        <v>-98.786259440491463</v>
      </c>
      <c r="I653" s="304">
        <f t="shared" ca="1" si="303"/>
        <v>99.324804726127041</v>
      </c>
      <c r="J653" s="306">
        <f t="shared" ca="1" si="304"/>
        <v>408.14914171478546</v>
      </c>
      <c r="K653" s="307">
        <f t="shared" ca="1" si="305"/>
        <v>780.46866738797542</v>
      </c>
      <c r="L653" s="304">
        <f t="shared" ca="1" si="290"/>
        <v>880.74801314387207</v>
      </c>
      <c r="M653" s="306">
        <f t="shared" ca="1" si="306"/>
        <v>-1.4666140897727034</v>
      </c>
      <c r="N653" s="304">
        <f t="shared" ca="1" si="307"/>
        <v>-84.030797518396739</v>
      </c>
      <c r="P653" s="310">
        <f t="shared" ca="1" si="308"/>
        <v>23</v>
      </c>
      <c r="Q653" s="304">
        <f t="shared" ca="1" si="309"/>
        <v>0</v>
      </c>
      <c r="R653" s="306">
        <f t="shared" ca="1" si="310"/>
        <v>0</v>
      </c>
      <c r="S653" s="307">
        <f t="shared" ca="1" si="311"/>
        <v>7.9789999999999939</v>
      </c>
      <c r="T653" s="304">
        <f t="shared" ca="1" si="291"/>
        <v>78.273989999999941</v>
      </c>
      <c r="U653" s="311">
        <f t="shared" ca="1" si="292"/>
        <v>0</v>
      </c>
      <c r="V653" s="306">
        <f t="shared" ca="1" si="293"/>
        <v>1.1329833922080212</v>
      </c>
      <c r="W653" s="304">
        <f t="shared" ca="1" si="294"/>
        <v>34.14768888415162</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5.527731785057675</v>
      </c>
      <c r="AH653" s="304">
        <f t="shared" ca="1" si="318"/>
        <v>-4.2280142973095742</v>
      </c>
    </row>
    <row r="654" spans="1:34" x14ac:dyDescent="0.2">
      <c r="A654" s="347">
        <f t="shared" ca="1" si="296"/>
        <v>0.1</v>
      </c>
      <c r="B654" s="304">
        <f t="shared" ca="1" si="297"/>
        <v>29.000000000000099</v>
      </c>
      <c r="D654" s="306">
        <f t="shared" ca="1" si="298"/>
        <v>-0.44506209779266276</v>
      </c>
      <c r="E654" s="307">
        <f t="shared" ca="1" si="299"/>
        <v>-5.5535094641691192</v>
      </c>
      <c r="F654" s="304">
        <f t="shared" ca="1" si="300"/>
        <v>5.5713147137374657</v>
      </c>
      <c r="G654" s="306">
        <f t="shared" ca="1" si="301"/>
        <v>10.284665085110747</v>
      </c>
      <c r="H654" s="307">
        <f t="shared" ca="1" si="302"/>
        <v>-99.341610386908371</v>
      </c>
      <c r="I654" s="304">
        <f t="shared" ca="1" si="303"/>
        <v>99.872568256639909</v>
      </c>
      <c r="J654" s="306">
        <f t="shared" ca="1" si="304"/>
        <v>409.17983353378548</v>
      </c>
      <c r="K654" s="307">
        <f t="shared" ca="1" si="305"/>
        <v>770.56227389660546</v>
      </c>
      <c r="L654" s="304">
        <f t="shared" ca="1" si="290"/>
        <v>872.46452886260283</v>
      </c>
      <c r="M654" s="306">
        <f t="shared" ca="1" si="306"/>
        <v>-1.4676355715527272</v>
      </c>
      <c r="N654" s="304">
        <f t="shared" ca="1" si="307"/>
        <v>-84.089324113241616</v>
      </c>
      <c r="P654" s="310">
        <f t="shared" ca="1" si="308"/>
        <v>23</v>
      </c>
      <c r="Q654" s="304">
        <f t="shared" ca="1" si="309"/>
        <v>0</v>
      </c>
      <c r="R654" s="306">
        <f t="shared" ca="1" si="310"/>
        <v>0</v>
      </c>
      <c r="S654" s="307">
        <f t="shared" ca="1" si="311"/>
        <v>7.9789999999999939</v>
      </c>
      <c r="T654" s="304">
        <f t="shared" ca="1" si="291"/>
        <v>78.273989999999941</v>
      </c>
      <c r="U654" s="311">
        <f t="shared" ca="1" si="292"/>
        <v>0</v>
      </c>
      <c r="V654" s="306">
        <f t="shared" ca="1" si="293"/>
        <v>1.134108018061732</v>
      </c>
      <c r="W654" s="304">
        <f t="shared" ca="1" si="294"/>
        <v>34.55963836351085</v>
      </c>
      <c r="Y654" s="314" t="str">
        <f t="shared" ca="1" si="312"/>
        <v/>
      </c>
      <c r="Z654" s="315" t="str">
        <f t="shared" ca="1" si="313"/>
        <v/>
      </c>
      <c r="AA654" s="316" t="str">
        <f t="shared" ca="1" si="314"/>
        <v/>
      </c>
      <c r="AC654" s="310">
        <f t="shared" ca="1" si="315"/>
        <v>29.000000000000099</v>
      </c>
      <c r="AD654" s="323">
        <f t="shared" ca="1" si="316"/>
        <v>409.17983353378548</v>
      </c>
      <c r="AE654" s="324" t="e">
        <f t="shared" ca="1" si="295"/>
        <v>#N/A</v>
      </c>
      <c r="AG654" s="306">
        <f t="shared" ca="1" si="317"/>
        <v>5.4771142574878962</v>
      </c>
      <c r="AH654" s="304">
        <f t="shared" ca="1" si="318"/>
        <v>-4.2796953107095685</v>
      </c>
    </row>
    <row r="655" spans="1:34" x14ac:dyDescent="0.2">
      <c r="A655" s="347">
        <f t="shared" ca="1" si="296"/>
        <v>0.1</v>
      </c>
      <c r="B655" s="304">
        <f t="shared" ca="1" si="297"/>
        <v>29.100000000000101</v>
      </c>
      <c r="D655" s="306">
        <f t="shared" ca="1" si="298"/>
        <v>-0.44603060544528716</v>
      </c>
      <c r="E655" s="307">
        <f t="shared" ca="1" si="299"/>
        <v>-5.5017023296237539</v>
      </c>
      <c r="F655" s="304">
        <f t="shared" ca="1" si="300"/>
        <v>5.5197528771477922</v>
      </c>
      <c r="G655" s="306">
        <f t="shared" ca="1" si="301"/>
        <v>10.240062024566219</v>
      </c>
      <c r="H655" s="307">
        <f t="shared" ca="1" si="302"/>
        <v>-99.891780619870744</v>
      </c>
      <c r="I655" s="304">
        <f t="shared" ca="1" si="303"/>
        <v>100.41527127720838</v>
      </c>
      <c r="J655" s="306">
        <f t="shared" ca="1" si="304"/>
        <v>410.20606988926932</v>
      </c>
      <c r="K655" s="307">
        <f t="shared" ca="1" si="305"/>
        <v>760.60060434626655</v>
      </c>
      <c r="L655" s="304">
        <f t="shared" ca="1" si="290"/>
        <v>864.16566647021216</v>
      </c>
      <c r="M655" s="306">
        <f t="shared" ca="1" si="306"/>
        <v>-1.4686416069240562</v>
      </c>
      <c r="N655" s="304">
        <f t="shared" ca="1" si="307"/>
        <v>-84.146965694059645</v>
      </c>
      <c r="P655" s="310">
        <f t="shared" ca="1" si="308"/>
        <v>23</v>
      </c>
      <c r="Q655" s="304">
        <f t="shared" ca="1" si="309"/>
        <v>0</v>
      </c>
      <c r="R655" s="306">
        <f t="shared" ca="1" si="310"/>
        <v>0</v>
      </c>
      <c r="S655" s="307">
        <f t="shared" ca="1" si="311"/>
        <v>7.9789999999999939</v>
      </c>
      <c r="T655" s="304">
        <f t="shared" ca="1" si="291"/>
        <v>78.273989999999941</v>
      </c>
      <c r="U655" s="311">
        <f t="shared" ca="1" si="292"/>
        <v>0</v>
      </c>
      <c r="V655" s="306">
        <f t="shared" ca="1" si="293"/>
        <v>1.1352400014256703</v>
      </c>
      <c r="W655" s="304">
        <f t="shared" ca="1" si="294"/>
        <v>34.971120660410421</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5.4265220506481109</v>
      </c>
      <c r="AH655" s="304">
        <f t="shared" ca="1" si="318"/>
        <v>-4.3313245223099228</v>
      </c>
    </row>
    <row r="656" spans="1:34" x14ac:dyDescent="0.2">
      <c r="A656" s="347">
        <f t="shared" ca="1" si="296"/>
        <v>0.1</v>
      </c>
      <c r="B656" s="304">
        <f t="shared" ca="1" si="297"/>
        <v>29.200000000000102</v>
      </c>
      <c r="D656" s="306">
        <f t="shared" ca="1" si="298"/>
        <v>-0.44695510896048085</v>
      </c>
      <c r="E656" s="307">
        <f t="shared" ca="1" si="299"/>
        <v>-5.4499539783937925</v>
      </c>
      <c r="F656" s="304">
        <f t="shared" ca="1" si="300"/>
        <v>5.4682508387999356</v>
      </c>
      <c r="G656" s="306">
        <f t="shared" ca="1" si="301"/>
        <v>10.195366513670171</v>
      </c>
      <c r="H656" s="307">
        <f t="shared" ca="1" si="302"/>
        <v>-100.43677601771012</v>
      </c>
      <c r="I656" s="304">
        <f t="shared" ca="1" si="303"/>
        <v>100.95291712070403</v>
      </c>
      <c r="J656" s="306">
        <f t="shared" ca="1" si="304"/>
        <v>411.22784131618113</v>
      </c>
      <c r="K656" s="307">
        <f t="shared" ca="1" si="305"/>
        <v>750.58417651438754</v>
      </c>
      <c r="L656" s="304">
        <f t="shared" ca="1" si="290"/>
        <v>855.85334228905572</v>
      </c>
      <c r="M656" s="306">
        <f t="shared" ca="1" si="306"/>
        <v>-1.4696325598561288</v>
      </c>
      <c r="N656" s="304">
        <f t="shared" ca="1" si="307"/>
        <v>-84.203743114763512</v>
      </c>
      <c r="P656" s="310">
        <f t="shared" ca="1" si="308"/>
        <v>23</v>
      </c>
      <c r="Q656" s="304">
        <f t="shared" ca="1" si="309"/>
        <v>0</v>
      </c>
      <c r="R656" s="306">
        <f t="shared" ca="1" si="310"/>
        <v>0</v>
      </c>
      <c r="S656" s="307">
        <f t="shared" ca="1" si="311"/>
        <v>7.9789999999999939</v>
      </c>
      <c r="T656" s="304">
        <f t="shared" ca="1" si="291"/>
        <v>78.273989999999941</v>
      </c>
      <c r="U656" s="311">
        <f t="shared" ca="1" si="292"/>
        <v>0</v>
      </c>
      <c r="V656" s="306">
        <f t="shared" ca="1" si="293"/>
        <v>1.1363793030202223</v>
      </c>
      <c r="W656" s="304">
        <f t="shared" ca="1" si="294"/>
        <v>35.382082691835336</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5.3759627623759583</v>
      </c>
      <c r="AH656" s="304">
        <f t="shared" ca="1" si="318"/>
        <v>-4.382895182405119</v>
      </c>
    </row>
    <row r="657" spans="1:34" x14ac:dyDescent="0.2">
      <c r="A657" s="347">
        <f t="shared" ca="1" si="296"/>
        <v>0.1</v>
      </c>
      <c r="B657" s="304">
        <f t="shared" ca="1" si="297"/>
        <v>29.300000000000104</v>
      </c>
      <c r="D657" s="306">
        <f t="shared" ca="1" si="298"/>
        <v>-0.44783589284877467</v>
      </c>
      <c r="E657" s="307">
        <f t="shared" ca="1" si="299"/>
        <v>-5.3982710834932242</v>
      </c>
      <c r="F657" s="304">
        <f t="shared" ca="1" si="300"/>
        <v>5.4168152707843715</v>
      </c>
      <c r="G657" s="306">
        <f t="shared" ca="1" si="301"/>
        <v>10.150582924385294</v>
      </c>
      <c r="H657" s="307">
        <f t="shared" ca="1" si="302"/>
        <v>-100.97660312605944</v>
      </c>
      <c r="I657" s="304">
        <f t="shared" ca="1" si="303"/>
        <v>101.48550986511592</v>
      </c>
      <c r="J657" s="306">
        <f t="shared" ca="1" si="304"/>
        <v>412.24513878808392</v>
      </c>
      <c r="K657" s="307">
        <f t="shared" ca="1" si="305"/>
        <v>740.51350755719909</v>
      </c>
      <c r="L657" s="304">
        <f t="shared" ca="1" si="290"/>
        <v>847.52953301290484</v>
      </c>
      <c r="M657" s="306">
        <f t="shared" ca="1" si="306"/>
        <v>-1.470608782795414</v>
      </c>
      <c r="N657" s="304">
        <f t="shared" ca="1" si="307"/>
        <v>-84.259676569048409</v>
      </c>
      <c r="P657" s="310">
        <f t="shared" ca="1" si="308"/>
        <v>23</v>
      </c>
      <c r="Q657" s="304">
        <f t="shared" ca="1" si="309"/>
        <v>0</v>
      </c>
      <c r="R657" s="306">
        <f t="shared" ca="1" si="310"/>
        <v>0</v>
      </c>
      <c r="S657" s="307">
        <f t="shared" ca="1" si="311"/>
        <v>7.9789999999999939</v>
      </c>
      <c r="T657" s="304">
        <f t="shared" ca="1" si="291"/>
        <v>78.273989999999941</v>
      </c>
      <c r="U657" s="311">
        <f t="shared" ca="1" si="292"/>
        <v>0</v>
      </c>
      <c r="V657" s="306">
        <f t="shared" ca="1" si="293"/>
        <v>1.1375258835633901</v>
      </c>
      <c r="W657" s="304">
        <f t="shared" ca="1" si="294"/>
        <v>35.792472154238929</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5.325443860005727</v>
      </c>
      <c r="AH657" s="304">
        <f t="shared" ca="1" si="318"/>
        <v>-4.4344006381545764</v>
      </c>
    </row>
    <row r="658" spans="1:34" x14ac:dyDescent="0.2">
      <c r="A658" s="347">
        <f t="shared" ca="1" si="296"/>
        <v>0.1</v>
      </c>
      <c r="B658" s="304">
        <f t="shared" ca="1" si="297"/>
        <v>29.400000000000105</v>
      </c>
      <c r="D658" s="306">
        <f t="shared" ca="1" si="298"/>
        <v>-0.44867324859459085</v>
      </c>
      <c r="E658" s="307">
        <f t="shared" ca="1" si="299"/>
        <v>-5.3466602199982072</v>
      </c>
      <c r="F658" s="304">
        <f t="shared" ca="1" si="300"/>
        <v>5.3654527481020367</v>
      </c>
      <c r="G658" s="306">
        <f t="shared" ca="1" si="301"/>
        <v>10.105715599525835</v>
      </c>
      <c r="H658" s="307">
        <f t="shared" ca="1" si="302"/>
        <v>-101.51126914805927</v>
      </c>
      <c r="I658" s="304">
        <f t="shared" ca="1" si="303"/>
        <v>102.01305432065168</v>
      </c>
      <c r="J658" s="306">
        <f t="shared" ca="1" si="304"/>
        <v>413.25795371427949</v>
      </c>
      <c r="K658" s="307">
        <f t="shared" ca="1" si="305"/>
        <v>730.38911394349316</v>
      </c>
      <c r="L658" s="304">
        <f t="shared" ca="1" si="290"/>
        <v>839.19627863526341</v>
      </c>
      <c r="M658" s="306">
        <f t="shared" ca="1" si="306"/>
        <v>-1.4715706171147163</v>
      </c>
      <c r="N658" s="304">
        <f t="shared" ca="1" si="307"/>
        <v>-84.314785616135268</v>
      </c>
      <c r="P658" s="310">
        <f t="shared" ca="1" si="308"/>
        <v>23</v>
      </c>
      <c r="Q658" s="304">
        <f t="shared" ca="1" si="309"/>
        <v>0</v>
      </c>
      <c r="R658" s="306">
        <f t="shared" ca="1" si="310"/>
        <v>0</v>
      </c>
      <c r="S658" s="307">
        <f t="shared" ca="1" si="311"/>
        <v>7.9789999999999939</v>
      </c>
      <c r="T658" s="304">
        <f t="shared" ca="1" si="291"/>
        <v>78.273989999999941</v>
      </c>
      <c r="U658" s="311">
        <f t="shared" ca="1" si="292"/>
        <v>0</v>
      </c>
      <c r="V658" s="306">
        <f t="shared" ca="1" si="293"/>
        <v>1.1386797037756542</v>
      </c>
      <c r="W658" s="304">
        <f t="shared" ca="1" si="294"/>
        <v>36.202237529668274</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5.274972681128034</v>
      </c>
      <c r="AH658" s="304">
        <f t="shared" ca="1" si="318"/>
        <v>-4.4858343344076896</v>
      </c>
    </row>
    <row r="659" spans="1:34" x14ac:dyDescent="0.2">
      <c r="A659" s="347">
        <f t="shared" ca="1" si="296"/>
        <v>0.1</v>
      </c>
      <c r="B659" s="304">
        <f t="shared" ca="1" si="297"/>
        <v>29.500000000000107</v>
      </c>
      <c r="D659" s="306">
        <f t="shared" ca="1" si="298"/>
        <v>-0.44946747444686941</v>
      </c>
      <c r="E659" s="307">
        <f t="shared" ca="1" si="299"/>
        <v>-5.2951278642736179</v>
      </c>
      <c r="F659" s="304">
        <f t="shared" ca="1" si="300"/>
        <v>5.3141697479091246</v>
      </c>
      <c r="G659" s="306">
        <f t="shared" ca="1" si="301"/>
        <v>10.060768852081148</v>
      </c>
      <c r="H659" s="307">
        <f t="shared" ca="1" si="302"/>
        <v>-102.04078193448663</v>
      </c>
      <c r="I659" s="304">
        <f t="shared" ca="1" si="303"/>
        <v>102.53555601690792</v>
      </c>
      <c r="J659" s="306">
        <f t="shared" ca="1" si="304"/>
        <v>414.26627793685986</v>
      </c>
      <c r="K659" s="307">
        <f t="shared" ca="1" si="305"/>
        <v>720.21151138936591</v>
      </c>
      <c r="L659" s="304">
        <f t="shared" ca="1" si="290"/>
        <v>830.85568552752557</v>
      </c>
      <c r="M659" s="306">
        <f t="shared" ca="1" si="306"/>
        <v>-1.4725183935417341</v>
      </c>
      <c r="N659" s="304">
        <f t="shared" ca="1" si="307"/>
        <v>-84.36908920532538</v>
      </c>
      <c r="P659" s="310">
        <f t="shared" ca="1" si="308"/>
        <v>23</v>
      </c>
      <c r="Q659" s="304">
        <f t="shared" ca="1" si="309"/>
        <v>0</v>
      </c>
      <c r="R659" s="306">
        <f t="shared" ca="1" si="310"/>
        <v>0</v>
      </c>
      <c r="S659" s="307">
        <f t="shared" ca="1" si="311"/>
        <v>7.9789999999999939</v>
      </c>
      <c r="T659" s="304">
        <f t="shared" ca="1" si="291"/>
        <v>78.273989999999941</v>
      </c>
      <c r="U659" s="311">
        <f t="shared" ca="1" si="292"/>
        <v>0</v>
      </c>
      <c r="V659" s="306">
        <f t="shared" ca="1" si="293"/>
        <v>1.1398407243847857</v>
      </c>
      <c r="W659" s="304">
        <f t="shared" ca="1" si="294"/>
        <v>36.611328091437116</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5.224556434320724</v>
      </c>
      <c r="AH659" s="304">
        <f t="shared" ca="1" si="318"/>
        <v>-4.5371898144715255</v>
      </c>
    </row>
    <row r="660" spans="1:34" x14ac:dyDescent="0.2">
      <c r="A660" s="347">
        <f t="shared" ca="1" si="296"/>
        <v>0.1</v>
      </c>
      <c r="B660" s="304">
        <f t="shared" ca="1" si="297"/>
        <v>29.600000000000108</v>
      </c>
      <c r="D660" s="306">
        <f t="shared" ca="1" si="298"/>
        <v>-0.45021887521075654</v>
      </c>
      <c r="E660" s="307">
        <f t="shared" ca="1" si="299"/>
        <v>-5.24368039325668</v>
      </c>
      <c r="F660" s="304">
        <f t="shared" ca="1" si="300"/>
        <v>5.2629726488193507</v>
      </c>
      <c r="G660" s="306">
        <f t="shared" ca="1" si="301"/>
        <v>10.015746964560073</v>
      </c>
      <c r="H660" s="307">
        <f t="shared" ca="1" si="302"/>
        <v>-102.5651499738123</v>
      </c>
      <c r="I660" s="304">
        <f t="shared" ca="1" si="303"/>
        <v>103.0530211901073</v>
      </c>
      <c r="J660" s="306">
        <f t="shared" ca="1" si="304"/>
        <v>415.27010372769195</v>
      </c>
      <c r="K660" s="307">
        <f t="shared" ca="1" si="305"/>
        <v>709.98121479395093</v>
      </c>
      <c r="L660" s="304">
        <f t="shared" ca="1" si="290"/>
        <v>822.50992967276841</v>
      </c>
      <c r="M660" s="306">
        <f t="shared" ca="1" si="306"/>
        <v>-1.473452432567973</v>
      </c>
      <c r="N660" s="304">
        <f t="shared" ca="1" si="307"/>
        <v>-84.422605699429383</v>
      </c>
      <c r="P660" s="310">
        <f t="shared" ca="1" si="308"/>
        <v>23</v>
      </c>
      <c r="Q660" s="304">
        <f t="shared" ca="1" si="309"/>
        <v>0</v>
      </c>
      <c r="R660" s="306">
        <f t="shared" ca="1" si="310"/>
        <v>0</v>
      </c>
      <c r="S660" s="307">
        <f t="shared" ca="1" si="311"/>
        <v>7.9789999999999939</v>
      </c>
      <c r="T660" s="304">
        <f t="shared" ca="1" si="291"/>
        <v>78.273989999999941</v>
      </c>
      <c r="U660" s="311">
        <f t="shared" ca="1" si="292"/>
        <v>0</v>
      </c>
      <c r="V660" s="306">
        <f t="shared" ca="1" si="293"/>
        <v>1.1410089061306041</v>
      </c>
      <c r="W660" s="304">
        <f t="shared" ca="1" si="294"/>
        <v>37.019693909350906</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5.174202199855662</v>
      </c>
      <c r="AH660" s="304">
        <f t="shared" ca="1" si="318"/>
        <v>-4.5884607208218</v>
      </c>
    </row>
    <row r="661" spans="1:34" x14ac:dyDescent="0.2">
      <c r="A661" s="347">
        <f t="shared" ca="1" si="296"/>
        <v>0.1</v>
      </c>
      <c r="B661" s="304">
        <f t="shared" ca="1" si="297"/>
        <v>29.700000000000109</v>
      </c>
      <c r="D661" s="306">
        <f t="shared" ca="1" si="298"/>
        <v>-0.45092776204042506</v>
      </c>
      <c r="E661" s="307">
        <f t="shared" ca="1" si="299"/>
        <v>-5.1923240837970628</v>
      </c>
      <c r="F661" s="304">
        <f t="shared" ca="1" si="300"/>
        <v>5.211867730263096</v>
      </c>
      <c r="G661" s="306">
        <f t="shared" ca="1" si="301"/>
        <v>9.9706541883560309</v>
      </c>
      <c r="H661" s="307">
        <f t="shared" ca="1" si="302"/>
        <v>-103.084382382192</v>
      </c>
      <c r="I661" s="304">
        <f t="shared" ca="1" si="303"/>
        <v>103.56545677040081</v>
      </c>
      <c r="J661" s="306">
        <f t="shared" ca="1" si="304"/>
        <v>416.26942378533778</v>
      </c>
      <c r="K661" s="307">
        <f t="shared" ca="1" si="305"/>
        <v>699.69873817615075</v>
      </c>
      <c r="L661" s="304">
        <f t="shared" ca="1" si="290"/>
        <v>814.16126006085221</v>
      </c>
      <c r="M661" s="306">
        <f t="shared" ca="1" si="306"/>
        <v>-1.4743730448390528</v>
      </c>
      <c r="N661" s="304">
        <f t="shared" ca="1" si="307"/>
        <v>-84.475352897130207</v>
      </c>
      <c r="P661" s="310">
        <f t="shared" ca="1" si="308"/>
        <v>23</v>
      </c>
      <c r="Q661" s="304">
        <f t="shared" ca="1" si="309"/>
        <v>0</v>
      </c>
      <c r="R661" s="306">
        <f t="shared" ca="1" si="310"/>
        <v>0</v>
      </c>
      <c r="S661" s="307">
        <f t="shared" ca="1" si="311"/>
        <v>7.9789999999999939</v>
      </c>
      <c r="T661" s="304">
        <f t="shared" ca="1" si="291"/>
        <v>78.273989999999941</v>
      </c>
      <c r="U661" s="311">
        <f t="shared" ca="1" si="292"/>
        <v>0</v>
      </c>
      <c r="V661" s="306">
        <f t="shared" ca="1" si="293"/>
        <v>1.1421842097696824</v>
      </c>
      <c r="W661" s="304">
        <f t="shared" ca="1" si="294"/>
        <v>37.427285854489213</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5.1239169303857386</v>
      </c>
      <c r="AH661" s="304">
        <f t="shared" ca="1" si="318"/>
        <v>-4.6396407957577308</v>
      </c>
    </row>
    <row r="662" spans="1:34" x14ac:dyDescent="0.2">
      <c r="A662" s="347">
        <f t="shared" ca="1" si="296"/>
        <v>0.1</v>
      </c>
      <c r="B662" s="304">
        <f t="shared" ca="1" si="297"/>
        <v>29.800000000000111</v>
      </c>
      <c r="D662" s="306">
        <f t="shared" ca="1" si="298"/>
        <v>-0.45159445223309119</v>
      </c>
      <c r="E662" s="307">
        <f t="shared" ca="1" si="299"/>
        <v>-5.1410651120527868</v>
      </c>
      <c r="F662" s="304">
        <f t="shared" ca="1" si="300"/>
        <v>5.160861171902809</v>
      </c>
      <c r="G662" s="306">
        <f t="shared" ca="1" si="301"/>
        <v>9.9254947431327221</v>
      </c>
      <c r="H662" s="307">
        <f t="shared" ca="1" si="302"/>
        <v>-103.59848889339729</v>
      </c>
      <c r="I662" s="304">
        <f t="shared" ca="1" si="303"/>
        <v>104.07287036923367</v>
      </c>
      <c r="J662" s="306">
        <f t="shared" ca="1" si="304"/>
        <v>417.26423123191222</v>
      </c>
      <c r="K662" s="307">
        <f t="shared" ca="1" si="305"/>
        <v>689.36459461237132</v>
      </c>
      <c r="L662" s="304">
        <f t="shared" ca="1" si="290"/>
        <v>805.81200225030011</v>
      </c>
      <c r="M662" s="306">
        <f t="shared" ca="1" si="306"/>
        <v>-1.4752805315273867</v>
      </c>
      <c r="N662" s="304">
        <f t="shared" ca="1" si="307"/>
        <v>-84.527348054336045</v>
      </c>
      <c r="P662" s="310">
        <f t="shared" ca="1" si="308"/>
        <v>23</v>
      </c>
      <c r="Q662" s="304">
        <f t="shared" ca="1" si="309"/>
        <v>0</v>
      </c>
      <c r="R662" s="306">
        <f t="shared" ca="1" si="310"/>
        <v>0</v>
      </c>
      <c r="S662" s="307">
        <f t="shared" ca="1" si="311"/>
        <v>7.9789999999999939</v>
      </c>
      <c r="T662" s="304">
        <f t="shared" ca="1" si="291"/>
        <v>78.273989999999941</v>
      </c>
      <c r="U662" s="311">
        <f t="shared" ca="1" si="292"/>
        <v>0</v>
      </c>
      <c r="V662" s="306">
        <f t="shared" ca="1" si="293"/>
        <v>1.1433665960799917</v>
      </c>
      <c r="W662" s="304">
        <f t="shared" ca="1" si="294"/>
        <v>37.834055603550738</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5.073707451616027</v>
      </c>
      <c r="AH662" s="304">
        <f t="shared" ca="1" si="318"/>
        <v>-4.690723882001409</v>
      </c>
    </row>
    <row r="663" spans="1:34" x14ac:dyDescent="0.2">
      <c r="A663" s="347">
        <f t="shared" ca="1" si="296"/>
        <v>0.1</v>
      </c>
      <c r="B663" s="304">
        <f t="shared" ca="1" si="297"/>
        <v>29.900000000000112</v>
      </c>
      <c r="D663" s="306">
        <f t="shared" ca="1" si="298"/>
        <v>-0.4522192690242835</v>
      </c>
      <c r="E663" s="307">
        <f t="shared" ca="1" si="299"/>
        <v>-5.0899095529412675</v>
      </c>
      <c r="F663" s="304">
        <f t="shared" ca="1" si="300"/>
        <v>5.10995905310401</v>
      </c>
      <c r="G663" s="306">
        <f t="shared" ca="1" si="301"/>
        <v>9.8802728162302937</v>
      </c>
      <c r="H663" s="307">
        <f t="shared" ca="1" si="302"/>
        <v>-104.10747984869141</v>
      </c>
      <c r="I663" s="304">
        <f t="shared" ca="1" si="303"/>
        <v>104.57527026677401</v>
      </c>
      <c r="J663" s="306">
        <f t="shared" ca="1" si="304"/>
        <v>418.25451960988039</v>
      </c>
      <c r="K663" s="307">
        <f t="shared" ca="1" si="305"/>
        <v>678.97929617526688</v>
      </c>
      <c r="L663" s="304">
        <f t="shared" ca="1" si="290"/>
        <v>797.4645621021366</v>
      </c>
      <c r="M663" s="306">
        <f t="shared" ca="1" si="306"/>
        <v>-1.4761751846881475</v>
      </c>
      <c r="N663" s="304">
        <f t="shared" ca="1" si="307"/>
        <v>-84.578607904575676</v>
      </c>
      <c r="P663" s="310">
        <f t="shared" ca="1" si="308"/>
        <v>23</v>
      </c>
      <c r="Q663" s="304">
        <f t="shared" ca="1" si="309"/>
        <v>0</v>
      </c>
      <c r="R663" s="306">
        <f t="shared" ca="1" si="310"/>
        <v>0</v>
      </c>
      <c r="S663" s="307">
        <f t="shared" ca="1" si="311"/>
        <v>7.9789999999999939</v>
      </c>
      <c r="T663" s="304">
        <f t="shared" ca="1" si="291"/>
        <v>78.273989999999941</v>
      </c>
      <c r="U663" s="311">
        <f t="shared" ca="1" si="292"/>
        <v>0</v>
      </c>
      <c r="V663" s="306">
        <f t="shared" ca="1" si="293"/>
        <v>1.144556025865499</v>
      </c>
      <c r="W663" s="304">
        <f t="shared" ca="1" si="294"/>
        <v>38.239955642766802</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5.0235804629627649</v>
      </c>
      <c r="AH663" s="304">
        <f t="shared" ca="1" si="318"/>
        <v>-4.7417039232423575</v>
      </c>
    </row>
    <row r="664" spans="1:34" x14ac:dyDescent="0.2">
      <c r="A664" s="347">
        <f t="shared" ca="1" si="296"/>
        <v>0.1</v>
      </c>
      <c r="B664" s="304">
        <f t="shared" ca="1" si="297"/>
        <v>30.000000000000114</v>
      </c>
      <c r="D664" s="306">
        <f t="shared" ca="1" si="298"/>
        <v>-0.45280254138443943</v>
      </c>
      <c r="E664" s="307">
        <f t="shared" ca="1" si="299"/>
        <v>-5.0388633796447531</v>
      </c>
      <c r="F664" s="304">
        <f t="shared" ca="1" si="300"/>
        <v>5.0591673524611886</v>
      </c>
      <c r="G664" s="306">
        <f t="shared" ca="1" si="301"/>
        <v>9.8349925620918501</v>
      </c>
      <c r="H664" s="307">
        <f t="shared" ca="1" si="302"/>
        <v>-104.61136618665589</v>
      </c>
      <c r="I664" s="304">
        <f t="shared" ca="1" si="303"/>
        <v>105.07266539940353</v>
      </c>
      <c r="J664" s="306">
        <f t="shared" ca="1" si="304"/>
        <v>419.24028287879651</v>
      </c>
      <c r="K664" s="307">
        <f t="shared" ca="1" si="305"/>
        <v>668.54335387349954</v>
      </c>
      <c r="L664" s="304">
        <f t="shared" ca="1" si="290"/>
        <v>789.12142969046306</v>
      </c>
      <c r="M664" s="306">
        <f t="shared" ca="1" si="306"/>
        <v>-1.4770572875993875</v>
      </c>
      <c r="N664" s="304">
        <f t="shared" ca="1" si="307"/>
        <v>-84.629148678485933</v>
      </c>
      <c r="P664" s="310">
        <f t="shared" ca="1" si="308"/>
        <v>23</v>
      </c>
      <c r="Q664" s="304">
        <f t="shared" ca="1" si="309"/>
        <v>0</v>
      </c>
      <c r="R664" s="306">
        <f t="shared" ca="1" si="310"/>
        <v>0</v>
      </c>
      <c r="S664" s="307">
        <f t="shared" ca="1" si="311"/>
        <v>7.9789999999999939</v>
      </c>
      <c r="T664" s="304">
        <f t="shared" ca="1" si="291"/>
        <v>78.273989999999941</v>
      </c>
      <c r="U664" s="311">
        <f t="shared" ca="1" si="292"/>
        <v>0</v>
      </c>
      <c r="V664" s="306">
        <f t="shared" ca="1" si="293"/>
        <v>1.1457524599607014</v>
      </c>
      <c r="W664" s="304">
        <f t="shared" ca="1" si="294"/>
        <v>38.644939271388651</v>
      </c>
      <c r="Y664" s="314" t="str">
        <f t="shared" ca="1" si="312"/>
        <v/>
      </c>
      <c r="Z664" s="315" t="str">
        <f t="shared" ca="1" si="313"/>
        <v/>
      </c>
      <c r="AA664" s="316" t="str">
        <f t="shared" ca="1" si="314"/>
        <v/>
      </c>
      <c r="AC664" s="310">
        <f t="shared" ca="1" si="315"/>
        <v>30.000000000000114</v>
      </c>
      <c r="AD664" s="323">
        <f t="shared" ca="1" si="316"/>
        <v>419.24028287879651</v>
      </c>
      <c r="AE664" s="324" t="e">
        <f t="shared" ca="1" si="295"/>
        <v>#N/A</v>
      </c>
      <c r="AG664" s="306">
        <f t="shared" ca="1" si="317"/>
        <v>4.97354253820337</v>
      </c>
      <c r="AH664" s="304">
        <f t="shared" ca="1" si="318"/>
        <v>-4.7925749646280025</v>
      </c>
    </row>
    <row r="665" spans="1:34" x14ac:dyDescent="0.2">
      <c r="A665" s="347">
        <f t="shared" ca="1" si="296"/>
        <v>0.1</v>
      </c>
      <c r="B665" s="304">
        <f t="shared" ca="1" si="297"/>
        <v>30.100000000000115</v>
      </c>
      <c r="D665" s="306">
        <f t="shared" ca="1" si="298"/>
        <v>-0.45334460381688763</v>
      </c>
      <c r="E665" s="307">
        <f t="shared" ca="1" si="299"/>
        <v>-4.987932463169467</v>
      </c>
      <c r="F665" s="304">
        <f t="shared" ca="1" si="300"/>
        <v>5.0084919473779443</v>
      </c>
      <c r="G665" s="306">
        <f t="shared" ca="1" si="301"/>
        <v>9.7896581017101614</v>
      </c>
      <c r="H665" s="307">
        <f t="shared" ca="1" si="302"/>
        <v>-105.11015943297284</v>
      </c>
      <c r="I665" s="304">
        <f t="shared" ca="1" si="303"/>
        <v>105.56506534726982</v>
      </c>
      <c r="J665" s="306">
        <f t="shared" ca="1" si="304"/>
        <v>420.22151541198662</v>
      </c>
      <c r="K665" s="307">
        <f t="shared" ca="1" si="305"/>
        <v>658.05727759251806</v>
      </c>
      <c r="L665" s="304">
        <f t="shared" ca="1" si="290"/>
        <v>780.78518339401319</v>
      </c>
      <c r="M665" s="306">
        <f t="shared" ca="1" si="306"/>
        <v>-1.4779271150871269</v>
      </c>
      <c r="N665" s="304">
        <f t="shared" ca="1" si="307"/>
        <v>-84.678986122437863</v>
      </c>
      <c r="P665" s="310">
        <f t="shared" ca="1" si="308"/>
        <v>23</v>
      </c>
      <c r="Q665" s="304">
        <f t="shared" ca="1" si="309"/>
        <v>0</v>
      </c>
      <c r="R665" s="306">
        <f t="shared" ca="1" si="310"/>
        <v>0</v>
      </c>
      <c r="S665" s="307">
        <f t="shared" ca="1" si="311"/>
        <v>7.9789999999999939</v>
      </c>
      <c r="T665" s="304">
        <f t="shared" ca="1" si="291"/>
        <v>78.273989999999941</v>
      </c>
      <c r="U665" s="311">
        <f t="shared" ca="1" si="292"/>
        <v>0</v>
      </c>
      <c r="V665" s="306">
        <f t="shared" ca="1" si="293"/>
        <v>1.1469558592351063</v>
      </c>
      <c r="W665" s="304">
        <f t="shared" ca="1" si="294"/>
        <v>39.048960604754953</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4.9236001261205544</v>
      </c>
      <c r="AH665" s="304">
        <f t="shared" ca="1" si="318"/>
        <v>-4.8433311532007366</v>
      </c>
    </row>
    <row r="666" spans="1:34" x14ac:dyDescent="0.2">
      <c r="A666" s="347">
        <f t="shared" ca="1" si="296"/>
        <v>0.1</v>
      </c>
      <c r="B666" s="304">
        <f t="shared" ca="1" si="297"/>
        <v>30.200000000000117</v>
      </c>
      <c r="D666" s="306">
        <f t="shared" ca="1" si="298"/>
        <v>-0.45384579615727061</v>
      </c>
      <c r="E666" s="307">
        <f t="shared" ca="1" si="299"/>
        <v>-4.9371225719576639</v>
      </c>
      <c r="F666" s="304">
        <f t="shared" ca="1" si="300"/>
        <v>4.9579386137006063</v>
      </c>
      <c r="G666" s="306">
        <f t="shared" ca="1" si="301"/>
        <v>9.744273522094435</v>
      </c>
      <c r="H666" s="307">
        <f t="shared" ca="1" si="302"/>
        <v>-105.6038716901686</v>
      </c>
      <c r="I666" s="304">
        <f t="shared" ca="1" si="303"/>
        <v>106.05248032189999</v>
      </c>
      <c r="J666" s="306">
        <f t="shared" ca="1" si="304"/>
        <v>421.19821199317687</v>
      </c>
      <c r="K666" s="307">
        <f t="shared" ca="1" si="305"/>
        <v>647.52157603636101</v>
      </c>
      <c r="L666" s="304">
        <f t="shared" ca="1" si="290"/>
        <v>772.45849417225133</v>
      </c>
      <c r="M666" s="306">
        <f t="shared" ca="1" si="306"/>
        <v>-1.4787849338361727</v>
      </c>
      <c r="N666" s="304">
        <f t="shared" ca="1" si="307"/>
        <v>-84.72813551634539</v>
      </c>
      <c r="P666" s="310">
        <f t="shared" ca="1" si="308"/>
        <v>23</v>
      </c>
      <c r="Q666" s="304">
        <f t="shared" ca="1" si="309"/>
        <v>0</v>
      </c>
      <c r="R666" s="306">
        <f t="shared" ca="1" si="310"/>
        <v>0</v>
      </c>
      <c r="S666" s="307">
        <f t="shared" ca="1" si="311"/>
        <v>7.9789999999999939</v>
      </c>
      <c r="T666" s="304">
        <f t="shared" ca="1" si="291"/>
        <v>78.273989999999941</v>
      </c>
      <c r="U666" s="311">
        <f t="shared" ca="1" si="292"/>
        <v>0</v>
      </c>
      <c r="V666" s="306">
        <f t="shared" ca="1" si="293"/>
        <v>1.1481661845976565</v>
      </c>
      <c r="W666" s="304">
        <f t="shared" ca="1" si="294"/>
        <v>39.451974576945418</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4.8737595511432819</v>
      </c>
      <c r="AH666" s="304">
        <f t="shared" ca="1" si="318"/>
        <v>-4.8939667382823639</v>
      </c>
    </row>
    <row r="667" spans="1:34" x14ac:dyDescent="0.2">
      <c r="A667" s="347">
        <f t="shared" ca="1" si="296"/>
        <v>0.1</v>
      </c>
      <c r="B667" s="304">
        <f t="shared" ca="1" si="297"/>
        <v>30.300000000000118</v>
      </c>
      <c r="D667" s="306">
        <f t="shared" ca="1" si="298"/>
        <v>-0.45430646337449199</v>
      </c>
      <c r="E667" s="307">
        <f t="shared" ca="1" si="299"/>
        <v>-4.8864393715518331</v>
      </c>
      <c r="F667" s="304">
        <f t="shared" ca="1" si="300"/>
        <v>4.9075130254045902</v>
      </c>
      <c r="G667" s="306">
        <f t="shared" ca="1" si="301"/>
        <v>9.698842875756986</v>
      </c>
      <c r="H667" s="307">
        <f t="shared" ca="1" si="302"/>
        <v>-106.09251562732379</v>
      </c>
      <c r="I667" s="304">
        <f t="shared" ca="1" si="303"/>
        <v>106.53492115387594</v>
      </c>
      <c r="J667" s="306">
        <f t="shared" ca="1" si="304"/>
        <v>422.17036781306945</v>
      </c>
      <c r="K667" s="307">
        <f t="shared" ca="1" si="305"/>
        <v>636.93675667048637</v>
      </c>
      <c r="L667" s="304">
        <f t="shared" ca="1" si="290"/>
        <v>764.14413002871436</v>
      </c>
      <c r="M667" s="306">
        <f t="shared" ca="1" si="306"/>
        <v>-1.4796310026873962</v>
      </c>
      <c r="N667" s="304">
        <f t="shared" ca="1" si="307"/>
        <v>-84.776611690697976</v>
      </c>
      <c r="P667" s="310">
        <f t="shared" ca="1" si="308"/>
        <v>23</v>
      </c>
      <c r="Q667" s="304">
        <f t="shared" ca="1" si="309"/>
        <v>0</v>
      </c>
      <c r="R667" s="306">
        <f t="shared" ca="1" si="310"/>
        <v>0</v>
      </c>
      <c r="S667" s="307">
        <f t="shared" ca="1" si="311"/>
        <v>7.9789999999999939</v>
      </c>
      <c r="T667" s="304">
        <f t="shared" ca="1" si="291"/>
        <v>78.273989999999941</v>
      </c>
      <c r="U667" s="311">
        <f t="shared" ca="1" si="292"/>
        <v>0</v>
      </c>
      <c r="V667" s="306">
        <f t="shared" ca="1" si="293"/>
        <v>1.1493833970010938</v>
      </c>
      <c r="W667" s="304">
        <f t="shared" ca="1" si="294"/>
        <v>39.853936943026838</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4.8240270139870107</v>
      </c>
      <c r="AH667" s="304">
        <f t="shared" ca="1" si="318"/>
        <v>-4.9444760718066734</v>
      </c>
    </row>
    <row r="668" spans="1:34" x14ac:dyDescent="0.2">
      <c r="A668" s="347">
        <f t="shared" ca="1" si="296"/>
        <v>0.1</v>
      </c>
      <c r="B668" s="304">
        <f t="shared" ca="1" si="297"/>
        <v>30.400000000000119</v>
      </c>
      <c r="D668" s="306">
        <f t="shared" ca="1" si="298"/>
        <v>-0.45472695537322222</v>
      </c>
      <c r="E668" s="307">
        <f t="shared" ca="1" si="299"/>
        <v>-4.835888424310248</v>
      </c>
      <c r="F668" s="304">
        <f t="shared" ca="1" si="300"/>
        <v>4.8572207543327552</v>
      </c>
      <c r="G668" s="306">
        <f t="shared" ca="1" si="301"/>
        <v>9.6533701802196639</v>
      </c>
      <c r="H668" s="307">
        <f t="shared" ca="1" si="302"/>
        <v>-106.57610446975481</v>
      </c>
      <c r="I668" s="304">
        <f t="shared" ca="1" si="303"/>
        <v>107.01239928057143</v>
      </c>
      <c r="J668" s="306">
        <f t="shared" ca="1" si="304"/>
        <v>423.13797846586829</v>
      </c>
      <c r="K668" s="307">
        <f t="shared" ca="1" si="305"/>
        <v>626.30332566563243</v>
      </c>
      <c r="L668" s="304">
        <f t="shared" ca="1" si="290"/>
        <v>755.84496066323868</v>
      </c>
      <c r="M668" s="306">
        <f t="shared" ca="1" si="306"/>
        <v>-1.4804655729221459</v>
      </c>
      <c r="N668" s="304">
        <f t="shared" ca="1" si="307"/>
        <v>-84.824429042856366</v>
      </c>
      <c r="P668" s="310">
        <f t="shared" ca="1" si="308"/>
        <v>23</v>
      </c>
      <c r="Q668" s="304">
        <f t="shared" ca="1" si="309"/>
        <v>0</v>
      </c>
      <c r="R668" s="306">
        <f t="shared" ca="1" si="310"/>
        <v>0</v>
      </c>
      <c r="S668" s="307">
        <f t="shared" ca="1" si="311"/>
        <v>7.9789999999999939</v>
      </c>
      <c r="T668" s="304">
        <f t="shared" ca="1" si="291"/>
        <v>78.273989999999941</v>
      </c>
      <c r="U668" s="311">
        <f t="shared" ca="1" si="292"/>
        <v>0</v>
      </c>
      <c r="V668" s="306">
        <f t="shared" ca="1" si="293"/>
        <v>1.1506074574462666</v>
      </c>
      <c r="W668" s="304">
        <f t="shared" ca="1" si="294"/>
        <v>40.254804280898199</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4.7744085922955382</v>
      </c>
      <c r="AH668" s="304">
        <f t="shared" ca="1" si="318"/>
        <v>-4.9948536086009359</v>
      </c>
    </row>
    <row r="669" spans="1:34" x14ac:dyDescent="0.2">
      <c r="A669" s="347">
        <f t="shared" ca="1" si="296"/>
        <v>0.1</v>
      </c>
      <c r="B669" s="304">
        <f t="shared" ca="1" si="297"/>
        <v>30.500000000000121</v>
      </c>
      <c r="D669" s="306">
        <f t="shared" ca="1" si="298"/>
        <v>-0.45510762679804745</v>
      </c>
      <c r="E669" s="307">
        <f t="shared" ca="1" si="299"/>
        <v>-4.7854751891730372</v>
      </c>
      <c r="F669" s="304">
        <f t="shared" ca="1" si="300"/>
        <v>4.8070672699849402</v>
      </c>
      <c r="G669" s="306">
        <f t="shared" ca="1" si="301"/>
        <v>9.6078594175398599</v>
      </c>
      <c r="H669" s="307">
        <f t="shared" ca="1" si="302"/>
        <v>-107.05465198867212</v>
      </c>
      <c r="I669" s="304">
        <f t="shared" ca="1" si="303"/>
        <v>107.48492673395144</v>
      </c>
      <c r="J669" s="306">
        <f t="shared" ca="1" si="304"/>
        <v>424.10103994575627</v>
      </c>
      <c r="K669" s="307">
        <f t="shared" ca="1" si="305"/>
        <v>615.62178784271111</v>
      </c>
      <c r="L669" s="304">
        <f t="shared" ca="1" si="290"/>
        <v>747.56396231341159</v>
      </c>
      <c r="M669" s="306">
        <f t="shared" ca="1" si="306"/>
        <v>-1.4812888885344402</v>
      </c>
      <c r="N669" s="304">
        <f t="shared" ca="1" si="307"/>
        <v>-84.871601552648059</v>
      </c>
      <c r="P669" s="310">
        <f t="shared" ca="1" si="308"/>
        <v>23</v>
      </c>
      <c r="Q669" s="304">
        <f t="shared" ca="1" si="309"/>
        <v>0</v>
      </c>
      <c r="R669" s="306">
        <f t="shared" ca="1" si="310"/>
        <v>0</v>
      </c>
      <c r="S669" s="307">
        <f t="shared" ca="1" si="311"/>
        <v>7.9789999999999939</v>
      </c>
      <c r="T669" s="304">
        <f t="shared" ca="1" si="291"/>
        <v>78.273989999999941</v>
      </c>
      <c r="U669" s="311">
        <f t="shared" ca="1" si="292"/>
        <v>0</v>
      </c>
      <c r="V669" s="306">
        <f t="shared" ca="1" si="293"/>
        <v>1.1518383269863783</v>
      </c>
      <c r="W669" s="304">
        <f t="shared" ca="1" si="294"/>
        <v>40.654533992741378</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4.7249102412864108</v>
      </c>
      <c r="AH669" s="304">
        <f t="shared" ca="1" si="318"/>
        <v>-5.045093906617149</v>
      </c>
    </row>
    <row r="670" spans="1:34" x14ac:dyDescent="0.2">
      <c r="A670" s="347">
        <f t="shared" ca="1" si="296"/>
        <v>0.1</v>
      </c>
      <c r="B670" s="304">
        <f t="shared" ca="1" si="297"/>
        <v>30.600000000000122</v>
      </c>
      <c r="D670" s="306">
        <f t="shared" ca="1" si="298"/>
        <v>-0.45544883683930398</v>
      </c>
      <c r="E670" s="307">
        <f t="shared" ca="1" si="299"/>
        <v>-4.735205021477932</v>
      </c>
      <c r="F670" s="304">
        <f t="shared" ca="1" si="300"/>
        <v>4.7570579393579067</v>
      </c>
      <c r="G670" s="306">
        <f t="shared" ca="1" si="301"/>
        <v>9.562314533855929</v>
      </c>
      <c r="H670" s="307">
        <f t="shared" ca="1" si="302"/>
        <v>-107.52817249081991</v>
      </c>
      <c r="I670" s="304">
        <f t="shared" ca="1" si="303"/>
        <v>107.9525161284345</v>
      </c>
      <c r="J670" s="306">
        <f t="shared" ca="1" si="304"/>
        <v>425.05954864332608</v>
      </c>
      <c r="K670" s="307">
        <f t="shared" ca="1" si="305"/>
        <v>604.89264661873653</v>
      </c>
      <c r="L670" s="304">
        <f t="shared" ca="1" si="290"/>
        <v>739.30422278402261</v>
      </c>
      <c r="M670" s="306">
        <f t="shared" ca="1" si="306"/>
        <v>-1.4821011864915454</v>
      </c>
      <c r="N670" s="304">
        <f t="shared" ca="1" si="307"/>
        <v>-84.918142797297293</v>
      </c>
      <c r="P670" s="310">
        <f t="shared" ca="1" si="308"/>
        <v>23</v>
      </c>
      <c r="Q670" s="304">
        <f t="shared" ca="1" si="309"/>
        <v>0</v>
      </c>
      <c r="R670" s="306">
        <f t="shared" ca="1" si="310"/>
        <v>0</v>
      </c>
      <c r="S670" s="307">
        <f t="shared" ca="1" si="311"/>
        <v>7.9789999999999939</v>
      </c>
      <c r="T670" s="304">
        <f t="shared" ca="1" si="291"/>
        <v>78.273989999999941</v>
      </c>
      <c r="U670" s="311">
        <f t="shared" ca="1" si="292"/>
        <v>0</v>
      </c>
      <c r="V670" s="306">
        <f t="shared" ca="1" si="293"/>
        <v>1.1530759667311783</v>
      </c>
      <c r="W670" s="304">
        <f t="shared" ca="1" si="294"/>
        <v>41.053084306084187</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4.6755377944018024</v>
      </c>
      <c r="AH670" s="304">
        <f t="shared" ca="1" si="318"/>
        <v>-5.0951916271138495</v>
      </c>
    </row>
    <row r="671" spans="1:34" x14ac:dyDescent="0.2">
      <c r="A671" s="347">
        <f t="shared" ca="1" si="296"/>
        <v>0.1</v>
      </c>
      <c r="B671" s="304">
        <f t="shared" ca="1" si="297"/>
        <v>30.700000000000124</v>
      </c>
      <c r="D671" s="306">
        <f t="shared" ca="1" si="298"/>
        <v>-0.45575094904066726</v>
      </c>
      <c r="E671" s="307">
        <f t="shared" ca="1" si="299"/>
        <v>-4.6850831728248483</v>
      </c>
      <c r="F671" s="304">
        <f t="shared" ca="1" si="300"/>
        <v>4.7071980268348614</v>
      </c>
      <c r="G671" s="306">
        <f t="shared" ca="1" si="301"/>
        <v>9.5167394389518627</v>
      </c>
      <c r="H671" s="307">
        <f t="shared" ca="1" si="302"/>
        <v>-107.9966808081024</v>
      </c>
      <c r="I671" s="304">
        <f t="shared" ca="1" si="303"/>
        <v>108.41518064881899</v>
      </c>
      <c r="J671" s="306">
        <f t="shared" ca="1" si="304"/>
        <v>426.01350134196645</v>
      </c>
      <c r="K671" s="307">
        <f t="shared" ca="1" si="305"/>
        <v>594.11640395379038</v>
      </c>
      <c r="L671" s="304">
        <f t="shared" ca="1" si="290"/>
        <v>731.06894666141102</v>
      </c>
      <c r="M671" s="306">
        <f t="shared" ca="1" si="306"/>
        <v>-1.4829026969835122</v>
      </c>
      <c r="N671" s="304">
        <f t="shared" ca="1" si="307"/>
        <v>-84.96406596572244</v>
      </c>
      <c r="P671" s="310">
        <f t="shared" ca="1" si="308"/>
        <v>23</v>
      </c>
      <c r="Q671" s="304">
        <f t="shared" ca="1" si="309"/>
        <v>0</v>
      </c>
      <c r="R671" s="306">
        <f t="shared" ca="1" si="310"/>
        <v>0</v>
      </c>
      <c r="S671" s="307">
        <f t="shared" ca="1" si="311"/>
        <v>7.9789999999999939</v>
      </c>
      <c r="T671" s="304">
        <f t="shared" ca="1" si="291"/>
        <v>78.273989999999941</v>
      </c>
      <c r="U671" s="311">
        <f t="shared" ca="1" si="292"/>
        <v>0</v>
      </c>
      <c r="V671" s="306">
        <f t="shared" ca="1" si="293"/>
        <v>1.1543203378510898</v>
      </c>
      <c r="W671" s="304">
        <f t="shared" ca="1" si="294"/>
        <v>41.450414274482831</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4.6262969639664675</v>
      </c>
      <c r="AH671" s="304">
        <f t="shared" ca="1" si="318"/>
        <v>-5.1451415347893494</v>
      </c>
    </row>
    <row r="672" spans="1:34" x14ac:dyDescent="0.2">
      <c r="A672" s="347">
        <f t="shared" ca="1" si="296"/>
        <v>0.1</v>
      </c>
      <c r="B672" s="304">
        <f t="shared" ca="1" si="297"/>
        <v>30.800000000000125</v>
      </c>
      <c r="D672" s="306">
        <f t="shared" ca="1" si="298"/>
        <v>-0.45601433110853928</v>
      </c>
      <c r="E672" s="307">
        <f t="shared" ca="1" si="299"/>
        <v>-4.635114790988407</v>
      </c>
      <c r="F672" s="304">
        <f t="shared" ca="1" si="300"/>
        <v>4.6574926941237251</v>
      </c>
      <c r="G672" s="306">
        <f t="shared" ca="1" si="301"/>
        <v>9.4711380058410093</v>
      </c>
      <c r="H672" s="307">
        <f t="shared" ca="1" si="302"/>
        <v>-108.46019228720124</v>
      </c>
      <c r="I672" s="304">
        <f t="shared" ca="1" si="303"/>
        <v>108.87293403827395</v>
      </c>
      <c r="J672" s="306">
        <f t="shared" ca="1" si="304"/>
        <v>426.96289521420607</v>
      </c>
      <c r="K672" s="307">
        <f t="shared" ca="1" si="305"/>
        <v>583.29356029902522</v>
      </c>
      <c r="L672" s="304">
        <f t="shared" ca="1" si="290"/>
        <v>722.86146070738187</v>
      </c>
      <c r="M672" s="306">
        <f t="shared" ca="1" si="306"/>
        <v>-1.4836936436622079</v>
      </c>
      <c r="N672" s="304">
        <f t="shared" ca="1" si="307"/>
        <v>-85.009383872231595</v>
      </c>
      <c r="P672" s="310">
        <f t="shared" ca="1" si="308"/>
        <v>23</v>
      </c>
      <c r="Q672" s="304">
        <f t="shared" ca="1" si="309"/>
        <v>0</v>
      </c>
      <c r="R672" s="306">
        <f t="shared" ca="1" si="310"/>
        <v>0</v>
      </c>
      <c r="S672" s="307">
        <f t="shared" ca="1" si="311"/>
        <v>7.9789999999999939</v>
      </c>
      <c r="T672" s="304">
        <f t="shared" ca="1" si="291"/>
        <v>78.273989999999941</v>
      </c>
      <c r="U672" s="311">
        <f t="shared" ca="1" si="292"/>
        <v>0</v>
      </c>
      <c r="V672" s="306">
        <f t="shared" ca="1" si="293"/>
        <v>1.1555714015812808</v>
      </c>
      <c r="W672" s="304">
        <f t="shared" ca="1" si="294"/>
        <v>41.846483777830578</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4.5771933418542616</v>
      </c>
      <c r="AH672" s="304">
        <f t="shared" ca="1" si="318"/>
        <v>-5.194938497867259</v>
      </c>
    </row>
    <row r="673" spans="1:34" x14ac:dyDescent="0.2">
      <c r="A673" s="347">
        <f t="shared" ca="1" si="296"/>
        <v>0.1</v>
      </c>
      <c r="B673" s="304">
        <f t="shared" ca="1" si="297"/>
        <v>30.900000000000126</v>
      </c>
      <c r="D673" s="306">
        <f t="shared" ca="1" si="298"/>
        <v>-0.45623935472330651</v>
      </c>
      <c r="E673" s="307">
        <f t="shared" ca="1" si="299"/>
        <v>-4.5853049198775269</v>
      </c>
      <c r="F673" s="304">
        <f t="shared" ca="1" si="300"/>
        <v>4.6079470002433176</v>
      </c>
      <c r="G673" s="306">
        <f t="shared" ca="1" si="301"/>
        <v>9.4255140703686795</v>
      </c>
      <c r="H673" s="307">
        <f t="shared" ca="1" si="302"/>
        <v>-108.918722779189</v>
      </c>
      <c r="I673" s="304">
        <f t="shared" ca="1" si="303"/>
        <v>109.32579058639614</v>
      </c>
      <c r="J673" s="306">
        <f t="shared" ca="1" si="304"/>
        <v>427.90772781801655</v>
      </c>
      <c r="K673" s="307">
        <f t="shared" ca="1" si="305"/>
        <v>572.42461454570571</v>
      </c>
      <c r="L673" s="304">
        <f t="shared" ca="1" si="290"/>
        <v>714.68521942473205</v>
      </c>
      <c r="M673" s="306">
        <f t="shared" ca="1" si="306"/>
        <v>-1.4844742438703589</v>
      </c>
      <c r="N673" s="304">
        <f t="shared" ca="1" si="307"/>
        <v>-85.054108969645682</v>
      </c>
      <c r="P673" s="310">
        <f t="shared" ca="1" si="308"/>
        <v>23</v>
      </c>
      <c r="Q673" s="304">
        <f t="shared" ca="1" si="309"/>
        <v>0</v>
      </c>
      <c r="R673" s="306">
        <f t="shared" ca="1" si="310"/>
        <v>0</v>
      </c>
      <c r="S673" s="307">
        <f t="shared" ca="1" si="311"/>
        <v>7.9789999999999939</v>
      </c>
      <c r="T673" s="304">
        <f t="shared" ca="1" si="291"/>
        <v>78.273989999999941</v>
      </c>
      <c r="U673" s="311">
        <f t="shared" ca="1" si="292"/>
        <v>0</v>
      </c>
      <c r="V673" s="306">
        <f t="shared" ca="1" si="293"/>
        <v>1.1568291192256752</v>
      </c>
      <c r="W673" s="304">
        <f t="shared" ca="1" si="294"/>
        <v>42.241253522300227</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4.5282324001645131</v>
      </c>
      <c r="AH673" s="304">
        <f t="shared" ca="1" si="318"/>
        <v>-5.2445774881351808</v>
      </c>
    </row>
    <row r="674" spans="1:34" x14ac:dyDescent="0.2">
      <c r="A674" s="347">
        <f t="shared" ca="1" si="296"/>
        <v>0.1</v>
      </c>
      <c r="B674" s="304">
        <f t="shared" ca="1" si="297"/>
        <v>31.000000000000128</v>
      </c>
      <c r="D674" s="306">
        <f t="shared" ca="1" si="298"/>
        <v>-0.45642639535250867</v>
      </c>
      <c r="E674" s="307">
        <f t="shared" ca="1" si="299"/>
        <v>-4.5356584995411406</v>
      </c>
      <c r="F674" s="304">
        <f t="shared" ca="1" si="300"/>
        <v>4.5585659015565714</v>
      </c>
      <c r="G674" s="306">
        <f t="shared" ca="1" si="301"/>
        <v>9.379871430833429</v>
      </c>
      <c r="H674" s="307">
        <f t="shared" ca="1" si="302"/>
        <v>-109.37228862914311</v>
      </c>
      <c r="I674" s="304">
        <f t="shared" ca="1" si="303"/>
        <v>109.77376511733372</v>
      </c>
      <c r="J674" s="306">
        <f t="shared" ca="1" si="304"/>
        <v>428.84799709307669</v>
      </c>
      <c r="K674" s="307">
        <f t="shared" ca="1" si="305"/>
        <v>561.51006397528909</v>
      </c>
      <c r="L674" s="304">
        <f t="shared" ca="1" si="290"/>
        <v>706.54381078336303</v>
      </c>
      <c r="M674" s="306">
        <f t="shared" ca="1" si="306"/>
        <v>-1.4852447088610823</v>
      </c>
      <c r="N674" s="304">
        <f t="shared" ca="1" si="307"/>
        <v>-85.098253361876715</v>
      </c>
      <c r="P674" s="310">
        <f t="shared" ca="1" si="308"/>
        <v>23</v>
      </c>
      <c r="Q674" s="304">
        <f t="shared" ca="1" si="309"/>
        <v>0</v>
      </c>
      <c r="R674" s="306">
        <f t="shared" ca="1" si="310"/>
        <v>0</v>
      </c>
      <c r="S674" s="307">
        <f t="shared" ca="1" si="311"/>
        <v>7.9789999999999939</v>
      </c>
      <c r="T674" s="304">
        <f t="shared" ca="1" si="291"/>
        <v>78.273989999999941</v>
      </c>
      <c r="U674" s="311">
        <f t="shared" ca="1" si="292"/>
        <v>0</v>
      </c>
      <c r="V674" s="306">
        <f t="shared" ca="1" si="293"/>
        <v>1.1580934521609021</v>
      </c>
      <c r="W674" s="304">
        <f t="shared" ca="1" si="294"/>
        <v>42.634685039926985</v>
      </c>
      <c r="Y674" s="314" t="str">
        <f t="shared" ca="1" si="312"/>
        <v/>
      </c>
      <c r="Z674" s="315" t="str">
        <f t="shared" ca="1" si="313"/>
        <v/>
      </c>
      <c r="AA674" s="316" t="str">
        <f t="shared" ca="1" si="314"/>
        <v/>
      </c>
      <c r="AC674" s="310">
        <f t="shared" ca="1" si="315"/>
        <v>31.000000000000128</v>
      </c>
      <c r="AD674" s="323">
        <f t="shared" ca="1" si="316"/>
        <v>428.84799709307669</v>
      </c>
      <c r="AE674" s="324" t="e">
        <f t="shared" ca="1" si="295"/>
        <v>#N/A</v>
      </c>
      <c r="AG674" s="306">
        <f t="shared" ca="1" si="317"/>
        <v>4.4794194919094288</v>
      </c>
      <c r="AH674" s="304">
        <f t="shared" ca="1" si="318"/>
        <v>-5.2940535809374936</v>
      </c>
    </row>
    <row r="675" spans="1:34" x14ac:dyDescent="0.2">
      <c r="A675" s="347">
        <f t="shared" ca="1" si="296"/>
        <v>0.1</v>
      </c>
      <c r="B675" s="304">
        <f t="shared" ca="1" si="297"/>
        <v>31.100000000000129</v>
      </c>
      <c r="D675" s="306">
        <f t="shared" ca="1" si="298"/>
        <v>-0.45657583206597169</v>
      </c>
      <c r="E675" s="307">
        <f t="shared" ca="1" si="299"/>
        <v>-4.4861803662191981</v>
      </c>
      <c r="F675" s="304">
        <f t="shared" ca="1" si="300"/>
        <v>4.509354251849965</v>
      </c>
      <c r="G675" s="306">
        <f t="shared" ca="1" si="301"/>
        <v>9.334213847626831</v>
      </c>
      <c r="H675" s="307">
        <f t="shared" ca="1" si="302"/>
        <v>-109.82090666576504</v>
      </c>
      <c r="I675" s="304">
        <f t="shared" ca="1" si="303"/>
        <v>110.21687297797875</v>
      </c>
      <c r="J675" s="306">
        <f t="shared" ca="1" si="304"/>
        <v>429.7837013569997</v>
      </c>
      <c r="K675" s="307">
        <f t="shared" ca="1" si="305"/>
        <v>550.55040421054366</v>
      </c>
      <c r="L675" s="304">
        <f t="shared" ca="1" si="290"/>
        <v>698.44096209237023</v>
      </c>
      <c r="M675" s="306">
        <f t="shared" ca="1" si="306"/>
        <v>-1.4860052440083644</v>
      </c>
      <c r="N675" s="304">
        <f t="shared" ca="1" si="307"/>
        <v>-85.141828815987338</v>
      </c>
      <c r="P675" s="310">
        <f t="shared" ca="1" si="308"/>
        <v>23</v>
      </c>
      <c r="Q675" s="304">
        <f t="shared" ca="1" si="309"/>
        <v>0</v>
      </c>
      <c r="R675" s="306">
        <f t="shared" ca="1" si="310"/>
        <v>0</v>
      </c>
      <c r="S675" s="307">
        <f t="shared" ca="1" si="311"/>
        <v>7.9789999999999939</v>
      </c>
      <c r="T675" s="304">
        <f t="shared" ca="1" si="291"/>
        <v>78.273989999999941</v>
      </c>
      <c r="U675" s="311">
        <f t="shared" ca="1" si="292"/>
        <v>0</v>
      </c>
      <c r="V675" s="306">
        <f t="shared" ca="1" si="293"/>
        <v>1.1593643618401839</v>
      </c>
      <c r="W675" s="304">
        <f t="shared" ca="1" si="294"/>
        <v>43.026740687839869</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4.4307598517135567</v>
      </c>
      <c r="AH675" s="304">
        <f t="shared" ca="1" si="318"/>
        <v>-5.3433619551230755</v>
      </c>
    </row>
    <row r="676" spans="1:34" x14ac:dyDescent="0.2">
      <c r="A676" s="347">
        <f t="shared" ca="1" si="296"/>
        <v>0.1</v>
      </c>
      <c r="B676" s="304">
        <f t="shared" ca="1" si="297"/>
        <v>31.200000000000131</v>
      </c>
      <c r="D676" s="306">
        <f t="shared" ca="1" si="298"/>
        <v>-0.45668804735296442</v>
      </c>
      <c r="E676" s="307">
        <f t="shared" ca="1" si="299"/>
        <v>-4.4368752524379165</v>
      </c>
      <c r="F676" s="304">
        <f t="shared" ca="1" si="300"/>
        <v>4.460316802458216</v>
      </c>
      <c r="G676" s="306">
        <f t="shared" ca="1" si="301"/>
        <v>9.2885450428915348</v>
      </c>
      <c r="H676" s="307">
        <f t="shared" ca="1" si="302"/>
        <v>-110.26459419100883</v>
      </c>
      <c r="I676" s="304">
        <f t="shared" ca="1" si="303"/>
        <v>110.65513002622916</v>
      </c>
      <c r="J676" s="306">
        <f t="shared" ca="1" si="304"/>
        <v>430.71483930152561</v>
      </c>
      <c r="K676" s="307">
        <f t="shared" ca="1" si="305"/>
        <v>539.54612916770498</v>
      </c>
      <c r="L676" s="304">
        <f t="shared" ca="1" si="290"/>
        <v>690.38054599937323</v>
      </c>
      <c r="M676" s="306">
        <f t="shared" ca="1" si="306"/>
        <v>-1.4867560490089164</v>
      </c>
      <c r="N676" s="304">
        <f t="shared" ca="1" si="307"/>
        <v>-85.184846773756291</v>
      </c>
      <c r="P676" s="310">
        <f t="shared" ca="1" si="308"/>
        <v>23</v>
      </c>
      <c r="Q676" s="304">
        <f t="shared" ca="1" si="309"/>
        <v>0</v>
      </c>
      <c r="R676" s="306">
        <f t="shared" ca="1" si="310"/>
        <v>0</v>
      </c>
      <c r="S676" s="307">
        <f t="shared" ca="1" si="311"/>
        <v>7.9789999999999939</v>
      </c>
      <c r="T676" s="304">
        <f t="shared" ca="1" si="291"/>
        <v>78.273989999999941</v>
      </c>
      <c r="U676" s="311">
        <f t="shared" ca="1" si="292"/>
        <v>0</v>
      </c>
      <c r="V676" s="306">
        <f t="shared" ca="1" si="293"/>
        <v>1.1606418097971649</v>
      </c>
      <c r="W676" s="304">
        <f t="shared" ca="1" si="294"/>
        <v>43.417383647148519</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4.3822585965261629</v>
      </c>
      <c r="AH676" s="304">
        <f t="shared" ca="1" si="318"/>
        <v>-5.3924978929489784</v>
      </c>
    </row>
    <row r="677" spans="1:34" x14ac:dyDescent="0.2">
      <c r="A677" s="347">
        <f t="shared" ca="1" si="296"/>
        <v>0.1</v>
      </c>
      <c r="B677" s="304">
        <f t="shared" ca="1" si="297"/>
        <v>31.300000000000132</v>
      </c>
      <c r="D677" s="306">
        <f t="shared" ca="1" si="298"/>
        <v>-0.45676342694141919</v>
      </c>
      <c r="E677" s="307">
        <f t="shared" ca="1" si="299"/>
        <v>-4.3877477871484381</v>
      </c>
      <c r="F677" s="304">
        <f t="shared" ca="1" si="300"/>
        <v>4.4114582024334403</v>
      </c>
      <c r="G677" s="306">
        <f t="shared" ca="1" si="301"/>
        <v>9.242868700197393</v>
      </c>
      <c r="H677" s="307">
        <f t="shared" ca="1" si="302"/>
        <v>-110.70336896972367</v>
      </c>
      <c r="I677" s="304">
        <f t="shared" ca="1" si="303"/>
        <v>111.08855261932196</v>
      </c>
      <c r="J677" s="306">
        <f t="shared" ca="1" si="304"/>
        <v>431.64140998868004</v>
      </c>
      <c r="K677" s="307">
        <f t="shared" ca="1" si="305"/>
        <v>528.49773100966831</v>
      </c>
      <c r="L677" s="304">
        <f t="shared" ca="1" si="290"/>
        <v>682.36658659358716</v>
      </c>
      <c r="M677" s="306">
        <f t="shared" ca="1" si="306"/>
        <v>-1.4874973180758171</v>
      </c>
      <c r="N677" s="304">
        <f t="shared" ca="1" si="307"/>
        <v>-85.227318362773303</v>
      </c>
      <c r="P677" s="310">
        <f t="shared" ca="1" si="308"/>
        <v>23</v>
      </c>
      <c r="Q677" s="304">
        <f t="shared" ca="1" si="309"/>
        <v>0</v>
      </c>
      <c r="R677" s="306">
        <f t="shared" ca="1" si="310"/>
        <v>0</v>
      </c>
      <c r="S677" s="307">
        <f t="shared" ca="1" si="311"/>
        <v>7.9789999999999939</v>
      </c>
      <c r="T677" s="304">
        <f t="shared" ca="1" si="291"/>
        <v>78.273989999999941</v>
      </c>
      <c r="U677" s="311">
        <f t="shared" ca="1" si="292"/>
        <v>0</v>
      </c>
      <c r="V677" s="306">
        <f t="shared" ca="1" si="293"/>
        <v>1.1619257576496806</v>
      </c>
      <c r="W677" s="304">
        <f t="shared" ca="1" si="294"/>
        <v>43.806577921493258</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4.3339207263472854</v>
      </c>
      <c r="AH677" s="304">
        <f t="shared" ca="1" si="318"/>
        <v>-5.4414567799409141</v>
      </c>
    </row>
    <row r="678" spans="1:34" x14ac:dyDescent="0.2">
      <c r="A678" s="347">
        <f t="shared" ca="1" si="296"/>
        <v>0.1</v>
      </c>
      <c r="B678" s="304">
        <f t="shared" ca="1" si="297"/>
        <v>31.400000000000134</v>
      </c>
      <c r="D678" s="306">
        <f t="shared" ca="1" si="298"/>
        <v>-0.45680235961925902</v>
      </c>
      <c r="E678" s="307">
        <f t="shared" ca="1" si="299"/>
        <v>-4.3388024959078768</v>
      </c>
      <c r="F678" s="304">
        <f t="shared" ca="1" si="300"/>
        <v>4.3627829987578046</v>
      </c>
      <c r="G678" s="306">
        <f t="shared" ca="1" si="301"/>
        <v>9.1971884642354667</v>
      </c>
      <c r="H678" s="307">
        <f t="shared" ca="1" si="302"/>
        <v>-111.13724921931446</v>
      </c>
      <c r="I678" s="304">
        <f t="shared" ca="1" si="303"/>
        <v>111.51715760223929</v>
      </c>
      <c r="J678" s="306">
        <f t="shared" ca="1" si="304"/>
        <v>432.56341284690166</v>
      </c>
      <c r="K678" s="307">
        <f t="shared" ca="1" si="305"/>
        <v>517.40570010021645</v>
      </c>
      <c r="L678" s="304">
        <f t="shared" ca="1" si="290"/>
        <v>674.40326558369668</v>
      </c>
      <c r="M678" s="306">
        <f t="shared" ca="1" si="306"/>
        <v>-1.4882292401243251</v>
      </c>
      <c r="N678" s="304">
        <f t="shared" ca="1" si="307"/>
        <v>-85.269254407085384</v>
      </c>
      <c r="P678" s="310">
        <f t="shared" ca="1" si="308"/>
        <v>23</v>
      </c>
      <c r="Q678" s="304">
        <f t="shared" ca="1" si="309"/>
        <v>0</v>
      </c>
      <c r="R678" s="306">
        <f t="shared" ca="1" si="310"/>
        <v>0</v>
      </c>
      <c r="S678" s="307">
        <f t="shared" ca="1" si="311"/>
        <v>7.9789999999999939</v>
      </c>
      <c r="T678" s="304">
        <f t="shared" ca="1" si="291"/>
        <v>78.273989999999941</v>
      </c>
      <c r="U678" s="311">
        <f t="shared" ca="1" si="292"/>
        <v>0</v>
      </c>
      <c r="V678" s="306">
        <f t="shared" ca="1" si="293"/>
        <v>1.1632161671034593</v>
      </c>
      <c r="W678" s="304">
        <f t="shared" ca="1" si="294"/>
        <v>44.194288335265824</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4.2857511249681828</v>
      </c>
      <c r="AH678" s="304">
        <f t="shared" ca="1" si="318"/>
        <v>-5.4902341047115293</v>
      </c>
    </row>
    <row r="679" spans="1:34" x14ac:dyDescent="0.2">
      <c r="A679" s="347">
        <f t="shared" ca="1" si="296"/>
        <v>0.1</v>
      </c>
      <c r="B679" s="304">
        <f t="shared" ca="1" si="297"/>
        <v>31.500000000000135</v>
      </c>
      <c r="D679" s="306">
        <f t="shared" ca="1" si="298"/>
        <v>-0.45680523705789383</v>
      </c>
      <c r="E679" s="307">
        <f t="shared" ca="1" si="299"/>
        <v>-4.290043801101838</v>
      </c>
      <c r="F679" s="304">
        <f t="shared" ca="1" si="300"/>
        <v>4.3142956365988443</v>
      </c>
      <c r="G679" s="306">
        <f t="shared" ca="1" si="301"/>
        <v>9.1515079405296778</v>
      </c>
      <c r="H679" s="307">
        <f t="shared" ca="1" si="302"/>
        <v>-111.56625359942464</v>
      </c>
      <c r="I679" s="304">
        <f t="shared" ca="1" si="303"/>
        <v>111.94096229618856</v>
      </c>
      <c r="J679" s="306">
        <f t="shared" ca="1" si="304"/>
        <v>433.48084766713993</v>
      </c>
      <c r="K679" s="307">
        <f t="shared" ca="1" si="305"/>
        <v>506.2705249592795</v>
      </c>
      <c r="L679" s="304">
        <f t="shared" ca="1" si="290"/>
        <v>666.49492851541379</v>
      </c>
      <c r="M679" s="306">
        <f t="shared" ca="1" si="306"/>
        <v>-1.4889519989502302</v>
      </c>
      <c r="N679" s="304">
        <f t="shared" ca="1" si="307"/>
        <v>-85.31066543741558</v>
      </c>
      <c r="P679" s="310">
        <f t="shared" ca="1" si="308"/>
        <v>23</v>
      </c>
      <c r="Q679" s="304">
        <f t="shared" ca="1" si="309"/>
        <v>0</v>
      </c>
      <c r="R679" s="306">
        <f t="shared" ca="1" si="310"/>
        <v>0</v>
      </c>
      <c r="S679" s="307">
        <f t="shared" ca="1" si="311"/>
        <v>7.9789999999999939</v>
      </c>
      <c r="T679" s="304">
        <f t="shared" ca="1" si="291"/>
        <v>78.273989999999941</v>
      </c>
      <c r="U679" s="311">
        <f t="shared" ca="1" si="292"/>
        <v>0</v>
      </c>
      <c r="V679" s="306">
        <f t="shared" ca="1" si="293"/>
        <v>1.1645129999557686</v>
      </c>
      <c r="W679" s="304">
        <f t="shared" ca="1" si="294"/>
        <v>44.580480531508577</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4.2377545607266205</v>
      </c>
      <c r="AH679" s="304">
        <f t="shared" ca="1" si="318"/>
        <v>-5.5388254587374179</v>
      </c>
    </row>
    <row r="680" spans="1:34" x14ac:dyDescent="0.2">
      <c r="A680" s="347">
        <f t="shared" ca="1" si="296"/>
        <v>0.1</v>
      </c>
      <c r="B680" s="304">
        <f t="shared" ca="1" si="297"/>
        <v>31.600000000000136</v>
      </c>
      <c r="D680" s="306">
        <f t="shared" ca="1" si="298"/>
        <v>-0.45677245363791258</v>
      </c>
      <c r="E680" s="307">
        <f t="shared" ca="1" si="299"/>
        <v>-4.2414760222074124</v>
      </c>
      <c r="F680" s="304">
        <f t="shared" ca="1" si="300"/>
        <v>4.2660004596064933</v>
      </c>
      <c r="G680" s="306">
        <f t="shared" ca="1" si="301"/>
        <v>9.1058306951658867</v>
      </c>
      <c r="H680" s="307">
        <f t="shared" ca="1" si="302"/>
        <v>-111.99040120164538</v>
      </c>
      <c r="I680" s="304">
        <f t="shared" ca="1" si="303"/>
        <v>112.3599844871586</v>
      </c>
      <c r="J680" s="306">
        <f t="shared" ca="1" si="304"/>
        <v>434.3937145989247</v>
      </c>
      <c r="K680" s="307">
        <f t="shared" ca="1" si="305"/>
        <v>495.09269221922602</v>
      </c>
      <c r="L680" s="304">
        <f t="shared" ca="1" si="290"/>
        <v>658.64609098660355</v>
      </c>
      <c r="M680" s="306">
        <f t="shared" ca="1" si="306"/>
        <v>-1.489665773401089</v>
      </c>
      <c r="N680" s="304">
        <f t="shared" ca="1" si="307"/>
        <v>-85.351561700974045</v>
      </c>
      <c r="P680" s="310">
        <f t="shared" ca="1" si="308"/>
        <v>23</v>
      </c>
      <c r="Q680" s="304">
        <f t="shared" ca="1" si="309"/>
        <v>0</v>
      </c>
      <c r="R680" s="306">
        <f t="shared" ca="1" si="310"/>
        <v>0</v>
      </c>
      <c r="S680" s="307">
        <f t="shared" ca="1" si="311"/>
        <v>7.9789999999999939</v>
      </c>
      <c r="T680" s="304">
        <f t="shared" ca="1" si="291"/>
        <v>78.273989999999941</v>
      </c>
      <c r="U680" s="311">
        <f t="shared" ca="1" si="292"/>
        <v>0</v>
      </c>
      <c r="V680" s="306">
        <f t="shared" ca="1" si="293"/>
        <v>1.165816218098999</v>
      </c>
      <c r="W680" s="304">
        <f t="shared" ca="1" si="294"/>
        <v>44.965120969500049</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4.1899356872775257</v>
      </c>
      <c r="AH680" s="304">
        <f t="shared" ca="1" si="318"/>
        <v>-5.5872265360958284</v>
      </c>
    </row>
    <row r="681" spans="1:34" x14ac:dyDescent="0.2">
      <c r="A681" s="347">
        <f t="shared" ca="1" si="296"/>
        <v>0.1</v>
      </c>
      <c r="B681" s="304">
        <f t="shared" ca="1" si="297"/>
        <v>31.700000000000138</v>
      </c>
      <c r="D681" s="306">
        <f t="shared" ca="1" si="298"/>
        <v>-0.45670440627701153</v>
      </c>
      <c r="E681" s="307">
        <f t="shared" ca="1" si="299"/>
        <v>-4.1931033760956646</v>
      </c>
      <c r="F681" s="304">
        <f t="shared" ca="1" si="300"/>
        <v>4.2179017102509277</v>
      </c>
      <c r="G681" s="306">
        <f t="shared" ca="1" si="301"/>
        <v>9.0601602545381859</v>
      </c>
      <c r="H681" s="307">
        <f t="shared" ca="1" si="302"/>
        <v>-112.40971153925496</v>
      </c>
      <c r="I681" s="304">
        <f t="shared" ca="1" si="303"/>
        <v>112.77424241455326</v>
      </c>
      <c r="J681" s="306">
        <f t="shared" ca="1" si="304"/>
        <v>435.30201414640993</v>
      </c>
      <c r="K681" s="307">
        <f t="shared" ca="1" si="305"/>
        <v>483.87268658218102</v>
      </c>
      <c r="L681" s="304">
        <f t="shared" ca="1" si="290"/>
        <v>650.86144481001395</v>
      </c>
      <c r="M681" s="306">
        <f t="shared" ca="1" si="306"/>
        <v>-1.4903707375406701</v>
      </c>
      <c r="N681" s="304">
        <f t="shared" ca="1" si="307"/>
        <v>-85.391953170880114</v>
      </c>
      <c r="P681" s="310">
        <f t="shared" ca="1" si="308"/>
        <v>23</v>
      </c>
      <c r="Q681" s="304">
        <f t="shared" ca="1" si="309"/>
        <v>0</v>
      </c>
      <c r="R681" s="306">
        <f t="shared" ca="1" si="310"/>
        <v>0</v>
      </c>
      <c r="S681" s="307">
        <f t="shared" ca="1" si="311"/>
        <v>7.9789999999999939</v>
      </c>
      <c r="T681" s="304">
        <f t="shared" ca="1" si="291"/>
        <v>78.273989999999941</v>
      </c>
      <c r="U681" s="311">
        <f t="shared" ca="1" si="292"/>
        <v>0</v>
      </c>
      <c r="V681" s="306">
        <f t="shared" ca="1" si="293"/>
        <v>1.1671257835241824</v>
      </c>
      <c r="W681" s="304">
        <f t="shared" ca="1" si="294"/>
        <v>45.348176922034099</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4.1422990443793219</v>
      </c>
      <c r="AH681" s="304">
        <f t="shared" ca="1" si="318"/>
        <v>-5.6354331331620608</v>
      </c>
    </row>
    <row r="682" spans="1:34" x14ac:dyDescent="0.2">
      <c r="A682" s="347">
        <f t="shared" ca="1" si="296"/>
        <v>0.1</v>
      </c>
      <c r="B682" s="304">
        <f t="shared" ca="1" si="297"/>
        <v>31.800000000000139</v>
      </c>
      <c r="D682" s="306">
        <f t="shared" ca="1" si="298"/>
        <v>-0.45660149426021635</v>
      </c>
      <c r="E682" s="307">
        <f t="shared" ca="1" si="299"/>
        <v>-4.1449299773726915</v>
      </c>
      <c r="F682" s="304">
        <f t="shared" ca="1" si="300"/>
        <v>4.1700035302003569</v>
      </c>
      <c r="G682" s="306">
        <f t="shared" ca="1" si="301"/>
        <v>9.0145001051121643</v>
      </c>
      <c r="H682" s="307">
        <f t="shared" ca="1" si="302"/>
        <v>-112.82420453699223</v>
      </c>
      <c r="I682" s="304">
        <f t="shared" ca="1" si="303"/>
        <v>113.18375475990415</v>
      </c>
      <c r="J682" s="306">
        <f t="shared" ca="1" si="304"/>
        <v>436.20574716439245</v>
      </c>
      <c r="K682" s="307">
        <f t="shared" ca="1" si="305"/>
        <v>472.61099077836866</v>
      </c>
      <c r="L682" s="304">
        <f t="shared" ca="1" si="290"/>
        <v>643.14586406487695</v>
      </c>
      <c r="M682" s="306">
        <f t="shared" ca="1" si="306"/>
        <v>-1.4910670608069239</v>
      </c>
      <c r="N682" s="304">
        <f t="shared" ca="1" si="307"/>
        <v>-85.431849555213219</v>
      </c>
      <c r="P682" s="310">
        <f t="shared" ca="1" si="308"/>
        <v>23</v>
      </c>
      <c r="Q682" s="304">
        <f t="shared" ca="1" si="309"/>
        <v>0</v>
      </c>
      <c r="R682" s="306">
        <f t="shared" ca="1" si="310"/>
        <v>0</v>
      </c>
      <c r="S682" s="307">
        <f t="shared" ca="1" si="311"/>
        <v>7.9789999999999939</v>
      </c>
      <c r="T682" s="304">
        <f t="shared" ca="1" si="291"/>
        <v>78.273989999999941</v>
      </c>
      <c r="U682" s="311">
        <f t="shared" ca="1" si="292"/>
        <v>0</v>
      </c>
      <c r="V682" s="306">
        <f t="shared" ca="1" si="293"/>
        <v>1.168441658324453</v>
      </c>
      <c r="W682" s="304">
        <f t="shared" ca="1" si="294"/>
        <v>45.72961647240119</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4.094849058696246</v>
      </c>
      <c r="AH682" s="304">
        <f t="shared" ca="1" si="318"/>
        <v>-5.6834411482684715</v>
      </c>
    </row>
    <row r="683" spans="1:34" x14ac:dyDescent="0.2">
      <c r="A683" s="347">
        <f t="shared" ca="1" si="296"/>
        <v>0.1</v>
      </c>
      <c r="B683" s="304">
        <f t="shared" ca="1" si="297"/>
        <v>31.900000000000141</v>
      </c>
      <c r="D683" s="306">
        <f t="shared" ca="1" si="298"/>
        <v>-0.45646411907241785</v>
      </c>
      <c r="E683" s="307">
        <f t="shared" ca="1" si="299"/>
        <v>-4.096959838758182</v>
      </c>
      <c r="F683" s="304">
        <f t="shared" ca="1" si="300"/>
        <v>4.1223099607377929</v>
      </c>
      <c r="G683" s="306">
        <f t="shared" ca="1" si="301"/>
        <v>8.9688536932049221</v>
      </c>
      <c r="H683" s="307">
        <f t="shared" ca="1" si="302"/>
        <v>-113.23390052086805</v>
      </c>
      <c r="I683" s="304">
        <f t="shared" ca="1" si="303"/>
        <v>113.58854063566429</v>
      </c>
      <c r="J683" s="306">
        <f t="shared" ca="1" si="304"/>
        <v>437.10491485430828</v>
      </c>
      <c r="K683" s="307">
        <f t="shared" ca="1" si="305"/>
        <v>461.30808552547563</v>
      </c>
      <c r="L683" s="304">
        <f t="shared" ca="1" si="290"/>
        <v>635.50441096893394</v>
      </c>
      <c r="M683" s="306">
        <f t="shared" ca="1" si="306"/>
        <v>-1.49175490816377</v>
      </c>
      <c r="N683" s="304">
        <f t="shared" ca="1" si="307"/>
        <v>-85.471260305709734</v>
      </c>
      <c r="P683" s="310">
        <f t="shared" ca="1" si="308"/>
        <v>23</v>
      </c>
      <c r="Q683" s="304">
        <f t="shared" ca="1" si="309"/>
        <v>0</v>
      </c>
      <c r="R683" s="306">
        <f t="shared" ca="1" si="310"/>
        <v>0</v>
      </c>
      <c r="S683" s="307">
        <f t="shared" ca="1" si="311"/>
        <v>7.9789999999999939</v>
      </c>
      <c r="T683" s="304">
        <f t="shared" ca="1" si="291"/>
        <v>78.273989999999941</v>
      </c>
      <c r="U683" s="311">
        <f t="shared" ca="1" si="292"/>
        <v>0</v>
      </c>
      <c r="V683" s="306">
        <f t="shared" ca="1" si="293"/>
        <v>1.1697638046984433</v>
      </c>
      <c r="W683" s="304">
        <f t="shared" ca="1" si="294"/>
        <v>46.109408511079025</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4.0475900446168005</v>
      </c>
      <c r="AH683" s="304">
        <f t="shared" ca="1" si="318"/>
        <v>-5.7312465813261344</v>
      </c>
    </row>
    <row r="684" spans="1:34" x14ac:dyDescent="0.2">
      <c r="A684" s="347">
        <f t="shared" ca="1" si="296"/>
        <v>0.1</v>
      </c>
      <c r="B684" s="304">
        <f t="shared" ca="1" si="297"/>
        <v>32.000000000000142</v>
      </c>
      <c r="D684" s="306">
        <f t="shared" ca="1" si="298"/>
        <v>-0.45629268423325842</v>
      </c>
      <c r="E684" s="307">
        <f t="shared" ca="1" si="299"/>
        <v>-4.0491968715005653</v>
      </c>
      <c r="F684" s="304">
        <f t="shared" ca="1" si="300"/>
        <v>4.074824943215936</v>
      </c>
      <c r="G684" s="306">
        <f t="shared" ca="1" si="301"/>
        <v>8.9232244247815959</v>
      </c>
      <c r="H684" s="307">
        <f t="shared" ca="1" si="302"/>
        <v>-113.6388202080181</v>
      </c>
      <c r="I684" s="304">
        <f t="shared" ca="1" si="303"/>
        <v>113.98861957408415</v>
      </c>
      <c r="J684" s="306">
        <f t="shared" ca="1" si="304"/>
        <v>437.99951876020759</v>
      </c>
      <c r="K684" s="307">
        <f t="shared" ca="1" si="305"/>
        <v>449.96444948903132</v>
      </c>
      <c r="L684" s="304">
        <f t="shared" ca="1" si="290"/>
        <v>627.94234149174918</v>
      </c>
      <c r="M684" s="306">
        <f t="shared" ca="1" si="306"/>
        <v>-1.4924344402469807</v>
      </c>
      <c r="N684" s="304">
        <f t="shared" ca="1" si="307"/>
        <v>-85.510194626121447</v>
      </c>
      <c r="P684" s="310">
        <f t="shared" ca="1" si="308"/>
        <v>23</v>
      </c>
      <c r="Q684" s="304">
        <f t="shared" ca="1" si="309"/>
        <v>0</v>
      </c>
      <c r="R684" s="306">
        <f t="shared" ca="1" si="310"/>
        <v>0</v>
      </c>
      <c r="S684" s="307">
        <f t="shared" ca="1" si="311"/>
        <v>7.9789999999999939</v>
      </c>
      <c r="T684" s="304">
        <f t="shared" ca="1" si="291"/>
        <v>78.273989999999941</v>
      </c>
      <c r="U684" s="311">
        <f t="shared" ca="1" si="292"/>
        <v>0</v>
      </c>
      <c r="V684" s="306">
        <f t="shared" ca="1" si="293"/>
        <v>1.1710921849536189</v>
      </c>
      <c r="W684" s="304">
        <f t="shared" ca="1" si="294"/>
        <v>46.487522732140739</v>
      </c>
      <c r="Y684" s="314" t="str">
        <f t="shared" ca="1" si="312"/>
        <v/>
      </c>
      <c r="Z684" s="315" t="str">
        <f t="shared" ca="1" si="313"/>
        <v/>
      </c>
      <c r="AA684" s="316" t="str">
        <f t="shared" ca="1" si="314"/>
        <v/>
      </c>
      <c r="AC684" s="310">
        <f t="shared" ca="1" si="315"/>
        <v>32.000000000000142</v>
      </c>
      <c r="AD684" s="323">
        <f t="shared" ca="1" si="316"/>
        <v>437.99951876020759</v>
      </c>
      <c r="AE684" s="324" t="e">
        <f t="shared" ca="1" si="295"/>
        <v>#N/A</v>
      </c>
      <c r="AG684" s="306">
        <f t="shared" ca="1" si="317"/>
        <v>4.0005262050885202</v>
      </c>
      <c r="AH684" s="304">
        <f t="shared" ca="1" si="318"/>
        <v>-5.7788455334100837</v>
      </c>
    </row>
    <row r="685" spans="1:34" x14ac:dyDescent="0.2">
      <c r="A685" s="347">
        <f t="shared" ca="1" si="296"/>
        <v>0.1</v>
      </c>
      <c r="B685" s="304">
        <f t="shared" ca="1" si="297"/>
        <v>32.100000000000144</v>
      </c>
      <c r="D685" s="306">
        <f t="shared" ca="1" si="298"/>
        <v>-0.45608759513441621</v>
      </c>
      <c r="E685" s="307">
        <f t="shared" ca="1" si="299"/>
        <v>-4.0016448858277087</v>
      </c>
      <c r="F685" s="304">
        <f t="shared" ca="1" si="300"/>
        <v>4.0275523195492511</v>
      </c>
      <c r="G685" s="306">
        <f t="shared" ca="1" si="301"/>
        <v>8.8776156652681539</v>
      </c>
      <c r="H685" s="307">
        <f t="shared" ca="1" si="302"/>
        <v>-114.03898469660088</v>
      </c>
      <c r="I685" s="304">
        <f t="shared" ca="1" si="303"/>
        <v>114.38401151617207</v>
      </c>
      <c r="J685" s="306">
        <f t="shared" ca="1" si="304"/>
        <v>438.8895607647101</v>
      </c>
      <c r="K685" s="307">
        <f t="shared" ca="1" si="305"/>
        <v>438.58055924380039</v>
      </c>
      <c r="L685" s="304">
        <f t="shared" ca="1" si="290"/>
        <v>620.46511061851402</v>
      </c>
      <c r="M685" s="306">
        <f t="shared" ca="1" si="306"/>
        <v>-1.4931058135044284</v>
      </c>
      <c r="N685" s="304">
        <f t="shared" ca="1" si="307"/>
        <v>-85.548661480251141</v>
      </c>
      <c r="P685" s="310">
        <f t="shared" ca="1" si="308"/>
        <v>23</v>
      </c>
      <c r="Q685" s="304">
        <f t="shared" ca="1" si="309"/>
        <v>0</v>
      </c>
      <c r="R685" s="306">
        <f t="shared" ca="1" si="310"/>
        <v>0</v>
      </c>
      <c r="S685" s="307">
        <f t="shared" ca="1" si="311"/>
        <v>7.9789999999999939</v>
      </c>
      <c r="T685" s="304">
        <f t="shared" ca="1" si="291"/>
        <v>78.273989999999941</v>
      </c>
      <c r="U685" s="311">
        <f t="shared" ca="1" si="292"/>
        <v>0</v>
      </c>
      <c r="V685" s="306">
        <f t="shared" ca="1" si="293"/>
        <v>1.1724267615095543</v>
      </c>
      <c r="W685" s="304">
        <f t="shared" ca="1" si="294"/>
        <v>46.863929629388664</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3.9536616324690472</v>
      </c>
      <c r="AH685" s="304">
        <f t="shared" ca="1" si="318"/>
        <v>-5.8262342063091586</v>
      </c>
    </row>
    <row r="686" spans="1:34" x14ac:dyDescent="0.2">
      <c r="A686" s="347">
        <f t="shared" ca="1" si="296"/>
        <v>0.1</v>
      </c>
      <c r="B686" s="304">
        <f t="shared" ca="1" si="297"/>
        <v>32.200000000000145</v>
      </c>
      <c r="D686" s="306">
        <f t="shared" ca="1" si="298"/>
        <v>-0.45584925887930217</v>
      </c>
      <c r="E686" s="307">
        <f t="shared" ca="1" si="299"/>
        <v>-3.9543075914321717</v>
      </c>
      <c r="F686" s="304">
        <f t="shared" ca="1" si="300"/>
        <v>3.9804958327423123</v>
      </c>
      <c r="G686" s="306">
        <f t="shared" ca="1" si="301"/>
        <v>8.8320307393802242</v>
      </c>
      <c r="H686" s="307">
        <f t="shared" ca="1" si="302"/>
        <v>-114.4344154557441</v>
      </c>
      <c r="I686" s="304">
        <f t="shared" ca="1" si="303"/>
        <v>114.77473680074027</v>
      </c>
      <c r="J686" s="306">
        <f t="shared" ca="1" si="304"/>
        <v>439.77504308494252</v>
      </c>
      <c r="K686" s="307">
        <f t="shared" ca="1" si="305"/>
        <v>427.15688923618313</v>
      </c>
      <c r="L686" s="304">
        <f t="shared" ca="1" si="290"/>
        <v>613.07837716094332</v>
      </c>
      <c r="M686" s="306">
        <f t="shared" ca="1" si="306"/>
        <v>-1.4937691803309474</v>
      </c>
      <c r="N686" s="304">
        <f t="shared" ca="1" si="307"/>
        <v>-85.586669599679666</v>
      </c>
      <c r="P686" s="310">
        <f t="shared" ca="1" si="308"/>
        <v>23</v>
      </c>
      <c r="Q686" s="304">
        <f t="shared" ca="1" si="309"/>
        <v>0</v>
      </c>
      <c r="R686" s="306">
        <f t="shared" ca="1" si="310"/>
        <v>0</v>
      </c>
      <c r="S686" s="307">
        <f t="shared" ca="1" si="311"/>
        <v>7.9789999999999939</v>
      </c>
      <c r="T686" s="304">
        <f t="shared" ca="1" si="291"/>
        <v>78.273989999999941</v>
      </c>
      <c r="U686" s="311">
        <f t="shared" ca="1" si="292"/>
        <v>0</v>
      </c>
      <c r="V686" s="306">
        <f t="shared" ca="1" si="293"/>
        <v>1.1737674969011422</v>
      </c>
      <c r="W686" s="304">
        <f t="shared" ca="1" si="294"/>
        <v>47.238600492221011</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3.9070003093935375</v>
      </c>
      <c r="AH686" s="304">
        <f t="shared" ca="1" si="318"/>
        <v>-5.8734089020414464</v>
      </c>
    </row>
    <row r="687" spans="1:34" x14ac:dyDescent="0.2">
      <c r="A687" s="347">
        <f t="shared" ca="1" si="296"/>
        <v>0.1</v>
      </c>
      <c r="B687" s="304">
        <f t="shared" ca="1" si="297"/>
        <v>32.300000000000146</v>
      </c>
      <c r="D687" s="306">
        <f t="shared" ca="1" si="298"/>
        <v>-0.45557808412520612</v>
      </c>
      <c r="E687" s="307">
        <f t="shared" ca="1" si="299"/>
        <v>-3.9071885979900625</v>
      </c>
      <c r="F687" s="304">
        <f t="shared" ca="1" si="300"/>
        <v>3.9336591274535651</v>
      </c>
      <c r="G687" s="306">
        <f t="shared" ca="1" si="301"/>
        <v>8.7864729309677028</v>
      </c>
      <c r="H687" s="307">
        <f t="shared" ca="1" si="302"/>
        <v>-114.82513431554311</v>
      </c>
      <c r="I687" s="304">
        <f t="shared" ca="1" si="303"/>
        <v>115.16081615353872</v>
      </c>
      <c r="J687" s="306">
        <f t="shared" ca="1" si="304"/>
        <v>440.6559682684599</v>
      </c>
      <c r="K687" s="307">
        <f t="shared" ca="1" si="305"/>
        <v>415.69391174761876</v>
      </c>
      <c r="L687" s="304">
        <f t="shared" ca="1" si="290"/>
        <v>605.78800799838473</v>
      </c>
      <c r="M687" s="306">
        <f t="shared" ca="1" si="306"/>
        <v>-1.4944246891980477</v>
      </c>
      <c r="N687" s="304">
        <f t="shared" ca="1" si="307"/>
        <v>-85.624227491197914</v>
      </c>
      <c r="P687" s="310">
        <f t="shared" ca="1" si="308"/>
        <v>23</v>
      </c>
      <c r="Q687" s="304">
        <f t="shared" ca="1" si="309"/>
        <v>0</v>
      </c>
      <c r="R687" s="306">
        <f t="shared" ca="1" si="310"/>
        <v>0</v>
      </c>
      <c r="S687" s="307">
        <f t="shared" ca="1" si="311"/>
        <v>7.9789999999999939</v>
      </c>
      <c r="T687" s="304">
        <f t="shared" ca="1" si="291"/>
        <v>78.273989999999941</v>
      </c>
      <c r="U687" s="311">
        <f t="shared" ca="1" si="292"/>
        <v>0</v>
      </c>
      <c r="V687" s="306">
        <f t="shared" ca="1" si="293"/>
        <v>1.1751143537817432</v>
      </c>
      <c r="W687" s="304">
        <f t="shared" ca="1" si="294"/>
        <v>47.61150740124004</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3.8605461096583564</v>
      </c>
      <c r="AH687" s="304">
        <f t="shared" ca="1" si="318"/>
        <v>-5.920366022336264</v>
      </c>
    </row>
    <row r="688" spans="1:34" x14ac:dyDescent="0.2">
      <c r="A688" s="347">
        <f t="shared" ca="1" si="296"/>
        <v>0.1</v>
      </c>
      <c r="B688" s="304">
        <f t="shared" ca="1" si="297"/>
        <v>32.400000000000148</v>
      </c>
      <c r="D688" s="306">
        <f t="shared" ca="1" si="298"/>
        <v>-0.4552744809279301</v>
      </c>
      <c r="E688" s="307">
        <f t="shared" ca="1" si="299"/>
        <v>-3.860291415712453</v>
      </c>
      <c r="F688" s="304">
        <f t="shared" ca="1" si="300"/>
        <v>3.8870457505935598</v>
      </c>
      <c r="G688" s="306">
        <f t="shared" ca="1" si="301"/>
        <v>8.7409454828749098</v>
      </c>
      <c r="H688" s="307">
        <f t="shared" ca="1" si="302"/>
        <v>-115.21116345711435</v>
      </c>
      <c r="I688" s="304">
        <f t="shared" ca="1" si="303"/>
        <v>115.54227067647801</v>
      </c>
      <c r="J688" s="306">
        <f t="shared" ca="1" si="304"/>
        <v>441.53233918915203</v>
      </c>
      <c r="K688" s="307">
        <f t="shared" ca="1" si="305"/>
        <v>404.19209685898591</v>
      </c>
      <c r="L688" s="304">
        <f t="shared" ca="1" si="290"/>
        <v>598.60008161802671</v>
      </c>
      <c r="M688" s="306">
        <f t="shared" ca="1" si="306"/>
        <v>-1.4950724847787125</v>
      </c>
      <c r="N688" s="304">
        <f t="shared" ca="1" si="307"/>
        <v>-85.661343443957236</v>
      </c>
      <c r="P688" s="310">
        <f t="shared" ca="1" si="308"/>
        <v>23</v>
      </c>
      <c r="Q688" s="304">
        <f t="shared" ca="1" si="309"/>
        <v>0</v>
      </c>
      <c r="R688" s="306">
        <f t="shared" ca="1" si="310"/>
        <v>0</v>
      </c>
      <c r="S688" s="307">
        <f t="shared" ca="1" si="311"/>
        <v>7.9789999999999939</v>
      </c>
      <c r="T688" s="304">
        <f t="shared" ca="1" si="291"/>
        <v>78.273989999999941</v>
      </c>
      <c r="U688" s="311">
        <f t="shared" ca="1" si="292"/>
        <v>0</v>
      </c>
      <c r="V688" s="306">
        <f t="shared" ca="1" si="293"/>
        <v>1.1764672949262736</v>
      </c>
      <c r="W688" s="304">
        <f t="shared" ca="1" si="294"/>
        <v>47.982623223609139</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3.8143027991208722</v>
      </c>
      <c r="AH688" s="304">
        <f t="shared" ca="1" si="318"/>
        <v>-5.9671020680837294</v>
      </c>
    </row>
    <row r="689" spans="1:34" x14ac:dyDescent="0.2">
      <c r="A689" s="347">
        <f t="shared" ca="1" si="296"/>
        <v>0.1</v>
      </c>
      <c r="B689" s="304">
        <f t="shared" ca="1" si="297"/>
        <v>32.500000000000149</v>
      </c>
      <c r="D689" s="306">
        <f t="shared" ca="1" si="298"/>
        <v>-0.45493886058890626</v>
      </c>
      <c r="E689" s="307">
        <f t="shared" ca="1" si="299"/>
        <v>-3.8136194559283823</v>
      </c>
      <c r="F689" s="304">
        <f t="shared" ca="1" si="300"/>
        <v>3.8406591519567868</v>
      </c>
      <c r="G689" s="306">
        <f t="shared" ca="1" si="301"/>
        <v>8.6954515968160191</v>
      </c>
      <c r="H689" s="307">
        <f t="shared" ca="1" si="302"/>
        <v>-115.5925254027072</v>
      </c>
      <c r="I689" s="304">
        <f t="shared" ca="1" si="303"/>
        <v>115.91912183694319</v>
      </c>
      <c r="J689" s="306">
        <f t="shared" ca="1" si="304"/>
        <v>442.40415904313659</v>
      </c>
      <c r="K689" s="307">
        <f t="shared" ca="1" si="305"/>
        <v>392.65191241599484</v>
      </c>
      <c r="L689" s="304">
        <f t="shared" ca="1" si="290"/>
        <v>591.52089080826465</v>
      </c>
      <c r="M689" s="306">
        <f t="shared" ca="1" si="306"/>
        <v>-1.4957127080674884</v>
      </c>
      <c r="N689" s="304">
        <f t="shared" ca="1" si="307"/>
        <v>-85.698025536350073</v>
      </c>
      <c r="P689" s="310">
        <f t="shared" ca="1" si="308"/>
        <v>23</v>
      </c>
      <c r="Q689" s="304">
        <f t="shared" ca="1" si="309"/>
        <v>0</v>
      </c>
      <c r="R689" s="306">
        <f t="shared" ca="1" si="310"/>
        <v>0</v>
      </c>
      <c r="S689" s="307">
        <f t="shared" ca="1" si="311"/>
        <v>7.9789999999999939</v>
      </c>
      <c r="T689" s="304">
        <f t="shared" ca="1" si="291"/>
        <v>78.273989999999941</v>
      </c>
      <c r="U689" s="311">
        <f t="shared" ca="1" si="292"/>
        <v>0</v>
      </c>
      <c r="V689" s="306">
        <f t="shared" ca="1" si="293"/>
        <v>1.1778262832342332</v>
      </c>
      <c r="W689" s="304">
        <f t="shared" ca="1" si="294"/>
        <v>48.351921608167117</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3.7682740366152823</v>
      </c>
      <c r="AH689" s="304">
        <f t="shared" ca="1" si="318"/>
        <v>-6.0136136387528731</v>
      </c>
    </row>
    <row r="690" spans="1:34" x14ac:dyDescent="0.2">
      <c r="A690" s="347">
        <f t="shared" ca="1" si="296"/>
        <v>0.1</v>
      </c>
      <c r="B690" s="304">
        <f t="shared" ca="1" si="297"/>
        <v>32.600000000000151</v>
      </c>
      <c r="D690" s="306">
        <f t="shared" ca="1" si="298"/>
        <v>-0.45457163550486313</v>
      </c>
      <c r="E690" s="307">
        <f t="shared" ca="1" si="299"/>
        <v>-3.767176031698428</v>
      </c>
      <c r="F690" s="304">
        <f t="shared" ca="1" si="300"/>
        <v>3.7945026848862136</v>
      </c>
      <c r="G690" s="306">
        <f t="shared" ca="1" si="301"/>
        <v>8.6499944332655332</v>
      </c>
      <c r="H690" s="307">
        <f t="shared" ca="1" si="302"/>
        <v>-115.96924300587703</v>
      </c>
      <c r="I690" s="304">
        <f t="shared" ca="1" si="303"/>
        <v>116.29139145719981</v>
      </c>
      <c r="J690" s="306">
        <f t="shared" ca="1" si="304"/>
        <v>443.27143134464069</v>
      </c>
      <c r="K690" s="307">
        <f t="shared" ca="1" si="305"/>
        <v>381.07382399556565</v>
      </c>
      <c r="L690" s="304">
        <f t="shared" ca="1" si="290"/>
        <v>584.556944344116</v>
      </c>
      <c r="M690" s="306">
        <f t="shared" ca="1" si="306"/>
        <v>-1.4963454964960798</v>
      </c>
      <c r="N690" s="304">
        <f t="shared" ca="1" si="307"/>
        <v>-85.734281642633093</v>
      </c>
      <c r="P690" s="310">
        <f t="shared" ca="1" si="308"/>
        <v>23</v>
      </c>
      <c r="Q690" s="304">
        <f t="shared" ca="1" si="309"/>
        <v>0</v>
      </c>
      <c r="R690" s="306">
        <f t="shared" ca="1" si="310"/>
        <v>0</v>
      </c>
      <c r="S690" s="307">
        <f t="shared" ca="1" si="311"/>
        <v>7.9789999999999939</v>
      </c>
      <c r="T690" s="304">
        <f t="shared" ca="1" si="291"/>
        <v>78.273989999999941</v>
      </c>
      <c r="U690" s="311">
        <f t="shared" ca="1" si="292"/>
        <v>0</v>
      </c>
      <c r="V690" s="306">
        <f t="shared" ca="1" si="293"/>
        <v>1.1791912817326669</v>
      </c>
      <c r="W690" s="304">
        <f t="shared" ca="1" si="294"/>
        <v>48.71937698030689</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3.7224633748841294</v>
      </c>
      <c r="AH690" s="304">
        <f t="shared" ca="1" si="318"/>
        <v>-6.0598974317793148</v>
      </c>
    </row>
    <row r="691" spans="1:34" x14ac:dyDescent="0.2">
      <c r="A691" s="347">
        <f t="shared" ca="1" si="296"/>
        <v>0.1</v>
      </c>
      <c r="B691" s="304">
        <f t="shared" ca="1" si="297"/>
        <v>32.700000000000152</v>
      </c>
      <c r="D691" s="306">
        <f t="shared" ca="1" si="298"/>
        <v>-0.454173219020022</v>
      </c>
      <c r="E691" s="307">
        <f t="shared" ca="1" si="299"/>
        <v>-3.7209643584579348</v>
      </c>
      <c r="F691" s="304">
        <f t="shared" ca="1" si="300"/>
        <v>3.7485796069697224</v>
      </c>
      <c r="G691" s="306">
        <f t="shared" ca="1" si="301"/>
        <v>8.6045771113635308</v>
      </c>
      <c r="H691" s="307">
        <f t="shared" ca="1" si="302"/>
        <v>-116.34133944172282</v>
      </c>
      <c r="I691" s="304">
        <f t="shared" ca="1" si="303"/>
        <v>116.65910170389438</v>
      </c>
      <c r="J691" s="306">
        <f t="shared" ca="1" si="304"/>
        <v>444.13415992187214</v>
      </c>
      <c r="K691" s="307">
        <f t="shared" ca="1" si="305"/>
        <v>369.45829487318565</v>
      </c>
      <c r="L691" s="304">
        <f t="shared" ca="1" si="290"/>
        <v>577.71496748838774</v>
      </c>
      <c r="M691" s="306">
        <f t="shared" ca="1" si="306"/>
        <v>-1.4969709840446388</v>
      </c>
      <c r="N691" s="304">
        <f t="shared" ca="1" si="307"/>
        <v>-85.7701194393035</v>
      </c>
      <c r="P691" s="310">
        <f t="shared" ca="1" si="308"/>
        <v>23</v>
      </c>
      <c r="Q691" s="304">
        <f t="shared" ca="1" si="309"/>
        <v>0</v>
      </c>
      <c r="R691" s="306">
        <f t="shared" ca="1" si="310"/>
        <v>0</v>
      </c>
      <c r="S691" s="307">
        <f t="shared" ca="1" si="311"/>
        <v>7.9789999999999939</v>
      </c>
      <c r="T691" s="304">
        <f t="shared" ca="1" si="291"/>
        <v>78.273989999999941</v>
      </c>
      <c r="U691" s="311">
        <f t="shared" ca="1" si="292"/>
        <v>0</v>
      </c>
      <c r="V691" s="306">
        <f t="shared" ca="1" si="293"/>
        <v>1.1805622535790692</v>
      </c>
      <c r="W691" s="304">
        <f t="shared" ca="1" si="294"/>
        <v>49.084964536627339</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3.6768742615254109</v>
      </c>
      <c r="AH691" s="304">
        <f t="shared" ca="1" si="318"/>
        <v>-6.1059502419234146</v>
      </c>
    </row>
    <row r="692" spans="1:34" x14ac:dyDescent="0.2">
      <c r="A692" s="347">
        <f t="shared" ca="1" si="296"/>
        <v>0.1</v>
      </c>
      <c r="B692" s="304">
        <f t="shared" ca="1" si="297"/>
        <v>32.800000000000153</v>
      </c>
      <c r="D692" s="306">
        <f t="shared" ca="1" si="298"/>
        <v>-0.45374402528086977</v>
      </c>
      <c r="E692" s="307">
        <f t="shared" ca="1" si="299"/>
        <v>-3.6749875546887854</v>
      </c>
      <c r="F692" s="304">
        <f t="shared" ca="1" si="300"/>
        <v>3.702893080767462</v>
      </c>
      <c r="G692" s="306">
        <f t="shared" ca="1" si="301"/>
        <v>8.5592027088354445</v>
      </c>
      <c r="H692" s="307">
        <f t="shared" ca="1" si="302"/>
        <v>-116.7088381971917</v>
      </c>
      <c r="I692" s="304">
        <f t="shared" ca="1" si="303"/>
        <v>117.02227507765009</v>
      </c>
      <c r="J692" s="306">
        <f t="shared" ca="1" si="304"/>
        <v>444.99234891288211</v>
      </c>
      <c r="K692" s="307">
        <f t="shared" ca="1" si="305"/>
        <v>357.80578599123993</v>
      </c>
      <c r="L692" s="304">
        <f t="shared" ca="1" si="290"/>
        <v>571.00190111751226</v>
      </c>
      <c r="M692" s="306">
        <f t="shared" ca="1" si="306"/>
        <v>-1.4975893013489356</v>
      </c>
      <c r="N692" s="304">
        <f t="shared" ca="1" si="307"/>
        <v>-85.805546411239618</v>
      </c>
      <c r="P692" s="310">
        <f t="shared" ca="1" si="308"/>
        <v>23</v>
      </c>
      <c r="Q692" s="304">
        <f t="shared" ca="1" si="309"/>
        <v>0</v>
      </c>
      <c r="R692" s="306">
        <f t="shared" ca="1" si="310"/>
        <v>0</v>
      </c>
      <c r="S692" s="307">
        <f t="shared" ca="1" si="311"/>
        <v>7.9789999999999939</v>
      </c>
      <c r="T692" s="304">
        <f t="shared" ca="1" si="291"/>
        <v>78.273989999999941</v>
      </c>
      <c r="U692" s="311">
        <f t="shared" ca="1" si="292"/>
        <v>0</v>
      </c>
      <c r="V692" s="306">
        <f t="shared" ca="1" si="293"/>
        <v>1.1819391620642257</v>
      </c>
      <c r="W692" s="304">
        <f t="shared" ca="1" si="294"/>
        <v>49.448660239365417</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3.6315100399548408</v>
      </c>
      <c r="AH692" s="304">
        <f t="shared" ca="1" si="318"/>
        <v>-6.1517689605999974</v>
      </c>
    </row>
    <row r="693" spans="1:34" x14ac:dyDescent="0.2">
      <c r="A693" s="347">
        <f t="shared" ca="1" si="296"/>
        <v>0.1</v>
      </c>
      <c r="B693" s="304">
        <f t="shared" ca="1" si="297"/>
        <v>32.900000000000155</v>
      </c>
      <c r="D693" s="306">
        <f t="shared" ca="1" si="298"/>
        <v>-0.45328446909351616</v>
      </c>
      <c r="E693" s="307">
        <f t="shared" ca="1" si="299"/>
        <v>-3.6292486426188395</v>
      </c>
      <c r="F693" s="304">
        <f t="shared" ca="1" si="300"/>
        <v>3.6574461745693649</v>
      </c>
      <c r="G693" s="306">
        <f t="shared" ca="1" si="301"/>
        <v>8.5138742619260928</v>
      </c>
      <c r="H693" s="307">
        <f t="shared" ca="1" si="302"/>
        <v>-117.07176306145358</v>
      </c>
      <c r="I693" s="304">
        <f t="shared" ca="1" si="303"/>
        <v>117.38093440275986</v>
      </c>
      <c r="J693" s="306">
        <f t="shared" ca="1" si="304"/>
        <v>445.84600276142021</v>
      </c>
      <c r="K693" s="307">
        <f t="shared" ca="1" si="305"/>
        <v>346.11675592830767</v>
      </c>
      <c r="L693" s="304">
        <f t="shared" ca="1" si="290"/>
        <v>564.42489926709652</v>
      </c>
      <c r="M693" s="306">
        <f t="shared" ca="1" si="306"/>
        <v>-1.4982005758035879</v>
      </c>
      <c r="N693" s="304">
        <f t="shared" ca="1" si="307"/>
        <v>-85.84056985761535</v>
      </c>
      <c r="P693" s="310">
        <f t="shared" ca="1" si="308"/>
        <v>23</v>
      </c>
      <c r="Q693" s="304">
        <f t="shared" ca="1" si="309"/>
        <v>0</v>
      </c>
      <c r="R693" s="306">
        <f t="shared" ca="1" si="310"/>
        <v>0</v>
      </c>
      <c r="S693" s="307">
        <f t="shared" ca="1" si="311"/>
        <v>7.9789999999999939</v>
      </c>
      <c r="T693" s="304">
        <f t="shared" ca="1" si="291"/>
        <v>78.273989999999941</v>
      </c>
      <c r="U693" s="311">
        <f t="shared" ca="1" si="292"/>
        <v>0</v>
      </c>
      <c r="V693" s="306">
        <f t="shared" ca="1" si="293"/>
        <v>1.1833219706149933</v>
      </c>
      <c r="W693" s="304">
        <f t="shared" ca="1" si="294"/>
        <v>49.810440810616583</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3.5863739503830292</v>
      </c>
      <c r="AH693" s="304">
        <f t="shared" ca="1" si="318"/>
        <v>-6.1973505751805309</v>
      </c>
    </row>
    <row r="694" spans="1:34" x14ac:dyDescent="0.2">
      <c r="A694" s="347">
        <f t="shared" ca="1" si="296"/>
        <v>0.1</v>
      </c>
      <c r="B694" s="304">
        <f t="shared" ca="1" si="297"/>
        <v>33.000000000000156</v>
      </c>
      <c r="D694" s="306">
        <f t="shared" ca="1" si="298"/>
        <v>-0.45279496578365569</v>
      </c>
      <c r="E694" s="307">
        <f t="shared" ca="1" si="299"/>
        <v>-3.5837505489479966</v>
      </c>
      <c r="F694" s="304">
        <f t="shared" ca="1" si="300"/>
        <v>3.612241863181934</v>
      </c>
      <c r="G694" s="306">
        <f t="shared" ca="1" si="301"/>
        <v>8.4685947653477278</v>
      </c>
      <c r="H694" s="307">
        <f t="shared" ca="1" si="302"/>
        <v>-117.43013811634837</v>
      </c>
      <c r="I694" s="304">
        <f t="shared" ca="1" si="303"/>
        <v>117.73510281697779</v>
      </c>
      <c r="J694" s="306">
        <f t="shared" ca="1" si="304"/>
        <v>446.69512621278392</v>
      </c>
      <c r="K694" s="307">
        <f t="shared" ca="1" si="305"/>
        <v>334.39166086941759</v>
      </c>
      <c r="L694" s="304">
        <f t="shared" ca="1" si="290"/>
        <v>557.99132487993268</v>
      </c>
      <c r="M694" s="306">
        <f t="shared" ca="1" si="306"/>
        <v>-1.498804931661516</v>
      </c>
      <c r="N694" s="304">
        <f t="shared" ca="1" si="307"/>
        <v>-85.875196897598641</v>
      </c>
      <c r="P694" s="310">
        <f t="shared" ca="1" si="308"/>
        <v>23</v>
      </c>
      <c r="Q694" s="304">
        <f t="shared" ca="1" si="309"/>
        <v>0</v>
      </c>
      <c r="R694" s="306">
        <f t="shared" ca="1" si="310"/>
        <v>0</v>
      </c>
      <c r="S694" s="307">
        <f t="shared" ca="1" si="311"/>
        <v>7.9789999999999939</v>
      </c>
      <c r="T694" s="304">
        <f t="shared" ca="1" si="291"/>
        <v>78.273989999999941</v>
      </c>
      <c r="U694" s="311">
        <f t="shared" ca="1" si="292"/>
        <v>0</v>
      </c>
      <c r="V694" s="306">
        <f t="shared" ca="1" si="293"/>
        <v>1.1847106427970198</v>
      </c>
      <c r="W694" s="304">
        <f t="shared" ca="1" si="294"/>
        <v>50.170283726351308</v>
      </c>
      <c r="Y694" s="314" t="str">
        <f t="shared" ca="1" si="312"/>
        <v/>
      </c>
      <c r="Z694" s="315" t="str">
        <f t="shared" ca="1" si="313"/>
        <v/>
      </c>
      <c r="AA694" s="316" t="str">
        <f t="shared" ca="1" si="314"/>
        <v/>
      </c>
      <c r="AC694" s="310">
        <f t="shared" ca="1" si="315"/>
        <v>33.000000000000156</v>
      </c>
      <c r="AD694" s="323">
        <f t="shared" ca="1" si="316"/>
        <v>446.69512621278392</v>
      </c>
      <c r="AE694" s="324" t="e">
        <f t="shared" ca="1" si="295"/>
        <v>#N/A</v>
      </c>
      <c r="AG694" s="306">
        <f t="shared" ca="1" si="317"/>
        <v>3.5414691308071973</v>
      </c>
      <c r="AH694" s="304">
        <f t="shared" ca="1" si="318"/>
        <v>-6.2426921682687837</v>
      </c>
    </row>
    <row r="695" spans="1:34" x14ac:dyDescent="0.2">
      <c r="A695" s="347">
        <f t="shared" ca="1" si="296"/>
        <v>0.1</v>
      </c>
      <c r="B695" s="304">
        <f t="shared" ca="1" si="297"/>
        <v>33.100000000000158</v>
      </c>
      <c r="D695" s="306">
        <f t="shared" ca="1" si="298"/>
        <v>-0.45227593105913444</v>
      </c>
      <c r="E695" s="307">
        <f t="shared" ca="1" si="299"/>
        <v>-3.5384961055999486</v>
      </c>
      <c r="F695" s="304">
        <f t="shared" ca="1" si="300"/>
        <v>3.5672830287435016</v>
      </c>
      <c r="G695" s="306">
        <f t="shared" ca="1" si="301"/>
        <v>8.4233671722418144</v>
      </c>
      <c r="H695" s="307">
        <f t="shared" ca="1" si="302"/>
        <v>-117.78398772690836</v>
      </c>
      <c r="I695" s="304">
        <f t="shared" ca="1" si="303"/>
        <v>118.08480376141081</v>
      </c>
      <c r="J695" s="306">
        <f t="shared" ca="1" si="304"/>
        <v>447.53972430966337</v>
      </c>
      <c r="K695" s="307">
        <f t="shared" ca="1" si="305"/>
        <v>322.63095457725478</v>
      </c>
      <c r="L695" s="304">
        <f t="shared" ca="1" si="290"/>
        <v>551.70874352922863</v>
      </c>
      <c r="M695" s="306">
        <f t="shared" ca="1" si="306"/>
        <v>-1.4994024901297822</v>
      </c>
      <c r="N695" s="304">
        <f t="shared" ca="1" si="307"/>
        <v>-85.909434475842602</v>
      </c>
      <c r="P695" s="310">
        <f t="shared" ca="1" si="308"/>
        <v>23</v>
      </c>
      <c r="Q695" s="304">
        <f t="shared" ca="1" si="309"/>
        <v>0</v>
      </c>
      <c r="R695" s="306">
        <f t="shared" ca="1" si="310"/>
        <v>0</v>
      </c>
      <c r="S695" s="307">
        <f t="shared" ca="1" si="311"/>
        <v>7.9789999999999939</v>
      </c>
      <c r="T695" s="304">
        <f t="shared" ca="1" si="291"/>
        <v>78.273989999999941</v>
      </c>
      <c r="U695" s="311">
        <f t="shared" ca="1" si="292"/>
        <v>0</v>
      </c>
      <c r="V695" s="306">
        <f t="shared" ca="1" si="293"/>
        <v>1.1861051423174005</v>
      </c>
      <c r="W695" s="304">
        <f t="shared" ca="1" si="294"/>
        <v>50.528167210235203</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3.4967986180170456</v>
      </c>
      <c r="AH695" s="304">
        <f t="shared" ca="1" si="318"/>
        <v>-6.2877909169509145</v>
      </c>
    </row>
    <row r="696" spans="1:34" x14ac:dyDescent="0.2">
      <c r="A696" s="347">
        <f t="shared" ca="1" si="296"/>
        <v>0.1</v>
      </c>
      <c r="B696" s="304">
        <f t="shared" ca="1" si="297"/>
        <v>33.200000000000159</v>
      </c>
      <c r="D696" s="306">
        <f t="shared" ca="1" si="298"/>
        <v>-0.45172778087515686</v>
      </c>
      <c r="E696" s="307">
        <f t="shared" ca="1" si="299"/>
        <v>-3.4934880504986321</v>
      </c>
      <c r="F696" s="304">
        <f t="shared" ca="1" si="300"/>
        <v>3.5225724615671323</v>
      </c>
      <c r="G696" s="306">
        <f t="shared" ca="1" si="301"/>
        <v>8.3781943941542991</v>
      </c>
      <c r="H696" s="307">
        <f t="shared" ca="1" si="302"/>
        <v>-118.13333653195822</v>
      </c>
      <c r="I696" s="304">
        <f t="shared" ca="1" si="303"/>
        <v>118.43006097051176</v>
      </c>
      <c r="J696" s="306">
        <f t="shared" ca="1" si="304"/>
        <v>448.37980238798315</v>
      </c>
      <c r="K696" s="307">
        <f t="shared" ca="1" si="305"/>
        <v>310.83508836431145</v>
      </c>
      <c r="L696" s="304">
        <f t="shared" ca="1" si="290"/>
        <v>545.58491488304196</v>
      </c>
      <c r="M696" s="306">
        <f t="shared" ca="1" si="306"/>
        <v>-1.4999933694619683</v>
      </c>
      <c r="N696" s="304">
        <f t="shared" ca="1" si="307"/>
        <v>-85.943289367778362</v>
      </c>
      <c r="P696" s="310">
        <f t="shared" ca="1" si="308"/>
        <v>23</v>
      </c>
      <c r="Q696" s="304">
        <f t="shared" ca="1" si="309"/>
        <v>0</v>
      </c>
      <c r="R696" s="306">
        <f t="shared" ca="1" si="310"/>
        <v>0</v>
      </c>
      <c r="S696" s="307">
        <f t="shared" ca="1" si="311"/>
        <v>7.9789999999999939</v>
      </c>
      <c r="T696" s="304">
        <f t="shared" ca="1" si="291"/>
        <v>78.273989999999941</v>
      </c>
      <c r="U696" s="311">
        <f t="shared" ca="1" si="292"/>
        <v>0</v>
      </c>
      <c r="V696" s="306">
        <f t="shared" ca="1" si="293"/>
        <v>1.1875054330272794</v>
      </c>
      <c r="W696" s="304">
        <f t="shared" ca="1" si="294"/>
        <v>50.884070227260786</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3.452365348614336</v>
      </c>
      <c r="AH696" s="304">
        <f t="shared" ca="1" si="318"/>
        <v>-6.3326440920209599</v>
      </c>
    </row>
    <row r="697" spans="1:34" x14ac:dyDescent="0.2">
      <c r="A697" s="347">
        <f t="shared" ca="1" si="296"/>
        <v>0.1</v>
      </c>
      <c r="B697" s="304">
        <f t="shared" ca="1" si="297"/>
        <v>33.300000000000161</v>
      </c>
      <c r="D697" s="306">
        <f t="shared" ca="1" si="298"/>
        <v>-0.45115093130212591</v>
      </c>
      <c r="E697" s="307">
        <f t="shared" ca="1" si="299"/>
        <v>-3.4487290283683913</v>
      </c>
      <c r="F697" s="304">
        <f t="shared" ca="1" si="300"/>
        <v>3.4781128610103447</v>
      </c>
      <c r="G697" s="306">
        <f t="shared" ca="1" si="301"/>
        <v>8.3330793010240871</v>
      </c>
      <c r="H697" s="307">
        <f t="shared" ca="1" si="302"/>
        <v>-118.47820943479506</v>
      </c>
      <c r="I697" s="304">
        <f t="shared" ca="1" si="303"/>
        <v>118.77089846217514</v>
      </c>
      <c r="J697" s="306">
        <f t="shared" ca="1" si="304"/>
        <v>449.21536607274209</v>
      </c>
      <c r="K697" s="307">
        <f t="shared" ca="1" si="305"/>
        <v>299.00451106597376</v>
      </c>
      <c r="L697" s="304">
        <f t="shared" ca="1" si="290"/>
        <v>539.62778167332124</v>
      </c>
      <c r="M697" s="306">
        <f t="shared" ca="1" si="306"/>
        <v>-1.5005776850472337</v>
      </c>
      <c r="N697" s="304">
        <f t="shared" ca="1" si="307"/>
        <v>-85.976768184717784</v>
      </c>
      <c r="P697" s="310">
        <f t="shared" ca="1" si="308"/>
        <v>23</v>
      </c>
      <c r="Q697" s="304">
        <f t="shared" ca="1" si="309"/>
        <v>0</v>
      </c>
      <c r="R697" s="306">
        <f t="shared" ca="1" si="310"/>
        <v>0</v>
      </c>
      <c r="S697" s="307">
        <f t="shared" ca="1" si="311"/>
        <v>7.9789999999999939</v>
      </c>
      <c r="T697" s="304">
        <f t="shared" ca="1" si="291"/>
        <v>78.273989999999941</v>
      </c>
      <c r="U697" s="311">
        <f t="shared" ca="1" si="292"/>
        <v>0</v>
      </c>
      <c r="V697" s="306">
        <f t="shared" ca="1" si="293"/>
        <v>1.1889114789243838</v>
      </c>
      <c r="W697" s="304">
        <f t="shared" ca="1" si="294"/>
        <v>51.237972477197836</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3.4081721600457886</v>
      </c>
      <c r="AH697" s="304">
        <f t="shared" ca="1" si="318"/>
        <v>-6.3772490571827074</v>
      </c>
    </row>
    <row r="698" spans="1:34" x14ac:dyDescent="0.2">
      <c r="A698" s="347">
        <f t="shared" ca="1" si="296"/>
        <v>0.1</v>
      </c>
      <c r="B698" s="304">
        <f t="shared" ca="1" si="297"/>
        <v>33.400000000000162</v>
      </c>
      <c r="D698" s="306">
        <f t="shared" ca="1" si="298"/>
        <v>-0.45054579839612946</v>
      </c>
      <c r="E698" s="307">
        <f t="shared" ca="1" si="299"/>
        <v>-3.4042215915569756</v>
      </c>
      <c r="F698" s="304">
        <f t="shared" ca="1" si="300"/>
        <v>3.4339068363709453</v>
      </c>
      <c r="G698" s="306">
        <f t="shared" ca="1" si="301"/>
        <v>8.288024721184474</v>
      </c>
      <c r="H698" s="307">
        <f t="shared" ca="1" si="302"/>
        <v>-118.81863159395076</v>
      </c>
      <c r="I698" s="304">
        <f t="shared" ca="1" si="303"/>
        <v>119.10734052793705</v>
      </c>
      <c r="J698" s="306">
        <f t="shared" ca="1" si="304"/>
        <v>450.0464212738525</v>
      </c>
      <c r="K698" s="307">
        <f t="shared" ca="1" si="305"/>
        <v>287.13966901453648</v>
      </c>
      <c r="L698" s="304">
        <f t="shared" ca="1" si="290"/>
        <v>533.8454559356851</v>
      </c>
      <c r="M698" s="306">
        <f t="shared" ca="1" si="306"/>
        <v>-1.5011555494961955</v>
      </c>
      <c r="N698" s="304">
        <f t="shared" ca="1" si="307"/>
        <v>-86.00987737877395</v>
      </c>
      <c r="P698" s="310">
        <f t="shared" ca="1" si="308"/>
        <v>23</v>
      </c>
      <c r="Q698" s="304">
        <f t="shared" ca="1" si="309"/>
        <v>0</v>
      </c>
      <c r="R698" s="306">
        <f t="shared" ca="1" si="310"/>
        <v>0</v>
      </c>
      <c r="S698" s="307">
        <f t="shared" ca="1" si="311"/>
        <v>7.9789999999999939</v>
      </c>
      <c r="T698" s="304">
        <f t="shared" ca="1" si="291"/>
        <v>78.273989999999941</v>
      </c>
      <c r="U698" s="311">
        <f t="shared" ca="1" si="292"/>
        <v>0</v>
      </c>
      <c r="V698" s="306">
        <f t="shared" ca="1" si="293"/>
        <v>1.1903232441555036</v>
      </c>
      <c r="W698" s="304">
        <f t="shared" ca="1" si="294"/>
        <v>51.589854387870538</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3.3642217916488333</v>
      </c>
      <c r="AH698" s="304">
        <f t="shared" ca="1" si="318"/>
        <v>-6.4216032682288349</v>
      </c>
    </row>
    <row r="699" spans="1:34" x14ac:dyDescent="0.2">
      <c r="A699" s="347">
        <f t="shared" ca="1" si="296"/>
        <v>0.1</v>
      </c>
      <c r="B699" s="304">
        <f t="shared" ca="1" si="297"/>
        <v>33.500000000000163</v>
      </c>
      <c r="D699" s="306">
        <f t="shared" ca="1" si="298"/>
        <v>-0.44991279807207712</v>
      </c>
      <c r="E699" s="307">
        <f t="shared" ca="1" si="299"/>
        <v>-3.3599682008803358</v>
      </c>
      <c r="F699" s="304">
        <f t="shared" ca="1" si="300"/>
        <v>3.3899569078081342</v>
      </c>
      <c r="G699" s="306">
        <f t="shared" ca="1" si="301"/>
        <v>8.2430334413772659</v>
      </c>
      <c r="H699" s="307">
        <f t="shared" ca="1" si="302"/>
        <v>-119.15462841403878</v>
      </c>
      <c r="I699" s="304">
        <f t="shared" ca="1" si="303"/>
        <v>119.43941172328053</v>
      </c>
      <c r="J699" s="306">
        <f t="shared" ca="1" si="304"/>
        <v>450.87297418198057</v>
      </c>
      <c r="K699" s="307">
        <f t="shared" ca="1" si="305"/>
        <v>275.24100601413699</v>
      </c>
      <c r="L699" s="304">
        <f t="shared" ca="1" si="290"/>
        <v>528.24620229527363</v>
      </c>
      <c r="M699" s="306">
        <f t="shared" ca="1" si="306"/>
        <v>-1.5017270727237575</v>
      </c>
      <c r="N699" s="304">
        <f t="shared" ca="1" si="307"/>
        <v>-86.042623247606954</v>
      </c>
      <c r="P699" s="310">
        <f t="shared" ca="1" si="308"/>
        <v>23</v>
      </c>
      <c r="Q699" s="304">
        <f t="shared" ca="1" si="309"/>
        <v>0</v>
      </c>
      <c r="R699" s="306">
        <f t="shared" ca="1" si="310"/>
        <v>0</v>
      </c>
      <c r="S699" s="307">
        <f t="shared" ca="1" si="311"/>
        <v>7.9789999999999939</v>
      </c>
      <c r="T699" s="304">
        <f t="shared" ca="1" si="291"/>
        <v>78.273989999999941</v>
      </c>
      <c r="U699" s="311">
        <f t="shared" ca="1" si="292"/>
        <v>0</v>
      </c>
      <c r="V699" s="306">
        <f t="shared" ca="1" si="293"/>
        <v>1.1917406930189087</v>
      </c>
      <c r="W699" s="304">
        <f t="shared" ca="1" si="294"/>
        <v>51.939697108268433</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3.3205168857097114</v>
      </c>
      <c r="AH699" s="304">
        <f t="shared" ca="1" si="318"/>
        <v>-6.4657042721983427</v>
      </c>
    </row>
    <row r="700" spans="1:34" x14ac:dyDescent="0.2">
      <c r="A700" s="347">
        <f t="shared" ca="1" si="296"/>
        <v>0.1</v>
      </c>
      <c r="B700" s="304">
        <f t="shared" ca="1" si="297"/>
        <v>33.600000000000165</v>
      </c>
      <c r="D700" s="306">
        <f t="shared" ca="1" si="298"/>
        <v>-0.44925234597950275</v>
      </c>
      <c r="E700" s="307">
        <f t="shared" ca="1" si="299"/>
        <v>-3.315971226488335</v>
      </c>
      <c r="F700" s="304">
        <f t="shared" ca="1" si="300"/>
        <v>3.3462655072881828</v>
      </c>
      <c r="G700" s="306">
        <f t="shared" ca="1" si="301"/>
        <v>8.198108206779315</v>
      </c>
      <c r="H700" s="307">
        <f t="shared" ca="1" si="302"/>
        <v>-119.48622553668761</v>
      </c>
      <c r="I700" s="304">
        <f t="shared" ca="1" si="303"/>
        <v>119.76713685804734</v>
      </c>
      <c r="J700" s="306">
        <f t="shared" ca="1" si="304"/>
        <v>451.69503126438838</v>
      </c>
      <c r="K700" s="307">
        <f t="shared" ca="1" si="305"/>
        <v>263.30896331660068</v>
      </c>
      <c r="L700" s="304">
        <f t="shared" ca="1" si="290"/>
        <v>522.83841809090472</v>
      </c>
      <c r="M700" s="306">
        <f t="shared" ca="1" si="306"/>
        <v>-1.5022923620290176</v>
      </c>
      <c r="N700" s="304">
        <f t="shared" ca="1" si="307"/>
        <v>-86.075011939002238</v>
      </c>
      <c r="P700" s="310">
        <f t="shared" ca="1" si="308"/>
        <v>23</v>
      </c>
      <c r="Q700" s="304">
        <f t="shared" ca="1" si="309"/>
        <v>0</v>
      </c>
      <c r="R700" s="306">
        <f t="shared" ca="1" si="310"/>
        <v>0</v>
      </c>
      <c r="S700" s="307">
        <f t="shared" ca="1" si="311"/>
        <v>7.9789999999999939</v>
      </c>
      <c r="T700" s="304">
        <f t="shared" ca="1" si="291"/>
        <v>78.273989999999941</v>
      </c>
      <c r="U700" s="311">
        <f t="shared" ca="1" si="292"/>
        <v>0</v>
      </c>
      <c r="V700" s="306">
        <f t="shared" ca="1" si="293"/>
        <v>1.1931637899667062</v>
      </c>
      <c r="W700" s="304">
        <f t="shared" ca="1" si="294"/>
        <v>52.287482501498665</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3.2770599885334493</v>
      </c>
      <c r="AH700" s="304">
        <f t="shared" ca="1" si="318"/>
        <v>-6.5095497065131562</v>
      </c>
    </row>
    <row r="701" spans="1:34" x14ac:dyDescent="0.2">
      <c r="A701" s="347">
        <f t="shared" ca="1" si="296"/>
        <v>0.1</v>
      </c>
      <c r="B701" s="304">
        <f t="shared" ca="1" si="297"/>
        <v>33.700000000000166</v>
      </c>
      <c r="D701" s="306">
        <f t="shared" ca="1" si="298"/>
        <v>-0.44856485738101881</v>
      </c>
      <c r="E701" s="307">
        <f t="shared" ca="1" si="299"/>
        <v>-3.2722329487504345</v>
      </c>
      <c r="F701" s="304">
        <f t="shared" ca="1" si="300"/>
        <v>3.3028349795539613</v>
      </c>
      <c r="G701" s="306">
        <f t="shared" ca="1" si="301"/>
        <v>8.1532517210412134</v>
      </c>
      <c r="H701" s="307">
        <f t="shared" ca="1" si="302"/>
        <v>-119.81344883156265</v>
      </c>
      <c r="I701" s="304">
        <f t="shared" ca="1" si="303"/>
        <v>120.09054098695761</v>
      </c>
      <c r="J701" s="306">
        <f t="shared" ca="1" si="304"/>
        <v>452.51259926077938</v>
      </c>
      <c r="K701" s="307">
        <f t="shared" ca="1" si="305"/>
        <v>251.34397959818816</v>
      </c>
      <c r="L701" s="304">
        <f t="shared" ca="1" si="290"/>
        <v>517.63061015554433</v>
      </c>
      <c r="M701" s="306">
        <f t="shared" ca="1" si="306"/>
        <v>-1.5028515221723697</v>
      </c>
      <c r="N701" s="304">
        <f t="shared" ca="1" si="307"/>
        <v>-86.107049455288248</v>
      </c>
      <c r="P701" s="310">
        <f t="shared" ca="1" si="308"/>
        <v>23</v>
      </c>
      <c r="Q701" s="304">
        <f t="shared" ca="1" si="309"/>
        <v>0</v>
      </c>
      <c r="R701" s="306">
        <f t="shared" ca="1" si="310"/>
        <v>0</v>
      </c>
      <c r="S701" s="307">
        <f t="shared" ca="1" si="311"/>
        <v>7.9789999999999939</v>
      </c>
      <c r="T701" s="304">
        <f t="shared" ca="1" si="291"/>
        <v>78.273989999999941</v>
      </c>
      <c r="U701" s="311">
        <f t="shared" ca="1" si="292"/>
        <v>0</v>
      </c>
      <c r="V701" s="306">
        <f t="shared" ca="1" si="293"/>
        <v>1.1945924996071409</v>
      </c>
      <c r="W701" s="304">
        <f t="shared" ca="1" si="294"/>
        <v>52.633193137587057</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3.2338535515252449</v>
      </c>
      <c r="AH701" s="304">
        <f t="shared" ca="1" si="318"/>
        <v>-6.5531372980948372</v>
      </c>
    </row>
    <row r="702" spans="1:34" x14ac:dyDescent="0.2">
      <c r="A702" s="347">
        <f t="shared" ca="1" si="296"/>
        <v>0.1</v>
      </c>
      <c r="B702" s="304">
        <f t="shared" ca="1" si="297"/>
        <v>33.800000000000168</v>
      </c>
      <c r="D702" s="306">
        <f t="shared" ca="1" si="298"/>
        <v>-0.44785074703344124</v>
      </c>
      <c r="E702" s="307">
        <f t="shared" ca="1" si="299"/>
        <v>-3.2287555591604091</v>
      </c>
      <c r="F702" s="304">
        <f t="shared" ca="1" si="300"/>
        <v>3.2596675831175879</v>
      </c>
      <c r="G702" s="306">
        <f t="shared" ca="1" si="301"/>
        <v>8.1084666463378685</v>
      </c>
      <c r="H702" s="307">
        <f t="shared" ca="1" si="302"/>
        <v>-120.13632438747869</v>
      </c>
      <c r="I702" s="304">
        <f t="shared" ca="1" si="303"/>
        <v>120.40964940023819</v>
      </c>
      <c r="J702" s="306">
        <f t="shared" ca="1" si="304"/>
        <v>453.32568517914831</v>
      </c>
      <c r="K702" s="307">
        <f t="shared" ca="1" si="305"/>
        <v>239.3464909372361</v>
      </c>
      <c r="L702" s="304">
        <f t="shared" ca="1" si="290"/>
        <v>512.63136810686171</v>
      </c>
      <c r="M702" s="306">
        <f t="shared" ca="1" si="306"/>
        <v>-1.5034046554499156</v>
      </c>
      <c r="N702" s="304">
        <f t="shared" ca="1" si="307"/>
        <v>-86.138741657599866</v>
      </c>
      <c r="P702" s="310">
        <f t="shared" ca="1" si="308"/>
        <v>23</v>
      </c>
      <c r="Q702" s="304">
        <f t="shared" ca="1" si="309"/>
        <v>0</v>
      </c>
      <c r="R702" s="306">
        <f t="shared" ca="1" si="310"/>
        <v>0</v>
      </c>
      <c r="S702" s="307">
        <f t="shared" ca="1" si="311"/>
        <v>7.9789999999999939</v>
      </c>
      <c r="T702" s="304">
        <f t="shared" ca="1" si="291"/>
        <v>78.273989999999941</v>
      </c>
      <c r="U702" s="311">
        <f t="shared" ca="1" si="292"/>
        <v>0</v>
      </c>
      <c r="V702" s="306">
        <f t="shared" ca="1" si="293"/>
        <v>1.1960267867068333</v>
      </c>
      <c r="W702" s="304">
        <f t="shared" ca="1" si="294"/>
        <v>52.976812286134745</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3.1908999322826448</v>
      </c>
      <c r="AH702" s="304">
        <f t="shared" ca="1" si="318"/>
        <v>-6.5964648624623505</v>
      </c>
    </row>
    <row r="703" spans="1:34" x14ac:dyDescent="0.2">
      <c r="A703" s="347">
        <f t="shared" ca="1" si="296"/>
        <v>0.1</v>
      </c>
      <c r="B703" s="304">
        <f t="shared" ca="1" si="297"/>
        <v>33.900000000000169</v>
      </c>
      <c r="D703" s="306">
        <f t="shared" ca="1" si="298"/>
        <v>-0.44711042907157483</v>
      </c>
      <c r="E703" s="307">
        <f t="shared" ca="1" si="299"/>
        <v>-3.185541161259235</v>
      </c>
      <c r="F703" s="304">
        <f t="shared" ca="1" si="300"/>
        <v>3.2167654912755768</v>
      </c>
      <c r="G703" s="306">
        <f t="shared" ca="1" si="301"/>
        <v>8.0637556034307103</v>
      </c>
      <c r="H703" s="307">
        <f t="shared" ca="1" si="302"/>
        <v>-120.45487850360462</v>
      </c>
      <c r="I703" s="304">
        <f t="shared" ca="1" si="303"/>
        <v>120.72448761436102</v>
      </c>
      <c r="J703" s="306">
        <f t="shared" ca="1" si="304"/>
        <v>454.13429629163676</v>
      </c>
      <c r="K703" s="307">
        <f t="shared" ca="1" si="305"/>
        <v>227.31693079268194</v>
      </c>
      <c r="L703" s="304">
        <f t="shared" ca="1" si="290"/>
        <v>507.84933404830321</v>
      </c>
      <c r="M703" s="306">
        <f t="shared" ca="1" si="306"/>
        <v>-1.5039518617652956</v>
      </c>
      <c r="N703" s="304">
        <f t="shared" ca="1" si="307"/>
        <v>-86.170094269994038</v>
      </c>
      <c r="P703" s="310">
        <f t="shared" ca="1" si="308"/>
        <v>23</v>
      </c>
      <c r="Q703" s="304">
        <f t="shared" ca="1" si="309"/>
        <v>0</v>
      </c>
      <c r="R703" s="306">
        <f t="shared" ca="1" si="310"/>
        <v>0</v>
      </c>
      <c r="S703" s="307">
        <f t="shared" ca="1" si="311"/>
        <v>7.9789999999999939</v>
      </c>
      <c r="T703" s="304">
        <f t="shared" ca="1" si="291"/>
        <v>78.273989999999941</v>
      </c>
      <c r="U703" s="311">
        <f t="shared" ca="1" si="292"/>
        <v>0</v>
      </c>
      <c r="V703" s="306">
        <f t="shared" ca="1" si="293"/>
        <v>1.1974666161929639</v>
      </c>
      <c r="W703" s="304">
        <f t="shared" ca="1" si="294"/>
        <v>53.318323908838259</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3.1482013956980959</v>
      </c>
      <c r="AH703" s="304">
        <f t="shared" ca="1" si="318"/>
        <v>-6.6395303028117292</v>
      </c>
    </row>
    <row r="704" spans="1:34" x14ac:dyDescent="0.2">
      <c r="A704" s="347">
        <f t="shared" ca="1" si="296"/>
        <v>0.1</v>
      </c>
      <c r="B704" s="304">
        <f t="shared" ca="1" si="297"/>
        <v>34.000000000000171</v>
      </c>
      <c r="D704" s="306">
        <f t="shared" ca="1" si="298"/>
        <v>-0.44634431689466053</v>
      </c>
      <c r="E704" s="307">
        <f t="shared" ca="1" si="299"/>
        <v>-3.1425917715751739</v>
      </c>
      <c r="F704" s="304">
        <f t="shared" ca="1" si="300"/>
        <v>3.1741307931457632</v>
      </c>
      <c r="G704" s="306">
        <f t="shared" ca="1" si="301"/>
        <v>8.0191211717412436</v>
      </c>
      <c r="H704" s="307">
        <f t="shared" ca="1" si="302"/>
        <v>-120.76913768076214</v>
      </c>
      <c r="I704" s="304">
        <f t="shared" ca="1" si="303"/>
        <v>121.03508136289226</v>
      </c>
      <c r="J704" s="306">
        <f t="shared" ca="1" si="304"/>
        <v>454.93844013039535</v>
      </c>
      <c r="K704" s="307">
        <f t="shared" ca="1" si="305"/>
        <v>215.2557299834636</v>
      </c>
      <c r="L704" s="304">
        <f t="shared" ca="1" si="290"/>
        <v>503.29316863930421</v>
      </c>
      <c r="M704" s="306">
        <f t="shared" ca="1" si="306"/>
        <v>-1.5044932386990415</v>
      </c>
      <c r="N704" s="304">
        <f t="shared" ca="1" si="307"/>
        <v>-86.20111288342342</v>
      </c>
      <c r="P704" s="310">
        <f t="shared" ca="1" si="308"/>
        <v>23</v>
      </c>
      <c r="Q704" s="304">
        <f t="shared" ca="1" si="309"/>
        <v>0</v>
      </c>
      <c r="R704" s="306">
        <f t="shared" ca="1" si="310"/>
        <v>0</v>
      </c>
      <c r="S704" s="307">
        <f t="shared" ca="1" si="311"/>
        <v>7.9789999999999939</v>
      </c>
      <c r="T704" s="304">
        <f t="shared" ca="1" si="291"/>
        <v>78.273989999999941</v>
      </c>
      <c r="U704" s="311">
        <f t="shared" ca="1" si="292"/>
        <v>0</v>
      </c>
      <c r="V704" s="306">
        <f t="shared" ca="1" si="293"/>
        <v>1.1989119531553949</v>
      </c>
      <c r="W704" s="304">
        <f t="shared" ca="1" si="294"/>
        <v>53.657712651879329</v>
      </c>
      <c r="Y704" s="314" t="str">
        <f t="shared" ca="1" si="312"/>
        <v/>
      </c>
      <c r="Z704" s="315" t="str">
        <f t="shared" ca="1" si="313"/>
        <v/>
      </c>
      <c r="AA704" s="316" t="str">
        <f t="shared" ca="1" si="314"/>
        <v/>
      </c>
      <c r="AC704" s="310">
        <f t="shared" ca="1" si="315"/>
        <v>34.000000000000171</v>
      </c>
      <c r="AD704" s="323">
        <f t="shared" ca="1" si="316"/>
        <v>454.93844013039535</v>
      </c>
      <c r="AE704" s="324" t="e">
        <f t="shared" ca="1" si="295"/>
        <v>#N/A</v>
      </c>
      <c r="AG704" s="306">
        <f t="shared" ca="1" si="317"/>
        <v>3.1057601150712566</v>
      </c>
      <c r="AH704" s="304">
        <f t="shared" ca="1" si="318"/>
        <v>-6.6823316090786191</v>
      </c>
    </row>
    <row r="705" spans="1:34" x14ac:dyDescent="0.2">
      <c r="A705" s="347">
        <f t="shared" ca="1" si="296"/>
        <v>0.1</v>
      </c>
      <c r="B705" s="304">
        <f t="shared" ca="1" si="297"/>
        <v>34.100000000000172</v>
      </c>
      <c r="D705" s="306">
        <f t="shared" ca="1" si="298"/>
        <v>-0.44555282305547234</v>
      </c>
      <c r="E705" s="307">
        <f t="shared" ca="1" si="299"/>
        <v>-3.0999093205802382</v>
      </c>
      <c r="F705" s="304">
        <f t="shared" ca="1" si="300"/>
        <v>3.1317654947254487</v>
      </c>
      <c r="G705" s="306">
        <f t="shared" ca="1" si="301"/>
        <v>7.9745658894356968</v>
      </c>
      <c r="H705" s="307">
        <f t="shared" ca="1" si="302"/>
        <v>-121.07912861282017</v>
      </c>
      <c r="I705" s="304">
        <f t="shared" ca="1" si="303"/>
        <v>121.34145658745324</v>
      </c>
      <c r="J705" s="306">
        <f t="shared" ca="1" si="304"/>
        <v>455.73812448345421</v>
      </c>
      <c r="K705" s="307">
        <f t="shared" ca="1" si="305"/>
        <v>203.16331666878449</v>
      </c>
      <c r="L705" s="304">
        <f t="shared" ca="1" si="290"/>
        <v>498.97151356320654</v>
      </c>
      <c r="M705" s="306">
        <f t="shared" ca="1" si="306"/>
        <v>-1.505028881575549</v>
      </c>
      <c r="N705" s="304">
        <f t="shared" ca="1" si="307"/>
        <v>-86.231802959573542</v>
      </c>
      <c r="P705" s="310">
        <f t="shared" ca="1" si="308"/>
        <v>23</v>
      </c>
      <c r="Q705" s="304">
        <f t="shared" ca="1" si="309"/>
        <v>0</v>
      </c>
      <c r="R705" s="306">
        <f t="shared" ca="1" si="310"/>
        <v>0</v>
      </c>
      <c r="S705" s="307">
        <f t="shared" ca="1" si="311"/>
        <v>7.9789999999999939</v>
      </c>
      <c r="T705" s="304">
        <f t="shared" ca="1" si="291"/>
        <v>78.273989999999941</v>
      </c>
      <c r="U705" s="311">
        <f t="shared" ca="1" si="292"/>
        <v>0</v>
      </c>
      <c r="V705" s="306">
        <f t="shared" ca="1" si="293"/>
        <v>1.2003627628487341</v>
      </c>
      <c r="W705" s="304">
        <f t="shared" ca="1" si="294"/>
        <v>53.994963838191893</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3.0635781732305398</v>
      </c>
      <c r="AH705" s="304">
        <f t="shared" ca="1" si="318"/>
        <v>-6.724866856984506</v>
      </c>
    </row>
    <row r="706" spans="1:34" x14ac:dyDescent="0.2">
      <c r="A706" s="347">
        <f t="shared" ca="1" si="296"/>
        <v>0.1</v>
      </c>
      <c r="B706" s="304">
        <f t="shared" ca="1" si="297"/>
        <v>34.200000000000173</v>
      </c>
      <c r="D706" s="306">
        <f t="shared" ca="1" si="298"/>
        <v>-0.44473635915208187</v>
      </c>
      <c r="E706" s="307">
        <f t="shared" ca="1" si="299"/>
        <v>-3.0574956536621309</v>
      </c>
      <c r="F706" s="304">
        <f t="shared" ca="1" si="300"/>
        <v>3.0896715199701523</v>
      </c>
      <c r="G706" s="306">
        <f t="shared" ca="1" si="301"/>
        <v>7.9300922535204883</v>
      </c>
      <c r="H706" s="307">
        <f t="shared" ca="1" si="302"/>
        <v>-121.38487817818638</v>
      </c>
      <c r="I706" s="304">
        <f t="shared" ca="1" si="303"/>
        <v>121.6436394287942</v>
      </c>
      <c r="J706" s="306">
        <f t="shared" ca="1" si="304"/>
        <v>456.53335739060202</v>
      </c>
      <c r="K706" s="307">
        <f t="shared" ca="1" si="305"/>
        <v>191.04011632923417</v>
      </c>
      <c r="L706" s="304">
        <f t="shared" ca="1" si="290"/>
        <v>494.89295050285619</v>
      </c>
      <c r="M706" s="306">
        <f t="shared" ca="1" si="306"/>
        <v>-1.5055588835277676</v>
      </c>
      <c r="N706" s="304">
        <f t="shared" ca="1" si="307"/>
        <v>-86.262169834569363</v>
      </c>
      <c r="P706" s="310">
        <f t="shared" ca="1" si="308"/>
        <v>23</v>
      </c>
      <c r="Q706" s="304">
        <f t="shared" ca="1" si="309"/>
        <v>0</v>
      </c>
      <c r="R706" s="306">
        <f t="shared" ca="1" si="310"/>
        <v>0</v>
      </c>
      <c r="S706" s="307">
        <f t="shared" ca="1" si="311"/>
        <v>7.9789999999999939</v>
      </c>
      <c r="T706" s="304">
        <f t="shared" ca="1" si="291"/>
        <v>78.273989999999941</v>
      </c>
      <c r="U706" s="311">
        <f t="shared" ca="1" si="292"/>
        <v>0</v>
      </c>
      <c r="V706" s="306">
        <f t="shared" ca="1" si="293"/>
        <v>1.2018190106943478</v>
      </c>
      <c r="W706" s="304">
        <f t="shared" ca="1" si="294"/>
        <v>54.330063459613214</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3.0216575636633785</v>
      </c>
      <c r="AH706" s="304">
        <f t="shared" ca="1" si="318"/>
        <v>-6.767134207067544</v>
      </c>
    </row>
    <row r="707" spans="1:34" x14ac:dyDescent="0.2">
      <c r="A707" s="347">
        <f t="shared" ca="1" si="296"/>
        <v>0.1</v>
      </c>
      <c r="B707" s="304">
        <f t="shared" ca="1" si="297"/>
        <v>34.300000000000175</v>
      </c>
      <c r="D707" s="306">
        <f t="shared" ca="1" si="298"/>
        <v>-0.44389533572225526</v>
      </c>
      <c r="E707" s="307">
        <f t="shared" ca="1" si="299"/>
        <v>-3.0153525321107519</v>
      </c>
      <c r="F707" s="304">
        <f t="shared" ca="1" si="300"/>
        <v>3.0478507118923486</v>
      </c>
      <c r="G707" s="306">
        <f t="shared" ca="1" si="301"/>
        <v>7.885702719948263</v>
      </c>
      <c r="H707" s="307">
        <f t="shared" ca="1" si="302"/>
        <v>-121.68641343139745</v>
      </c>
      <c r="I707" s="304">
        <f t="shared" ca="1" si="303"/>
        <v>121.9416562179815</v>
      </c>
      <c r="J707" s="306">
        <f t="shared" ca="1" si="304"/>
        <v>457.32414713927545</v>
      </c>
      <c r="K707" s="307">
        <f t="shared" ca="1" si="305"/>
        <v>178.88655174875498</v>
      </c>
      <c r="L707" s="304">
        <f t="shared" ca="1" si="290"/>
        <v>491.06595682578694</v>
      </c>
      <c r="M707" s="306">
        <f t="shared" ca="1" si="306"/>
        <v>-1.5060833355596934</v>
      </c>
      <c r="N707" s="304">
        <f t="shared" ca="1" si="307"/>
        <v>-86.292218722555774</v>
      </c>
      <c r="P707" s="310">
        <f t="shared" ca="1" si="308"/>
        <v>23</v>
      </c>
      <c r="Q707" s="304">
        <f t="shared" ca="1" si="309"/>
        <v>0</v>
      </c>
      <c r="R707" s="306">
        <f t="shared" ca="1" si="310"/>
        <v>0</v>
      </c>
      <c r="S707" s="307">
        <f t="shared" ca="1" si="311"/>
        <v>7.9789999999999939</v>
      </c>
      <c r="T707" s="304">
        <f t="shared" ca="1" si="291"/>
        <v>78.273989999999941</v>
      </c>
      <c r="U707" s="311">
        <f t="shared" ca="1" si="292"/>
        <v>0</v>
      </c>
      <c r="V707" s="306">
        <f t="shared" ca="1" si="293"/>
        <v>1.2032806622823069</v>
      </c>
      <c r="W707" s="304">
        <f t="shared" ca="1" si="294"/>
        <v>54.662998168925377</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2.9800001916545567</v>
      </c>
      <c r="AH707" s="304">
        <f t="shared" ca="1" si="318"/>
        <v>-6.8091319036988667</v>
      </c>
    </row>
    <row r="708" spans="1:34" x14ac:dyDescent="0.2">
      <c r="A708" s="347">
        <f t="shared" ca="1" si="296"/>
        <v>0.1</v>
      </c>
      <c r="B708" s="304">
        <f t="shared" ca="1" si="297"/>
        <v>34.400000000000176</v>
      </c>
      <c r="D708" s="306">
        <f t="shared" ca="1" si="298"/>
        <v>-0.44303016214049934</v>
      </c>
      <c r="E708" s="307">
        <f t="shared" ca="1" si="299"/>
        <v>-2.9734816341185244</v>
      </c>
      <c r="F708" s="304">
        <f t="shared" ca="1" si="300"/>
        <v>3.0063048336797795</v>
      </c>
      <c r="G708" s="306">
        <f t="shared" ca="1" si="301"/>
        <v>7.8413997037342131</v>
      </c>
      <c r="H708" s="307">
        <f t="shared" ca="1" si="302"/>
        <v>-121.98376159480931</v>
      </c>
      <c r="I708" s="304">
        <f t="shared" ca="1" si="303"/>
        <v>122.23553346769914</v>
      </c>
      <c r="J708" s="306">
        <f t="shared" ca="1" si="304"/>
        <v>458.11050226045955</v>
      </c>
      <c r="K708" s="307">
        <f t="shared" ca="1" si="305"/>
        <v>166.70304299744464</v>
      </c>
      <c r="L708" s="304">
        <f t="shared" ref="L708:L771" ca="1" si="319">SQRT(pos_x^2+pos_z^2)</f>
        <v>487.4988582816768</v>
      </c>
      <c r="M708" s="306">
        <f t="shared" ca="1" si="306"/>
        <v>-1.5066023266067572</v>
      </c>
      <c r="N708" s="304">
        <f t="shared" ca="1" si="307"/>
        <v>-86.321954719157603</v>
      </c>
      <c r="P708" s="310">
        <f t="shared" ca="1" si="308"/>
        <v>23</v>
      </c>
      <c r="Q708" s="304">
        <f t="shared" ca="1" si="309"/>
        <v>0</v>
      </c>
      <c r="R708" s="306">
        <f t="shared" ca="1" si="310"/>
        <v>0</v>
      </c>
      <c r="S708" s="307">
        <f t="shared" ca="1" si="311"/>
        <v>7.9789999999999939</v>
      </c>
      <c r="T708" s="304">
        <f t="shared" ref="T708:T771" ca="1" si="320">m*g</f>
        <v>78.273989999999941</v>
      </c>
      <c r="U708" s="311">
        <f t="shared" ref="U708:U771" ca="1" si="321">IF(pos_xz&lt;L_rampe,Poids*COS(Beta),0)</f>
        <v>0</v>
      </c>
      <c r="V708" s="306">
        <f t="shared" ref="V708:V771" ca="1" si="322">Rho_moyen*(20000-Alt_rampe-pos_z)/(20000+Alt_rampe+pos_z)</f>
        <v>1.2047476833732844</v>
      </c>
      <c r="W708" s="304">
        <f t="shared" ref="W708:W771" ca="1" si="323">1/2*Rho*Sref*Cx*vit_xz^2</f>
        <v>54.993755271794676</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2.9386078754321767</v>
      </c>
      <c r="AH708" s="304">
        <f t="shared" ca="1" si="318"/>
        <v>-6.8508582740851507</v>
      </c>
    </row>
    <row r="709" spans="1:34" x14ac:dyDescent="0.2">
      <c r="A709" s="347">
        <f t="shared" ref="A709:A772" ca="1" si="325">IF(B708+0.01&lt;=T_ini+ROUNDUP(Temps_fin_propu,0), 0.01, IF(K708&gt;0, 0.1, 0.0001))</f>
        <v>0.1</v>
      </c>
      <c r="B709" s="304">
        <f t="shared" ref="B709:B772" ca="1" si="326">B708+pas</f>
        <v>34.500000000000178</v>
      </c>
      <c r="D709" s="306">
        <f t="shared" ref="D709:D772" ca="1" si="327">IF(AND(L708&lt;L_rampe,Poussee&lt;Poids*SIN(M708)),0,(-W708+Poussee)/m*COS(M708)-U708/m*SIN(M708))</f>
        <v>-0.4421412465177269</v>
      </c>
      <c r="E709" s="307">
        <f t="shared" ref="E709:E772" ca="1" si="328">IF(AND(L708&lt;L_rampe,Poussee&lt;Poids*SIN(M708)),0,(-W708+Poussee)/m*SIN(M708)+U708/m*COS(M708)-Poids/m)</f>
        <v>-2.9318845557935473</v>
      </c>
      <c r="F709" s="304">
        <f t="shared" ref="F709:F772" ca="1" si="329">SQRT(acc_x^2+acc_z^2)</f>
        <v>2.9650355698326747</v>
      </c>
      <c r="G709" s="306">
        <f t="shared" ref="G709:G772" ca="1" si="330">G708+acc_x*pas</f>
        <v>7.7971855790824405</v>
      </c>
      <c r="H709" s="307">
        <f t="shared" ref="H709:H772" ca="1" si="331">H708+acc_z*pas</f>
        <v>-122.27695005038866</v>
      </c>
      <c r="I709" s="304">
        <f t="shared" ref="I709:I772" ca="1" si="332">SQRT(vit_x^2+vit_z^2)</f>
        <v>122.52529786366526</v>
      </c>
      <c r="J709" s="306">
        <f t="shared" ref="J709:J772" ca="1" si="333">J708+0.5*(vit_x+G708)*pas*(K708&gt;=0)</f>
        <v>458.8924315246004</v>
      </c>
      <c r="K709" s="307">
        <f t="shared" ref="K709:K772" ca="1" si="334">K708+0.5*(vit_z+H708)*pas</f>
        <v>154.49000741518475</v>
      </c>
      <c r="L709" s="304">
        <f t="shared" ca="1" si="319"/>
        <v>484.1997791219074</v>
      </c>
      <c r="M709" s="306">
        <f t="shared" ref="M709:M772" ca="1" si="335">IF(AND(L708&gt;L_rampe,G709&gt;0),ATAN2(G709,H709),$M$4)</f>
        <v>-1.5071159435941828</v>
      </c>
      <c r="N709" s="304">
        <f t="shared" ref="N709:N772" ca="1" si="336">DEGREES(Beta)</f>
        <v>-86.351382804823317</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7.9789999999999939</v>
      </c>
      <c r="T709" s="304">
        <f t="shared" ca="1" si="320"/>
        <v>78.273989999999941</v>
      </c>
      <c r="U709" s="311">
        <f t="shared" ca="1" si="321"/>
        <v>0</v>
      </c>
      <c r="V709" s="306">
        <f t="shared" ca="1" si="322"/>
        <v>1.2062200399003922</v>
      </c>
      <c r="W709" s="304">
        <f t="shared" ca="1" si="323"/>
        <v>55.322322718614501</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2.8974823473205671</v>
      </c>
      <c r="AH709" s="304">
        <f t="shared" ref="AH709:AH772" ca="1" si="347">IF(AND(L708&lt;L_rampe,Poussee&lt;Poids*SIN(M708)), g*SIN(M708), (-W708+Poussee)/m)</f>
        <v>-6.8923117272583934</v>
      </c>
    </row>
    <row r="710" spans="1:34" x14ac:dyDescent="0.2">
      <c r="A710" s="347">
        <f t="shared" ca="1" si="325"/>
        <v>0.1</v>
      </c>
      <c r="B710" s="304">
        <f t="shared" ca="1" si="326"/>
        <v>34.600000000000179</v>
      </c>
      <c r="D710" s="306">
        <f t="shared" ca="1" si="327"/>
        <v>-0.4412289956035505</v>
      </c>
      <c r="E710" s="307">
        <f t="shared" ca="1" si="328"/>
        <v>-2.8905628121849229</v>
      </c>
      <c r="F710" s="304">
        <f t="shared" ca="1" si="329"/>
        <v>2.9240445273196043</v>
      </c>
      <c r="G710" s="306">
        <f t="shared" ca="1" si="330"/>
        <v>7.7530626795220856</v>
      </c>
      <c r="H710" s="307">
        <f t="shared" ca="1" si="331"/>
        <v>-122.56600633160716</v>
      </c>
      <c r="I710" s="304">
        <f t="shared" ca="1" si="332"/>
        <v>122.81097625616435</v>
      </c>
      <c r="J710" s="306">
        <f t="shared" ca="1" si="333"/>
        <v>459.6699439375306</v>
      </c>
      <c r="K710" s="307">
        <f t="shared" ca="1" si="334"/>
        <v>142.24785959608496</v>
      </c>
      <c r="L710" s="304">
        <f t="shared" ca="1" si="319"/>
        <v>481.17659016124219</v>
      </c>
      <c r="M710" s="306">
        <f t="shared" ca="1" si="335"/>
        <v>-1.5076242714934009</v>
      </c>
      <c r="N710" s="304">
        <f t="shared" ca="1" si="336"/>
        <v>-86.380507848057263</v>
      </c>
      <c r="P710" s="310">
        <f t="shared" ca="1" si="337"/>
        <v>23</v>
      </c>
      <c r="Q710" s="304">
        <f t="shared" ca="1" si="338"/>
        <v>0</v>
      </c>
      <c r="R710" s="306">
        <f t="shared" ca="1" si="339"/>
        <v>0</v>
      </c>
      <c r="S710" s="307">
        <f t="shared" ca="1" si="340"/>
        <v>7.9789999999999939</v>
      </c>
      <c r="T710" s="304">
        <f t="shared" ca="1" si="320"/>
        <v>78.273989999999941</v>
      </c>
      <c r="U710" s="311">
        <f t="shared" ca="1" si="321"/>
        <v>0</v>
      </c>
      <c r="V710" s="306">
        <f t="shared" ca="1" si="322"/>
        <v>1.2076976979709653</v>
      </c>
      <c r="W710" s="304">
        <f t="shared" ca="1" si="323"/>
        <v>55.648689096259183</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2.8566252548996944</v>
      </c>
      <c r="AH710" s="304">
        <f t="shared" ca="1" si="347"/>
        <v>-6.9334907530535839</v>
      </c>
    </row>
    <row r="711" spans="1:34" x14ac:dyDescent="0.2">
      <c r="A711" s="347">
        <f t="shared" ca="1" si="325"/>
        <v>0.1</v>
      </c>
      <c r="B711" s="304">
        <f t="shared" ca="1" si="326"/>
        <v>34.70000000000018</v>
      </c>
      <c r="D711" s="306">
        <f t="shared" ca="1" si="327"/>
        <v>-0.44029381469117579</v>
      </c>
      <c r="E711" s="307">
        <f t="shared" ca="1" si="328"/>
        <v>-2.8495178383192625</v>
      </c>
      <c r="F711" s="304">
        <f t="shared" ca="1" si="329"/>
        <v>2.8833332367513456</v>
      </c>
      <c r="G711" s="306">
        <f t="shared" ca="1" si="330"/>
        <v>7.7090332980529679</v>
      </c>
      <c r="H711" s="307">
        <f t="shared" ca="1" si="331"/>
        <v>-122.85095811543908</v>
      </c>
      <c r="I711" s="304">
        <f t="shared" ca="1" si="332"/>
        <v>123.09259565169572</v>
      </c>
      <c r="J711" s="306">
        <f t="shared" ca="1" si="333"/>
        <v>460.44304873640937</v>
      </c>
      <c r="K711" s="307">
        <f t="shared" ca="1" si="334"/>
        <v>129.97701137373264</v>
      </c>
      <c r="L711" s="304">
        <f t="shared" ca="1" si="319"/>
        <v>478.43685541074996</v>
      </c>
      <c r="M711" s="306">
        <f t="shared" ca="1" si="335"/>
        <v>-1.5081273933765897</v>
      </c>
      <c r="N711" s="304">
        <f t="shared" ca="1" si="336"/>
        <v>-86.409334608544654</v>
      </c>
      <c r="P711" s="310">
        <f t="shared" ca="1" si="337"/>
        <v>23</v>
      </c>
      <c r="Q711" s="304">
        <f t="shared" ca="1" si="338"/>
        <v>0</v>
      </c>
      <c r="R711" s="306">
        <f t="shared" ca="1" si="339"/>
        <v>0</v>
      </c>
      <c r="S711" s="307">
        <f t="shared" ca="1" si="340"/>
        <v>7.9789999999999939</v>
      </c>
      <c r="T711" s="304">
        <f t="shared" ca="1" si="320"/>
        <v>78.273989999999941</v>
      </c>
      <c r="U711" s="311">
        <f t="shared" ca="1" si="321"/>
        <v>0</v>
      </c>
      <c r="V711" s="306">
        <f t="shared" ca="1" si="322"/>
        <v>1.2091806238682878</v>
      </c>
      <c r="W711" s="304">
        <f t="shared" ca="1" si="323"/>
        <v>55.972843619754329</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2.8160381621703845</v>
      </c>
      <c r="AH711" s="304">
        <f t="shared" ca="1" si="347"/>
        <v>-6.9743939210752259</v>
      </c>
    </row>
    <row r="712" spans="1:34" x14ac:dyDescent="0.2">
      <c r="A712" s="347">
        <f t="shared" ca="1" si="325"/>
        <v>0.1</v>
      </c>
      <c r="B712" s="304">
        <f t="shared" ca="1" si="326"/>
        <v>34.800000000000182</v>
      </c>
      <c r="D712" s="306">
        <f t="shared" ca="1" si="327"/>
        <v>-0.43933610752489266</v>
      </c>
      <c r="E712" s="307">
        <f t="shared" ca="1" si="328"/>
        <v>-2.8087509902477343</v>
      </c>
      <c r="F712" s="304">
        <f t="shared" ca="1" si="329"/>
        <v>2.8429031535725504</v>
      </c>
      <c r="G712" s="306">
        <f t="shared" ca="1" si="330"/>
        <v>7.6650996873004784</v>
      </c>
      <c r="H712" s="307">
        <f t="shared" ca="1" si="331"/>
        <v>-123.13183321446385</v>
      </c>
      <c r="I712" s="304">
        <f t="shared" ca="1" si="332"/>
        <v>123.37018320473872</v>
      </c>
      <c r="J712" s="306">
        <f t="shared" ca="1" si="333"/>
        <v>461.21175538567707</v>
      </c>
      <c r="K712" s="307">
        <f t="shared" ca="1" si="334"/>
        <v>117.67787180723749</v>
      </c>
      <c r="L712" s="304">
        <f t="shared" ca="1" si="319"/>
        <v>475.98777801432914</v>
      </c>
      <c r="M712" s="306">
        <f t="shared" ca="1" si="335"/>
        <v>-1.5086253904694158</v>
      </c>
      <c r="N712" s="304">
        <f t="shared" ca="1" si="336"/>
        <v>-86.437867740173374</v>
      </c>
      <c r="P712" s="310">
        <f t="shared" ca="1" si="337"/>
        <v>23</v>
      </c>
      <c r="Q712" s="304">
        <f t="shared" ca="1" si="338"/>
        <v>0</v>
      </c>
      <c r="R712" s="306">
        <f t="shared" ca="1" si="339"/>
        <v>0</v>
      </c>
      <c r="S712" s="307">
        <f t="shared" ca="1" si="340"/>
        <v>7.9789999999999939</v>
      </c>
      <c r="T712" s="304">
        <f t="shared" ca="1" si="320"/>
        <v>78.273989999999941</v>
      </c>
      <c r="U712" s="311">
        <f t="shared" ca="1" si="321"/>
        <v>0</v>
      </c>
      <c r="V712" s="306">
        <f t="shared" ca="1" si="322"/>
        <v>1.2106687840532646</v>
      </c>
      <c r="W712" s="304">
        <f t="shared" ca="1" si="323"/>
        <v>56.294776123870427</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2.7757225507249208</v>
      </c>
      <c r="AH712" s="304">
        <f t="shared" ca="1" si="347"/>
        <v>-7.0150198796533862</v>
      </c>
    </row>
    <row r="713" spans="1:34" x14ac:dyDescent="0.2">
      <c r="A713" s="347">
        <f t="shared" ca="1" si="325"/>
        <v>0.1</v>
      </c>
      <c r="B713" s="304">
        <f t="shared" ca="1" si="326"/>
        <v>34.900000000000183</v>
      </c>
      <c r="D713" s="306">
        <f t="shared" ca="1" si="327"/>
        <v>-0.43835627621013817</v>
      </c>
      <c r="E713" s="307">
        <f t="shared" ca="1" si="328"/>
        <v>-2.7682635461027445</v>
      </c>
      <c r="F713" s="304">
        <f t="shared" ca="1" si="329"/>
        <v>2.8027556592707401</v>
      </c>
      <c r="G713" s="306">
        <f t="shared" ca="1" si="330"/>
        <v>7.621264059679465</v>
      </c>
      <c r="H713" s="307">
        <f t="shared" ca="1" si="331"/>
        <v>-123.40865956907413</v>
      </c>
      <c r="I713" s="304">
        <f t="shared" ca="1" si="332"/>
        <v>123.64376620963547</v>
      </c>
      <c r="J713" s="306">
        <f t="shared" ca="1" si="333"/>
        <v>461.97607357302604</v>
      </c>
      <c r="K713" s="307">
        <f t="shared" ca="1" si="334"/>
        <v>105.3508471680606</v>
      </c>
      <c r="L713" s="304">
        <f t="shared" ca="1" si="319"/>
        <v>473.83614631323559</v>
      </c>
      <c r="M713" s="306">
        <f t="shared" ca="1" si="335"/>
        <v>-1.5091183422020424</v>
      </c>
      <c r="N713" s="304">
        <f t="shared" ca="1" si="336"/>
        <v>-86.466111793956543</v>
      </c>
      <c r="P713" s="310">
        <f t="shared" ca="1" si="337"/>
        <v>23</v>
      </c>
      <c r="Q713" s="304">
        <f t="shared" ca="1" si="338"/>
        <v>0</v>
      </c>
      <c r="R713" s="306">
        <f t="shared" ca="1" si="339"/>
        <v>0</v>
      </c>
      <c r="S713" s="307">
        <f t="shared" ca="1" si="340"/>
        <v>7.9789999999999939</v>
      </c>
      <c r="T713" s="304">
        <f t="shared" ca="1" si="320"/>
        <v>78.273989999999941</v>
      </c>
      <c r="U713" s="311">
        <f t="shared" ca="1" si="321"/>
        <v>0</v>
      </c>
      <c r="V713" s="306">
        <f t="shared" ca="1" si="322"/>
        <v>1.2121621451660414</v>
      </c>
      <c r="W713" s="304">
        <f t="shared" ca="1" si="323"/>
        <v>56.614477054645924</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2.7356798209223632</v>
      </c>
      <c r="AH713" s="304">
        <f t="shared" ca="1" si="347"/>
        <v>-7.0553673547901328</v>
      </c>
    </row>
    <row r="714" spans="1:34" x14ac:dyDescent="0.2">
      <c r="A714" s="347">
        <f t="shared" ca="1" si="325"/>
        <v>0.1</v>
      </c>
      <c r="B714" s="304">
        <f t="shared" ca="1" si="326"/>
        <v>35.000000000000185</v>
      </c>
      <c r="D714" s="306">
        <f t="shared" ca="1" si="327"/>
        <v>-0.43735472112613671</v>
      </c>
      <c r="E714" s="307">
        <f t="shared" ca="1" si="328"/>
        <v>-2.7280567071635184</v>
      </c>
      <c r="F714" s="304">
        <f t="shared" ca="1" si="329"/>
        <v>2.7628920626023703</v>
      </c>
      <c r="G714" s="306">
        <f t="shared" ca="1" si="330"/>
        <v>7.5775285875668512</v>
      </c>
      <c r="H714" s="307">
        <f t="shared" ca="1" si="331"/>
        <v>-123.68146523979048</v>
      </c>
      <c r="I714" s="304">
        <f t="shared" ca="1" si="332"/>
        <v>123.91337209259095</v>
      </c>
      <c r="J714" s="306">
        <f t="shared" ca="1" si="333"/>
        <v>462.73601320538836</v>
      </c>
      <c r="K714" s="307">
        <f t="shared" ca="1" si="334"/>
        <v>92.996340927617368</v>
      </c>
      <c r="L714" s="304">
        <f t="shared" ca="1" si="319"/>
        <v>471.98828093835442</v>
      </c>
      <c r="M714" s="306">
        <f t="shared" ca="1" si="335"/>
        <v>-1.5096063262584749</v>
      </c>
      <c r="N714" s="304">
        <f t="shared" ca="1" si="336"/>
        <v>-86.494071220859794</v>
      </c>
      <c r="P714" s="310">
        <f t="shared" ca="1" si="337"/>
        <v>23</v>
      </c>
      <c r="Q714" s="304">
        <f t="shared" ca="1" si="338"/>
        <v>0</v>
      </c>
      <c r="R714" s="306">
        <f t="shared" ca="1" si="339"/>
        <v>0</v>
      </c>
      <c r="S714" s="307">
        <f t="shared" ca="1" si="340"/>
        <v>7.9789999999999939</v>
      </c>
      <c r="T714" s="304">
        <f t="shared" ca="1" si="320"/>
        <v>78.273989999999941</v>
      </c>
      <c r="U714" s="311">
        <f t="shared" ca="1" si="321"/>
        <v>0</v>
      </c>
      <c r="V714" s="306">
        <f t="shared" ca="1" si="322"/>
        <v>1.2136606740275682</v>
      </c>
      <c r="W714" s="304">
        <f t="shared" ca="1" si="323"/>
        <v>56.931937460845198</v>
      </c>
      <c r="Y714" s="314" t="str">
        <f t="shared" ca="1" si="341"/>
        <v/>
      </c>
      <c r="Z714" s="315" t="str">
        <f t="shared" ca="1" si="342"/>
        <v/>
      </c>
      <c r="AA714" s="316" t="str">
        <f t="shared" ca="1" si="343"/>
        <v/>
      </c>
      <c r="AC714" s="310">
        <f t="shared" ca="1" si="344"/>
        <v>35.000000000000185</v>
      </c>
      <c r="AD714" s="323">
        <f t="shared" ca="1" si="345"/>
        <v>462.73601320538836</v>
      </c>
      <c r="AE714" s="324" t="e">
        <f t="shared" ca="1" si="324"/>
        <v>#N/A</v>
      </c>
      <c r="AG714" s="306">
        <f t="shared" ca="1" si="346"/>
        <v>2.6959112930680522</v>
      </c>
      <c r="AH714" s="304">
        <f t="shared" ca="1" si="347"/>
        <v>-7.0954351490971259</v>
      </c>
    </row>
    <row r="715" spans="1:34" x14ac:dyDescent="0.2">
      <c r="A715" s="347">
        <f t="shared" ca="1" si="325"/>
        <v>0.1</v>
      </c>
      <c r="B715" s="304">
        <f t="shared" ca="1" si="326"/>
        <v>35.100000000000186</v>
      </c>
      <c r="D715" s="306">
        <f t="shared" ca="1" si="327"/>
        <v>-0.43633184084106497</v>
      </c>
      <c r="E715" s="307">
        <f t="shared" ca="1" si="328"/>
        <v>-2.6881315989298615</v>
      </c>
      <c r="F715" s="304">
        <f t="shared" ca="1" si="329"/>
        <v>2.7233136008357479</v>
      </c>
      <c r="G715" s="306">
        <f t="shared" ca="1" si="330"/>
        <v>7.5338954034827443</v>
      </c>
      <c r="H715" s="307">
        <f t="shared" ca="1" si="331"/>
        <v>-123.95027839968347</v>
      </c>
      <c r="I715" s="304">
        <f t="shared" ca="1" si="332"/>
        <v>124.17902840379149</v>
      </c>
      <c r="J715" s="306">
        <f t="shared" ca="1" si="333"/>
        <v>463.49158440494085</v>
      </c>
      <c r="K715" s="307">
        <f t="shared" ca="1" si="334"/>
        <v>80.614753745643668</v>
      </c>
      <c r="L715" s="304">
        <f t="shared" ca="1" si="319"/>
        <v>470.44998388316816</v>
      </c>
      <c r="M715" s="306">
        <f t="shared" ca="1" si="335"/>
        <v>-1.5100894186242999</v>
      </c>
      <c r="N715" s="304">
        <f t="shared" ca="1" si="336"/>
        <v>-86.521750374536552</v>
      </c>
      <c r="P715" s="310">
        <f t="shared" ca="1" si="337"/>
        <v>23</v>
      </c>
      <c r="Q715" s="304">
        <f t="shared" ca="1" si="338"/>
        <v>0</v>
      </c>
      <c r="R715" s="306">
        <f t="shared" ca="1" si="339"/>
        <v>0</v>
      </c>
      <c r="S715" s="307">
        <f t="shared" ca="1" si="340"/>
        <v>7.9789999999999939</v>
      </c>
      <c r="T715" s="304">
        <f t="shared" ca="1" si="320"/>
        <v>78.273989999999941</v>
      </c>
      <c r="U715" s="311">
        <f t="shared" ca="1" si="321"/>
        <v>0</v>
      </c>
      <c r="V715" s="306">
        <f t="shared" ca="1" si="322"/>
        <v>1.2151643376411079</v>
      </c>
      <c r="W715" s="304">
        <f t="shared" ca="1" si="323"/>
        <v>57.247148985358031</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2.6564182085967847</v>
      </c>
      <c r="AH715" s="304">
        <f t="shared" ca="1" si="347"/>
        <v>-7.1352221407250589</v>
      </c>
    </row>
    <row r="716" spans="1:34" x14ac:dyDescent="0.2">
      <c r="A716" s="347">
        <f t="shared" ca="1" si="325"/>
        <v>0.1</v>
      </c>
      <c r="B716" s="304">
        <f t="shared" ca="1" si="326"/>
        <v>35.200000000000188</v>
      </c>
      <c r="D716" s="306">
        <f t="shared" ca="1" si="327"/>
        <v>-0.43528803202976685</v>
      </c>
      <c r="E716" s="307">
        <f t="shared" ca="1" si="328"/>
        <v>-2.6484892722032987</v>
      </c>
      <c r="F716" s="304">
        <f t="shared" ca="1" si="329"/>
        <v>2.6840214410105419</v>
      </c>
      <c r="G716" s="306">
        <f t="shared" ca="1" si="330"/>
        <v>7.490366600279768</v>
      </c>
      <c r="H716" s="307">
        <f t="shared" ca="1" si="331"/>
        <v>-124.2151273269038</v>
      </c>
      <c r="I716" s="304">
        <f t="shared" ca="1" si="332"/>
        <v>124.44076280964173</v>
      </c>
      <c r="J716" s="306">
        <f t="shared" ca="1" si="333"/>
        <v>464.24279750512898</v>
      </c>
      <c r="K716" s="307">
        <f t="shared" ca="1" si="334"/>
        <v>68.206483459314299</v>
      </c>
      <c r="L716" s="304">
        <f t="shared" ca="1" si="319"/>
        <v>469.22649053657864</v>
      </c>
      <c r="M716" s="306">
        <f t="shared" ca="1" si="335"/>
        <v>-1.5105676936328853</v>
      </c>
      <c r="N716" s="304">
        <f t="shared" ca="1" si="336"/>
        <v>-86.549153513975085</v>
      </c>
      <c r="P716" s="310">
        <f t="shared" ca="1" si="337"/>
        <v>23</v>
      </c>
      <c r="Q716" s="304">
        <f t="shared" ca="1" si="338"/>
        <v>0</v>
      </c>
      <c r="R716" s="306">
        <f t="shared" ca="1" si="339"/>
        <v>0</v>
      </c>
      <c r="S716" s="307">
        <f t="shared" ca="1" si="340"/>
        <v>7.9789999999999939</v>
      </c>
      <c r="T716" s="304">
        <f t="shared" ca="1" si="320"/>
        <v>78.273989999999941</v>
      </c>
      <c r="U716" s="311">
        <f t="shared" ca="1" si="321"/>
        <v>0</v>
      </c>
      <c r="V716" s="306">
        <f t="shared" ca="1" si="322"/>
        <v>1.2166731031936984</v>
      </c>
      <c r="W716" s="304">
        <f t="shared" ca="1" si="323"/>
        <v>57.56010385654637</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2.6172017312590823</v>
      </c>
      <c r="AH716" s="304">
        <f t="shared" ca="1" si="347"/>
        <v>-7.1747272822857591</v>
      </c>
    </row>
    <row r="717" spans="1:34" x14ac:dyDescent="0.2">
      <c r="A717" s="347">
        <f t="shared" ca="1" si="325"/>
        <v>0.1</v>
      </c>
      <c r="B717" s="304">
        <f t="shared" ca="1" si="326"/>
        <v>35.300000000000189</v>
      </c>
      <c r="D717" s="306">
        <f t="shared" ca="1" si="327"/>
        <v>-0.43422368939396172</v>
      </c>
      <c r="E717" s="307">
        <f t="shared" ca="1" si="328"/>
        <v>-2.6091307041748406</v>
      </c>
      <c r="F717" s="304">
        <f t="shared" ca="1" si="329"/>
        <v>2.6450166812137126</v>
      </c>
      <c r="G717" s="306">
        <f t="shared" ca="1" si="330"/>
        <v>7.446944231340372</v>
      </c>
      <c r="H717" s="307">
        <f t="shared" ca="1" si="331"/>
        <v>-124.47604039732128</v>
      </c>
      <c r="I717" s="304">
        <f t="shared" ca="1" si="332"/>
        <v>124.69860308511981</v>
      </c>
      <c r="J717" s="306">
        <f t="shared" ca="1" si="333"/>
        <v>464.98966304671001</v>
      </c>
      <c r="K717" s="307">
        <f t="shared" ca="1" si="334"/>
        <v>55.771925073103048</v>
      </c>
      <c r="L717" s="304">
        <f t="shared" ca="1" si="319"/>
        <v>468.32242564994976</v>
      </c>
      <c r="M717" s="306">
        <f t="shared" ca="1" si="335"/>
        <v>-1.5110412240100939</v>
      </c>
      <c r="N717" s="304">
        <f t="shared" ca="1" si="336"/>
        <v>-86.576284806060372</v>
      </c>
      <c r="P717" s="310">
        <f t="shared" ca="1" si="337"/>
        <v>23</v>
      </c>
      <c r="Q717" s="304">
        <f t="shared" ca="1" si="338"/>
        <v>0</v>
      </c>
      <c r="R717" s="306">
        <f t="shared" ca="1" si="339"/>
        <v>0</v>
      </c>
      <c r="S717" s="307">
        <f t="shared" ca="1" si="340"/>
        <v>7.9789999999999939</v>
      </c>
      <c r="T717" s="304">
        <f t="shared" ca="1" si="320"/>
        <v>78.273989999999941</v>
      </c>
      <c r="U717" s="311">
        <f t="shared" ca="1" si="321"/>
        <v>0</v>
      </c>
      <c r="V717" s="306">
        <f t="shared" ca="1" si="322"/>
        <v>1.2181869380575536</v>
      </c>
      <c r="W717" s="304">
        <f t="shared" ca="1" si="323"/>
        <v>57.870794879543169</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2.5782629483099422</v>
      </c>
      <c r="AH717" s="304">
        <f t="shared" ca="1" si="347"/>
        <v>-7.2139495997676919</v>
      </c>
    </row>
    <row r="718" spans="1:34" x14ac:dyDescent="0.2">
      <c r="A718" s="347">
        <f t="shared" ca="1" si="325"/>
        <v>0.1</v>
      </c>
      <c r="B718" s="304">
        <f t="shared" ca="1" si="326"/>
        <v>35.40000000000019</v>
      </c>
      <c r="D718" s="306">
        <f t="shared" ca="1" si="327"/>
        <v>-0.43313920558494579</v>
      </c>
      <c r="E718" s="307">
        <f t="shared" ca="1" si="328"/>
        <v>-2.5700567995187953</v>
      </c>
      <c r="F718" s="304">
        <f t="shared" ca="1" si="329"/>
        <v>2.6063003518718926</v>
      </c>
      <c r="G718" s="306">
        <f t="shared" ca="1" si="330"/>
        <v>7.4036303107818773</v>
      </c>
      <c r="H718" s="307">
        <f t="shared" ca="1" si="331"/>
        <v>-124.73304607727316</v>
      </c>
      <c r="I718" s="304">
        <f t="shared" ca="1" si="332"/>
        <v>124.95257710625209</v>
      </c>
      <c r="J718" s="306">
        <f t="shared" ca="1" si="333"/>
        <v>465.73219177381611</v>
      </c>
      <c r="K718" s="307">
        <f t="shared" ca="1" si="334"/>
        <v>43.311470749373328</v>
      </c>
      <c r="L718" s="304">
        <f t="shared" ca="1" si="319"/>
        <v>467.74176417433205</v>
      </c>
      <c r="M718" s="306">
        <f t="shared" ca="1" si="335"/>
        <v>-1.511510080917567</v>
      </c>
      <c r="N718" s="304">
        <f t="shared" ca="1" si="336"/>
        <v>-86.603148328054147</v>
      </c>
      <c r="P718" s="310">
        <f t="shared" ca="1" si="337"/>
        <v>23</v>
      </c>
      <c r="Q718" s="304">
        <f t="shared" ca="1" si="338"/>
        <v>0</v>
      </c>
      <c r="R718" s="306">
        <f t="shared" ca="1" si="339"/>
        <v>0</v>
      </c>
      <c r="S718" s="307">
        <f t="shared" ca="1" si="340"/>
        <v>7.9789999999999939</v>
      </c>
      <c r="T718" s="304">
        <f t="shared" ca="1" si="320"/>
        <v>78.273989999999941</v>
      </c>
      <c r="U718" s="311">
        <f t="shared" ca="1" si="321"/>
        <v>0</v>
      </c>
      <c r="V718" s="306">
        <f t="shared" ca="1" si="322"/>
        <v>1.2197058097914197</v>
      </c>
      <c r="W718" s="304">
        <f t="shared" ca="1" si="323"/>
        <v>58.179215427510265</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2.5396028716997181</v>
      </c>
      <c r="AH718" s="304">
        <f t="shared" ca="1" si="347"/>
        <v>-7.2528881914454457</v>
      </c>
    </row>
    <row r="719" spans="1:34" x14ac:dyDescent="0.2">
      <c r="A719" s="347">
        <f t="shared" ca="1" si="325"/>
        <v>0.1</v>
      </c>
      <c r="B719" s="304">
        <f t="shared" ca="1" si="326"/>
        <v>35.500000000000192</v>
      </c>
      <c r="D719" s="306">
        <f t="shared" ca="1" si="327"/>
        <v>-0.43203497112876693</v>
      </c>
      <c r="E719" s="307">
        <f t="shared" ca="1" si="328"/>
        <v>-2.5312683914917331</v>
      </c>
      <c r="F719" s="304">
        <f t="shared" ca="1" si="329"/>
        <v>2.5678734170599959</v>
      </c>
      <c r="G719" s="306">
        <f t="shared" ca="1" si="330"/>
        <v>7.360426813669001</v>
      </c>
      <c r="H719" s="307">
        <f t="shared" ca="1" si="331"/>
        <v>-124.98617291642233</v>
      </c>
      <c r="I719" s="304">
        <f t="shared" ca="1" si="332"/>
        <v>125.2027128427064</v>
      </c>
      <c r="J719" s="306">
        <f t="shared" ca="1" si="333"/>
        <v>466.47039463003864</v>
      </c>
      <c r="K719" s="307">
        <f t="shared" ca="1" si="334"/>
        <v>30.825509799688554</v>
      </c>
      <c r="L719" s="304">
        <f t="shared" ca="1" si="319"/>
        <v>467.4877978308254</v>
      </c>
      <c r="M719" s="306">
        <f t="shared" ca="1" si="335"/>
        <v>-1.5119743339946337</v>
      </c>
      <c r="N719" s="304">
        <f t="shared" ca="1" si="336"/>
        <v>-86.629748069996026</v>
      </c>
      <c r="P719" s="310">
        <f t="shared" ca="1" si="337"/>
        <v>23</v>
      </c>
      <c r="Q719" s="304">
        <f t="shared" ca="1" si="338"/>
        <v>0</v>
      </c>
      <c r="R719" s="306">
        <f t="shared" ca="1" si="339"/>
        <v>0</v>
      </c>
      <c r="S719" s="307">
        <f t="shared" ca="1" si="340"/>
        <v>7.9789999999999939</v>
      </c>
      <c r="T719" s="304">
        <f t="shared" ca="1" si="320"/>
        <v>78.273989999999941</v>
      </c>
      <c r="U719" s="311">
        <f t="shared" ca="1" si="321"/>
        <v>0</v>
      </c>
      <c r="V719" s="306">
        <f t="shared" ca="1" si="322"/>
        <v>1.2212296861418774</v>
      </c>
      <c r="W719" s="304">
        <f t="shared" ca="1" si="323"/>
        <v>58.485359432859639</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2.5012224392663516</v>
      </c>
      <c r="AH719" s="304">
        <f t="shared" ca="1" si="347"/>
        <v>-7.291542226784097</v>
      </c>
    </row>
    <row r="720" spans="1:34" x14ac:dyDescent="0.2">
      <c r="A720" s="347">
        <f t="shared" ca="1" si="325"/>
        <v>0.1</v>
      </c>
      <c r="B720" s="304">
        <f t="shared" ca="1" si="326"/>
        <v>35.600000000000193</v>
      </c>
      <c r="D720" s="306">
        <f t="shared" ca="1" si="327"/>
        <v>-0.43091137435383237</v>
      </c>
      <c r="E720" s="307">
        <f t="shared" ca="1" si="328"/>
        <v>-2.492766243036062</v>
      </c>
      <c r="F720" s="304">
        <f t="shared" ca="1" si="329"/>
        <v>2.5297367758262186</v>
      </c>
      <c r="G720" s="306">
        <f t="shared" ca="1" si="330"/>
        <v>7.3173356762336175</v>
      </c>
      <c r="H720" s="307">
        <f t="shared" ca="1" si="331"/>
        <v>-125.23544954072594</v>
      </c>
      <c r="I720" s="304">
        <f t="shared" ca="1" si="332"/>
        <v>125.44903835050468</v>
      </c>
      <c r="J720" s="306">
        <f t="shared" ca="1" si="333"/>
        <v>467.20428275453378</v>
      </c>
      <c r="K720" s="307">
        <f t="shared" ca="1" si="334"/>
        <v>18.314428676831142</v>
      </c>
      <c r="L720" s="304">
        <f t="shared" ca="1" si="319"/>
        <v>467.56310817036996</v>
      </c>
      <c r="M720" s="306">
        <f t="shared" ca="1" si="335"/>
        <v>-1.5124340513988916</v>
      </c>
      <c r="N720" s="304">
        <f t="shared" ca="1" si="336"/>
        <v>-86.656087937028715</v>
      </c>
      <c r="P720" s="310">
        <f t="shared" ca="1" si="337"/>
        <v>23</v>
      </c>
      <c r="Q720" s="304">
        <f t="shared" ca="1" si="338"/>
        <v>0</v>
      </c>
      <c r="R720" s="306">
        <f t="shared" ca="1" si="339"/>
        <v>0</v>
      </c>
      <c r="S720" s="307">
        <f t="shared" ca="1" si="340"/>
        <v>7.9789999999999939</v>
      </c>
      <c r="T720" s="304">
        <f t="shared" ca="1" si="320"/>
        <v>78.273989999999941</v>
      </c>
      <c r="U720" s="311">
        <f t="shared" ca="1" si="321"/>
        <v>0</v>
      </c>
      <c r="V720" s="306">
        <f t="shared" ca="1" si="322"/>
        <v>1.2227585350445909</v>
      </c>
      <c r="W720" s="304">
        <f t="shared" ca="1" si="323"/>
        <v>58.789221378443706</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2.4631225159286281</v>
      </c>
      <c r="AH720" s="304">
        <f t="shared" ca="1" si="347"/>
        <v>-7.329910945338975</v>
      </c>
    </row>
    <row r="721" spans="1:34" x14ac:dyDescent="0.2">
      <c r="A721" s="347">
        <f t="shared" ca="1" si="325"/>
        <v>0.1</v>
      </c>
      <c r="B721" s="304">
        <f t="shared" ca="1" si="326"/>
        <v>35.700000000000195</v>
      </c>
      <c r="D721" s="306">
        <f t="shared" ca="1" si="327"/>
        <v>-0.42976880132094913</v>
      </c>
      <c r="E721" s="307">
        <f t="shared" ca="1" si="328"/>
        <v>-2.4545510478875112</v>
      </c>
      <c r="F721" s="304">
        <f t="shared" ca="1" si="329"/>
        <v>2.4918912635334882</v>
      </c>
      <c r="G721" s="306">
        <f t="shared" ca="1" si="330"/>
        <v>7.2743587961015228</v>
      </c>
      <c r="H721" s="307">
        <f t="shared" ca="1" si="331"/>
        <v>-125.48090464551468</v>
      </c>
      <c r="I721" s="304">
        <f t="shared" ca="1" si="332"/>
        <v>125.69158176485476</v>
      </c>
      <c r="J721" s="306">
        <f t="shared" ca="1" si="333"/>
        <v>467.93386747815055</v>
      </c>
      <c r="K721" s="307">
        <f t="shared" ca="1" si="334"/>
        <v>5.7786109675191106</v>
      </c>
      <c r="L721" s="304">
        <f t="shared" ca="1" si="319"/>
        <v>467.96954674185082</v>
      </c>
      <c r="M721" s="306">
        <f t="shared" ca="1" si="335"/>
        <v>-1.512889299845513</v>
      </c>
      <c r="N721" s="304">
        <f t="shared" ca="1" si="336"/>
        <v>-86.682171751650003</v>
      </c>
      <c r="P721" s="310">
        <f t="shared" ca="1" si="337"/>
        <v>23</v>
      </c>
      <c r="Q721" s="304">
        <f t="shared" ca="1" si="338"/>
        <v>0</v>
      </c>
      <c r="R721" s="306">
        <f t="shared" ca="1" si="339"/>
        <v>0</v>
      </c>
      <c r="S721" s="307">
        <f t="shared" ca="1" si="340"/>
        <v>7.9789999999999939</v>
      </c>
      <c r="T721" s="304">
        <f t="shared" ca="1" si="320"/>
        <v>78.273989999999941</v>
      </c>
      <c r="U721" s="311">
        <f t="shared" ca="1" si="321"/>
        <v>0</v>
      </c>
      <c r="V721" s="306">
        <f t="shared" ca="1" si="322"/>
        <v>1.2242923246255133</v>
      </c>
      <c r="W721" s="304">
        <f t="shared" ca="1" si="323"/>
        <v>59.090796288720369</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2.42530389487988</v>
      </c>
      <c r="AH721" s="304">
        <f t="shared" ca="1" si="347"/>
        <v>-7.3679936556515546</v>
      </c>
    </row>
    <row r="722" spans="1:34" x14ac:dyDescent="0.2">
      <c r="A722" s="347">
        <f t="shared" ca="1" si="325"/>
        <v>0.1</v>
      </c>
      <c r="B722" s="304">
        <f t="shared" ca="1" si="326"/>
        <v>35.800000000000196</v>
      </c>
      <c r="D722" s="306">
        <f t="shared" ca="1" si="327"/>
        <v>-0.42860763575575367</v>
      </c>
      <c r="E722" s="307">
        <f t="shared" ca="1" si="328"/>
        <v>-2.4166234316857986</v>
      </c>
      <c r="F722" s="304">
        <f t="shared" ca="1" si="329"/>
        <v>2.454337653217459</v>
      </c>
      <c r="G722" s="306">
        <f t="shared" ca="1" si="330"/>
        <v>7.2314980325259475</v>
      </c>
      <c r="H722" s="307">
        <f t="shared" ca="1" si="331"/>
        <v>-125.72256698868327</v>
      </c>
      <c r="I722" s="304">
        <f t="shared" ca="1" si="332"/>
        <v>125.93037129310142</v>
      </c>
      <c r="J722" s="306">
        <f t="shared" ca="1" si="333"/>
        <v>468.65916031958193</v>
      </c>
      <c r="K722" s="307">
        <f t="shared" ca="1" si="334"/>
        <v>-6.7815626141907881</v>
      </c>
      <c r="L722" s="304">
        <f t="shared" ca="1" si="319"/>
        <v>468.70822282412092</v>
      </c>
      <c r="M722" s="306">
        <f t="shared" ca="1" si="335"/>
        <v>-1.5133401446453161</v>
      </c>
      <c r="N722" s="304">
        <f t="shared" ca="1" si="336"/>
        <v>-86.708003255894141</v>
      </c>
      <c r="P722" s="310">
        <f t="shared" ca="1" si="337"/>
        <v>23</v>
      </c>
      <c r="Q722" s="304">
        <f t="shared" ca="1" si="338"/>
        <v>0</v>
      </c>
      <c r="R722" s="306">
        <f t="shared" ca="1" si="339"/>
        <v>0</v>
      </c>
      <c r="S722" s="307">
        <f t="shared" ca="1" si="340"/>
        <v>7.9789999999999939</v>
      </c>
      <c r="T722" s="304">
        <f t="shared" ca="1" si="320"/>
        <v>78.273989999999941</v>
      </c>
      <c r="U722" s="311">
        <f t="shared" ca="1" si="321"/>
        <v>0</v>
      </c>
      <c r="V722" s="306">
        <f t="shared" ca="1" si="322"/>
        <v>1.2258310232020322</v>
      </c>
      <c r="W722" s="304">
        <f t="shared" ca="1" si="323"/>
        <v>59.390079720896871</v>
      </c>
      <c r="Y722" s="314" t="str">
        <f t="shared" ca="1" si="341"/>
        <v>Impact balistique</v>
      </c>
      <c r="Z722" s="315" t="str">
        <f t="shared" ca="1" si="342"/>
        <v/>
      </c>
      <c r="AA722" s="316" t="str">
        <f t="shared" ca="1" si="343"/>
        <v/>
      </c>
      <c r="AC722" s="310" t="e">
        <f t="shared" ca="1" si="344"/>
        <v>#N/A</v>
      </c>
      <c r="AD722" s="323" t="e">
        <f t="shared" ca="1" si="345"/>
        <v>#N/A</v>
      </c>
      <c r="AE722" s="324" t="e">
        <f t="shared" ca="1" si="324"/>
        <v>#N/A</v>
      </c>
      <c r="AG722" s="306">
        <f t="shared" ca="1" si="346"/>
        <v>2.3877672987815366</v>
      </c>
      <c r="AH722" s="304">
        <f t="shared" ca="1" si="347"/>
        <v>-7.405789734142175</v>
      </c>
    </row>
    <row r="723" spans="1:34" x14ac:dyDescent="0.2">
      <c r="A723" s="347">
        <f t="shared" ca="1" si="325"/>
        <v>1E-4</v>
      </c>
      <c r="B723" s="304">
        <f t="shared" ca="1" si="326"/>
        <v>35.800100000000199</v>
      </c>
      <c r="D723" s="306">
        <f t="shared" ca="1" si="327"/>
        <v>-0.42742825898353126</v>
      </c>
      <c r="E723" s="307">
        <f t="shared" ca="1" si="328"/>
        <v>-2.3789839530879551</v>
      </c>
      <c r="F723" s="304">
        <f t="shared" ca="1" si="329"/>
        <v>2.4170766569613975</v>
      </c>
      <c r="G723" s="306">
        <f t="shared" ca="1" si="330"/>
        <v>7.2314552897000492</v>
      </c>
      <c r="H723" s="307">
        <f t="shared" ca="1" si="331"/>
        <v>-125.72280488707858</v>
      </c>
      <c r="I723" s="304">
        <f t="shared" ca="1" si="332"/>
        <v>125.9306063444521</v>
      </c>
      <c r="J723" s="306">
        <f t="shared" ca="1" si="333"/>
        <v>468.65916031958193</v>
      </c>
      <c r="K723" s="307">
        <f t="shared" ca="1" si="334"/>
        <v>-6.7941348827845758</v>
      </c>
      <c r="L723" s="304">
        <f t="shared" ca="1" si="319"/>
        <v>468.70840489611561</v>
      </c>
      <c r="M723" s="306">
        <f t="shared" ca="1" si="335"/>
        <v>-1.5133405919830172</v>
      </c>
      <c r="N723" s="304">
        <f t="shared" ca="1" si="336"/>
        <v>-86.708028886456432</v>
      </c>
      <c r="P723" s="310">
        <f t="shared" ca="1" si="337"/>
        <v>23</v>
      </c>
      <c r="Q723" s="304">
        <f t="shared" ca="1" si="338"/>
        <v>0</v>
      </c>
      <c r="R723" s="306">
        <f t="shared" ca="1" si="339"/>
        <v>0</v>
      </c>
      <c r="S723" s="307">
        <f t="shared" ca="1" si="340"/>
        <v>7.9789999999999939</v>
      </c>
      <c r="T723" s="304">
        <f t="shared" ca="1" si="320"/>
        <v>78.273989999999941</v>
      </c>
      <c r="U723" s="311">
        <f t="shared" ca="1" si="321"/>
        <v>0</v>
      </c>
      <c r="V723" s="306">
        <f t="shared" ca="1" si="322"/>
        <v>1.2258325643508661</v>
      </c>
      <c r="W723" s="304">
        <f t="shared" ca="1" si="323"/>
        <v>59.390376093590419</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2.350513380956202</v>
      </c>
      <c r="AH723" s="304">
        <f t="shared" ca="1" si="347"/>
        <v>-7.4432986240001151</v>
      </c>
    </row>
    <row r="724" spans="1:34" x14ac:dyDescent="0.2">
      <c r="A724" s="347">
        <f t="shared" ca="1" si="325"/>
        <v>1E-4</v>
      </c>
      <c r="B724" s="304">
        <f t="shared" ca="1" si="326"/>
        <v>35.800200000000203</v>
      </c>
      <c r="D724" s="306">
        <f t="shared" ca="1" si="327"/>
        <v>-0.42742706777683714</v>
      </c>
      <c r="E724" s="307">
        <f t="shared" ca="1" si="328"/>
        <v>-2.3789466790864502</v>
      </c>
      <c r="F724" s="304">
        <f t="shared" ca="1" si="329"/>
        <v>2.4170397597484312</v>
      </c>
      <c r="G724" s="306">
        <f t="shared" ca="1" si="330"/>
        <v>7.2314125469932717</v>
      </c>
      <c r="H724" s="307">
        <f t="shared" ca="1" si="331"/>
        <v>-125.72304278174649</v>
      </c>
      <c r="I724" s="304">
        <f t="shared" ca="1" si="332"/>
        <v>125.93084139211359</v>
      </c>
      <c r="J724" s="306">
        <f t="shared" ca="1" si="333"/>
        <v>468.65916031958193</v>
      </c>
      <c r="K724" s="307">
        <f t="shared" ca="1" si="334"/>
        <v>-6.8067071751680173</v>
      </c>
      <c r="L724" s="304">
        <f t="shared" ca="1" si="319"/>
        <v>468.70858730561366</v>
      </c>
      <c r="M724" s="306">
        <f t="shared" ca="1" si="335"/>
        <v>-1.5133410393164042</v>
      </c>
      <c r="N724" s="304">
        <f t="shared" ca="1" si="336"/>
        <v>-86.70805451677154</v>
      </c>
      <c r="P724" s="310">
        <f t="shared" ca="1" si="337"/>
        <v>23</v>
      </c>
      <c r="Q724" s="304">
        <f t="shared" ca="1" si="338"/>
        <v>0</v>
      </c>
      <c r="R724" s="306">
        <f t="shared" ca="1" si="339"/>
        <v>0</v>
      </c>
      <c r="S724" s="307">
        <f t="shared" ca="1" si="340"/>
        <v>7.9789999999999939</v>
      </c>
      <c r="T724" s="304">
        <f t="shared" ca="1" si="320"/>
        <v>78.273989999999941</v>
      </c>
      <c r="U724" s="311">
        <f t="shared" ca="1" si="321"/>
        <v>0</v>
      </c>
      <c r="V724" s="306">
        <f t="shared" ca="1" si="322"/>
        <v>1.2258341055045543</v>
      </c>
      <c r="W724" s="304">
        <f t="shared" ca="1" si="323"/>
        <v>59.390672464010699</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2.3504764888663114</v>
      </c>
      <c r="AH724" s="304">
        <f t="shared" ca="1" si="347"/>
        <v>-7.4433357680900443</v>
      </c>
    </row>
    <row r="725" spans="1:34" x14ac:dyDescent="0.2">
      <c r="A725" s="347">
        <f t="shared" ca="1" si="325"/>
        <v>1E-4</v>
      </c>
      <c r="B725" s="304">
        <f t="shared" ca="1" si="326"/>
        <v>35.800300000000206</v>
      </c>
      <c r="D725" s="306">
        <f t="shared" ca="1" si="327"/>
        <v>-0.42742587655257852</v>
      </c>
      <c r="E725" s="307">
        <f t="shared" ca="1" si="328"/>
        <v>-2.3789094053708029</v>
      </c>
      <c r="F725" s="304">
        <f t="shared" ca="1" si="329"/>
        <v>2.4170028628258606</v>
      </c>
      <c r="G725" s="306">
        <f t="shared" ca="1" si="330"/>
        <v>7.2313698044056167</v>
      </c>
      <c r="H725" s="307">
        <f t="shared" ca="1" si="331"/>
        <v>-125.72328067268703</v>
      </c>
      <c r="I725" s="304">
        <f t="shared" ca="1" si="332"/>
        <v>125.93107643608589</v>
      </c>
      <c r="J725" s="306">
        <f t="shared" ca="1" si="333"/>
        <v>468.65916031958193</v>
      </c>
      <c r="K725" s="307">
        <f t="shared" ca="1" si="334"/>
        <v>-6.8192794913407386</v>
      </c>
      <c r="L725" s="304">
        <f t="shared" ca="1" si="319"/>
        <v>468.70877005261661</v>
      </c>
      <c r="M725" s="306">
        <f t="shared" ca="1" si="335"/>
        <v>-1.5133414866454775</v>
      </c>
      <c r="N725" s="304">
        <f t="shared" ca="1" si="336"/>
        <v>-86.708080146839492</v>
      </c>
      <c r="P725" s="310">
        <f t="shared" ca="1" si="337"/>
        <v>23</v>
      </c>
      <c r="Q725" s="304">
        <f t="shared" ca="1" si="338"/>
        <v>0</v>
      </c>
      <c r="R725" s="306">
        <f t="shared" ca="1" si="339"/>
        <v>0</v>
      </c>
      <c r="S725" s="307">
        <f t="shared" ca="1" si="340"/>
        <v>7.9789999999999939</v>
      </c>
      <c r="T725" s="304">
        <f t="shared" ca="1" si="320"/>
        <v>78.273989999999941</v>
      </c>
      <c r="U725" s="311">
        <f t="shared" ca="1" si="321"/>
        <v>0</v>
      </c>
      <c r="V725" s="306">
        <f t="shared" ca="1" si="322"/>
        <v>1.2258356466630971</v>
      </c>
      <c r="W725" s="304">
        <f t="shared" ca="1" si="323"/>
        <v>59.390968832157682</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2.3504395970569369</v>
      </c>
      <c r="AH725" s="304">
        <f t="shared" ca="1" si="347"/>
        <v>-7.443372911895068</v>
      </c>
    </row>
    <row r="726" spans="1:34" x14ac:dyDescent="0.2">
      <c r="A726" s="347">
        <f t="shared" ca="1" si="325"/>
        <v>1E-4</v>
      </c>
      <c r="B726" s="304">
        <f t="shared" ca="1" si="326"/>
        <v>35.800400000000209</v>
      </c>
      <c r="D726" s="306">
        <f t="shared" ca="1" si="327"/>
        <v>-0.42742468531075289</v>
      </c>
      <c r="E726" s="307">
        <f t="shared" ca="1" si="328"/>
        <v>-2.3788721319410184</v>
      </c>
      <c r="F726" s="304">
        <f t="shared" ca="1" si="329"/>
        <v>2.4169659661936911</v>
      </c>
      <c r="G726" s="306">
        <f t="shared" ca="1" si="330"/>
        <v>7.231327061937086</v>
      </c>
      <c r="H726" s="307">
        <f t="shared" ca="1" si="331"/>
        <v>-125.72351855990021</v>
      </c>
      <c r="I726" s="304">
        <f t="shared" ca="1" si="332"/>
        <v>125.93131147636905</v>
      </c>
      <c r="J726" s="306">
        <f t="shared" ca="1" si="333"/>
        <v>468.65916031958193</v>
      </c>
      <c r="K726" s="307">
        <f t="shared" ca="1" si="334"/>
        <v>-6.8318518313023677</v>
      </c>
      <c r="L726" s="304">
        <f t="shared" ca="1" si="319"/>
        <v>468.70895313712589</v>
      </c>
      <c r="M726" s="306">
        <f t="shared" ca="1" si="335"/>
        <v>-1.5133419339702368</v>
      </c>
      <c r="N726" s="304">
        <f t="shared" ca="1" si="336"/>
        <v>-86.708105776660275</v>
      </c>
      <c r="P726" s="310">
        <f t="shared" ca="1" si="337"/>
        <v>23</v>
      </c>
      <c r="Q726" s="304">
        <f t="shared" ca="1" si="338"/>
        <v>0</v>
      </c>
      <c r="R726" s="306">
        <f t="shared" ca="1" si="339"/>
        <v>0</v>
      </c>
      <c r="S726" s="307">
        <f t="shared" ca="1" si="340"/>
        <v>7.9789999999999939</v>
      </c>
      <c r="T726" s="304">
        <f t="shared" ca="1" si="320"/>
        <v>78.273989999999941</v>
      </c>
      <c r="U726" s="311">
        <f t="shared" ca="1" si="321"/>
        <v>0</v>
      </c>
      <c r="V726" s="306">
        <f t="shared" ca="1" si="322"/>
        <v>1.225837187826494</v>
      </c>
      <c r="W726" s="304">
        <f t="shared" ca="1" si="323"/>
        <v>59.391265198031377</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2.3504027055280838</v>
      </c>
      <c r="AH726" s="304">
        <f t="shared" ca="1" si="347"/>
        <v>-7.443410055415181</v>
      </c>
    </row>
    <row r="727" spans="1:34" x14ac:dyDescent="0.2">
      <c r="A727" s="347">
        <f t="shared" ca="1" si="325"/>
        <v>1E-4</v>
      </c>
      <c r="B727" s="304">
        <f t="shared" ca="1" si="326"/>
        <v>35.800500000000213</v>
      </c>
      <c r="D727" s="306">
        <f t="shared" ca="1" si="327"/>
        <v>-0.42742349405136426</v>
      </c>
      <c r="E727" s="307">
        <f t="shared" ca="1" si="328"/>
        <v>-2.378834858797096</v>
      </c>
      <c r="F727" s="304">
        <f t="shared" ca="1" si="329"/>
        <v>2.4169290698519217</v>
      </c>
      <c r="G727" s="306">
        <f t="shared" ca="1" si="330"/>
        <v>7.2312843195876813</v>
      </c>
      <c r="H727" s="307">
        <f t="shared" ca="1" si="331"/>
        <v>-125.72375644338609</v>
      </c>
      <c r="I727" s="304">
        <f t="shared" ca="1" si="332"/>
        <v>125.93154651296307</v>
      </c>
      <c r="J727" s="306">
        <f t="shared" ca="1" si="333"/>
        <v>468.65916031958193</v>
      </c>
      <c r="K727" s="307">
        <f t="shared" ca="1" si="334"/>
        <v>-6.8444241950525324</v>
      </c>
      <c r="L727" s="304">
        <f t="shared" ca="1" si="319"/>
        <v>468.70913655914308</v>
      </c>
      <c r="M727" s="306">
        <f t="shared" ca="1" si="335"/>
        <v>-1.5133423812906823</v>
      </c>
      <c r="N727" s="304">
        <f t="shared" ca="1" si="336"/>
        <v>-86.708131406233889</v>
      </c>
      <c r="P727" s="310">
        <f t="shared" ca="1" si="337"/>
        <v>23</v>
      </c>
      <c r="Q727" s="304">
        <f t="shared" ca="1" si="338"/>
        <v>0</v>
      </c>
      <c r="R727" s="306">
        <f t="shared" ca="1" si="339"/>
        <v>0</v>
      </c>
      <c r="S727" s="307">
        <f t="shared" ca="1" si="340"/>
        <v>7.9789999999999939</v>
      </c>
      <c r="T727" s="304">
        <f t="shared" ca="1" si="320"/>
        <v>78.273989999999941</v>
      </c>
      <c r="U727" s="311">
        <f t="shared" ca="1" si="321"/>
        <v>0</v>
      </c>
      <c r="V727" s="306">
        <f t="shared" ca="1" si="322"/>
        <v>1.2258387289947452</v>
      </c>
      <c r="W727" s="304">
        <f t="shared" ca="1" si="323"/>
        <v>59.391561561631775</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2.3503658142797486</v>
      </c>
      <c r="AH727" s="304">
        <f t="shared" ca="1" si="347"/>
        <v>-7.443447198650385</v>
      </c>
    </row>
    <row r="728" spans="1:34" x14ac:dyDescent="0.2">
      <c r="A728" s="347">
        <f t="shared" ca="1" si="325"/>
        <v>1E-4</v>
      </c>
      <c r="B728" s="304">
        <f t="shared" ca="1" si="326"/>
        <v>35.800600000000216</v>
      </c>
      <c r="D728" s="306">
        <f t="shared" ca="1" si="327"/>
        <v>-0.42742230277441029</v>
      </c>
      <c r="E728" s="307">
        <f t="shared" ca="1" si="328"/>
        <v>-2.3787975859390356</v>
      </c>
      <c r="F728" s="304">
        <f t="shared" ca="1" si="329"/>
        <v>2.4168921738005529</v>
      </c>
      <c r="G728" s="306">
        <f t="shared" ca="1" si="330"/>
        <v>7.2312415773574035</v>
      </c>
      <c r="H728" s="307">
        <f t="shared" ca="1" si="331"/>
        <v>-125.72399432314469</v>
      </c>
      <c r="I728" s="304">
        <f t="shared" ca="1" si="332"/>
        <v>125.93178154586801</v>
      </c>
      <c r="J728" s="306">
        <f t="shared" ca="1" si="333"/>
        <v>468.65916031958193</v>
      </c>
      <c r="K728" s="307">
        <f t="shared" ca="1" si="334"/>
        <v>-6.8569965825908588</v>
      </c>
      <c r="L728" s="304">
        <f t="shared" ca="1" si="319"/>
        <v>468.70932031866965</v>
      </c>
      <c r="M728" s="306">
        <f t="shared" ca="1" si="335"/>
        <v>-1.5133428286068142</v>
      </c>
      <c r="N728" s="304">
        <f t="shared" ca="1" si="336"/>
        <v>-86.708157035560362</v>
      </c>
      <c r="P728" s="310">
        <f t="shared" ca="1" si="337"/>
        <v>23</v>
      </c>
      <c r="Q728" s="304">
        <f t="shared" ca="1" si="338"/>
        <v>0</v>
      </c>
      <c r="R728" s="306">
        <f t="shared" ca="1" si="339"/>
        <v>0</v>
      </c>
      <c r="S728" s="307">
        <f t="shared" ca="1" si="340"/>
        <v>7.9789999999999939</v>
      </c>
      <c r="T728" s="304">
        <f t="shared" ca="1" si="320"/>
        <v>78.273989999999941</v>
      </c>
      <c r="U728" s="311">
        <f t="shared" ca="1" si="321"/>
        <v>0</v>
      </c>
      <c r="V728" s="306">
        <f t="shared" ca="1" si="322"/>
        <v>1.225840270167851</v>
      </c>
      <c r="W728" s="304">
        <f t="shared" ca="1" si="323"/>
        <v>59.391857922958906</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2.3503289233119355</v>
      </c>
      <c r="AH728" s="304">
        <f t="shared" ca="1" si="347"/>
        <v>-7.4434843416006791</v>
      </c>
    </row>
    <row r="729" spans="1:34" x14ac:dyDescent="0.2">
      <c r="A729" s="347">
        <f t="shared" ca="1" si="325"/>
        <v>1E-4</v>
      </c>
      <c r="B729" s="304">
        <f t="shared" ca="1" si="326"/>
        <v>35.800700000000219</v>
      </c>
      <c r="D729" s="306">
        <f t="shared" ca="1" si="327"/>
        <v>-0.42742111147989204</v>
      </c>
      <c r="E729" s="307">
        <f t="shared" ca="1" si="328"/>
        <v>-2.3787603133668327</v>
      </c>
      <c r="F729" s="304">
        <f t="shared" ca="1" si="329"/>
        <v>2.4168552780395807</v>
      </c>
      <c r="G729" s="306">
        <f t="shared" ca="1" si="330"/>
        <v>7.2311988352462553</v>
      </c>
      <c r="H729" s="307">
        <f t="shared" ca="1" si="331"/>
        <v>-125.72423219917603</v>
      </c>
      <c r="I729" s="304">
        <f t="shared" ca="1" si="332"/>
        <v>125.93201657508386</v>
      </c>
      <c r="J729" s="306">
        <f t="shared" ca="1" si="333"/>
        <v>468.65916031958193</v>
      </c>
      <c r="K729" s="307">
        <f t="shared" ca="1" si="334"/>
        <v>-6.8695689939169746</v>
      </c>
      <c r="L729" s="304">
        <f t="shared" ca="1" si="319"/>
        <v>468.70950441570716</v>
      </c>
      <c r="M729" s="306">
        <f t="shared" ca="1" si="335"/>
        <v>-1.5133432759186325</v>
      </c>
      <c r="N729" s="304">
        <f t="shared" ca="1" si="336"/>
        <v>-86.708182664639679</v>
      </c>
      <c r="P729" s="310">
        <f t="shared" ca="1" si="337"/>
        <v>23</v>
      </c>
      <c r="Q729" s="304">
        <f t="shared" ca="1" si="338"/>
        <v>0</v>
      </c>
      <c r="R729" s="306">
        <f t="shared" ca="1" si="339"/>
        <v>0</v>
      </c>
      <c r="S729" s="307">
        <f t="shared" ca="1" si="340"/>
        <v>7.9789999999999939</v>
      </c>
      <c r="T729" s="304">
        <f t="shared" ca="1" si="320"/>
        <v>78.273989999999941</v>
      </c>
      <c r="U729" s="311">
        <f t="shared" ca="1" si="321"/>
        <v>0</v>
      </c>
      <c r="V729" s="306">
        <f t="shared" ca="1" si="322"/>
        <v>1.2258418113458107</v>
      </c>
      <c r="W729" s="304">
        <f t="shared" ca="1" si="323"/>
        <v>59.392154282012712</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2.3502920326246368</v>
      </c>
      <c r="AH729" s="304">
        <f t="shared" ca="1" si="347"/>
        <v>-7.4435214842660677</v>
      </c>
    </row>
    <row r="730" spans="1:34" x14ac:dyDescent="0.2">
      <c r="A730" s="347">
        <f t="shared" ca="1" si="325"/>
        <v>1E-4</v>
      </c>
      <c r="B730" s="304">
        <f t="shared" ca="1" si="326"/>
        <v>35.800800000000223</v>
      </c>
      <c r="D730" s="306">
        <f t="shared" ca="1" si="327"/>
        <v>-0.42741992016780994</v>
      </c>
      <c r="E730" s="307">
        <f t="shared" ca="1" si="328"/>
        <v>-2.378723041080498</v>
      </c>
      <c r="F730" s="304">
        <f t="shared" ca="1" si="329"/>
        <v>2.4168183825690148</v>
      </c>
      <c r="G730" s="306">
        <f t="shared" ca="1" si="330"/>
        <v>7.2311560932542385</v>
      </c>
      <c r="H730" s="307">
        <f t="shared" ca="1" si="331"/>
        <v>-125.72447007148014</v>
      </c>
      <c r="I730" s="304">
        <f t="shared" ca="1" si="332"/>
        <v>125.93225160061068</v>
      </c>
      <c r="J730" s="306">
        <f t="shared" ca="1" si="333"/>
        <v>468.65916031958193</v>
      </c>
      <c r="K730" s="307">
        <f t="shared" ca="1" si="334"/>
        <v>-6.8821414290305079</v>
      </c>
      <c r="L730" s="304">
        <f t="shared" ca="1" si="319"/>
        <v>468.70968885025707</v>
      </c>
      <c r="M730" s="306">
        <f t="shared" ca="1" si="335"/>
        <v>-1.5133437232261371</v>
      </c>
      <c r="N730" s="304">
        <f t="shared" ca="1" si="336"/>
        <v>-86.708208293471827</v>
      </c>
      <c r="P730" s="310">
        <f t="shared" ca="1" si="337"/>
        <v>23</v>
      </c>
      <c r="Q730" s="304">
        <f t="shared" ca="1" si="338"/>
        <v>0</v>
      </c>
      <c r="R730" s="306">
        <f t="shared" ca="1" si="339"/>
        <v>0</v>
      </c>
      <c r="S730" s="307">
        <f t="shared" ca="1" si="340"/>
        <v>7.9789999999999939</v>
      </c>
      <c r="T730" s="304">
        <f t="shared" ca="1" si="320"/>
        <v>78.273989999999941</v>
      </c>
      <c r="U730" s="311">
        <f t="shared" ca="1" si="321"/>
        <v>0</v>
      </c>
      <c r="V730" s="306">
        <f t="shared" ca="1" si="322"/>
        <v>1.225843352528625</v>
      </c>
      <c r="W730" s="304">
        <f t="shared" ca="1" si="323"/>
        <v>59.392450638793235</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2.350255142217863</v>
      </c>
      <c r="AH730" s="304">
        <f t="shared" ca="1" si="347"/>
        <v>-7.4435586266465421</v>
      </c>
    </row>
    <row r="731" spans="1:34" x14ac:dyDescent="0.2">
      <c r="A731" s="347">
        <f t="shared" ca="1" si="325"/>
        <v>1E-4</v>
      </c>
      <c r="B731" s="304">
        <f t="shared" ca="1" si="326"/>
        <v>35.800900000000226</v>
      </c>
      <c r="D731" s="306">
        <f t="shared" ca="1" si="327"/>
        <v>-0.42741872883816506</v>
      </c>
      <c r="E731" s="307">
        <f t="shared" ca="1" si="328"/>
        <v>-2.3786857690800218</v>
      </c>
      <c r="F731" s="304">
        <f t="shared" ca="1" si="329"/>
        <v>2.4167814873888469</v>
      </c>
      <c r="G731" s="306">
        <f t="shared" ca="1" si="330"/>
        <v>7.2311133513813548</v>
      </c>
      <c r="H731" s="307">
        <f t="shared" ca="1" si="331"/>
        <v>-125.72470794005704</v>
      </c>
      <c r="I731" s="304">
        <f t="shared" ca="1" si="332"/>
        <v>125.93248662244849</v>
      </c>
      <c r="J731" s="306">
        <f t="shared" ca="1" si="333"/>
        <v>468.65916031958193</v>
      </c>
      <c r="K731" s="307">
        <f t="shared" ca="1" si="334"/>
        <v>-6.8947138879310845</v>
      </c>
      <c r="L731" s="304">
        <f t="shared" ca="1" si="319"/>
        <v>468.70987362232091</v>
      </c>
      <c r="M731" s="306">
        <f t="shared" ca="1" si="335"/>
        <v>-1.5133441705293282</v>
      </c>
      <c r="N731" s="304">
        <f t="shared" ca="1" si="336"/>
        <v>-86.708233922056849</v>
      </c>
      <c r="P731" s="310">
        <f t="shared" ca="1" si="337"/>
        <v>23</v>
      </c>
      <c r="Q731" s="304">
        <f t="shared" ca="1" si="338"/>
        <v>0</v>
      </c>
      <c r="R731" s="306">
        <f t="shared" ca="1" si="339"/>
        <v>0</v>
      </c>
      <c r="S731" s="307">
        <f t="shared" ca="1" si="340"/>
        <v>7.9789999999999939</v>
      </c>
      <c r="T731" s="304">
        <f t="shared" ca="1" si="320"/>
        <v>78.273989999999941</v>
      </c>
      <c r="U731" s="311">
        <f t="shared" ca="1" si="321"/>
        <v>0</v>
      </c>
      <c r="V731" s="306">
        <f t="shared" ca="1" si="322"/>
        <v>1.2258448937162936</v>
      </c>
      <c r="W731" s="304">
        <f t="shared" ca="1" si="323"/>
        <v>59.392746993300449</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2.350218252091608</v>
      </c>
      <c r="AH731" s="304">
        <f t="shared" ca="1" si="347"/>
        <v>-7.4435957687421084</v>
      </c>
    </row>
    <row r="732" spans="1:34" x14ac:dyDescent="0.2">
      <c r="A732" s="347">
        <f t="shared" ca="1" si="325"/>
        <v>1E-4</v>
      </c>
      <c r="B732" s="304">
        <f t="shared" ca="1" si="326"/>
        <v>35.801000000000229</v>
      </c>
      <c r="D732" s="306">
        <f t="shared" ca="1" si="327"/>
        <v>-0.42741753749095657</v>
      </c>
      <c r="E732" s="307">
        <f t="shared" ca="1" si="328"/>
        <v>-2.3786484973654112</v>
      </c>
      <c r="F732" s="304">
        <f t="shared" ca="1" si="329"/>
        <v>2.4167445924990836</v>
      </c>
      <c r="G732" s="306">
        <f t="shared" ca="1" si="330"/>
        <v>7.2310706096276061</v>
      </c>
      <c r="H732" s="307">
        <f t="shared" ca="1" si="331"/>
        <v>-125.72494580490678</v>
      </c>
      <c r="I732" s="304">
        <f t="shared" ca="1" si="332"/>
        <v>125.93272164059731</v>
      </c>
      <c r="J732" s="306">
        <f t="shared" ca="1" si="333"/>
        <v>468.65916031958193</v>
      </c>
      <c r="K732" s="307">
        <f t="shared" ca="1" si="334"/>
        <v>-6.9072863706183325</v>
      </c>
      <c r="L732" s="304">
        <f t="shared" ca="1" si="319"/>
        <v>468.71005873190018</v>
      </c>
      <c r="M732" s="306">
        <f t="shared" ca="1" si="335"/>
        <v>-1.513344617828206</v>
      </c>
      <c r="N732" s="304">
        <f t="shared" ca="1" si="336"/>
        <v>-86.708259550394715</v>
      </c>
      <c r="P732" s="310">
        <f t="shared" ca="1" si="337"/>
        <v>23</v>
      </c>
      <c r="Q732" s="304">
        <f t="shared" ca="1" si="338"/>
        <v>0</v>
      </c>
      <c r="R732" s="306">
        <f t="shared" ca="1" si="339"/>
        <v>0</v>
      </c>
      <c r="S732" s="307">
        <f t="shared" ca="1" si="340"/>
        <v>7.9789999999999939</v>
      </c>
      <c r="T732" s="304">
        <f t="shared" ca="1" si="320"/>
        <v>78.273989999999941</v>
      </c>
      <c r="U732" s="311">
        <f t="shared" ca="1" si="321"/>
        <v>0</v>
      </c>
      <c r="V732" s="306">
        <f t="shared" ca="1" si="322"/>
        <v>1.2258464349088163</v>
      </c>
      <c r="W732" s="304">
        <f t="shared" ca="1" si="323"/>
        <v>59.393043345534359</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2.3501813622458769</v>
      </c>
      <c r="AH732" s="304">
        <f t="shared" ca="1" si="347"/>
        <v>-7.443632910552763</v>
      </c>
    </row>
    <row r="733" spans="1:34" x14ac:dyDescent="0.2">
      <c r="A733" s="347">
        <f t="shared" ca="1" si="325"/>
        <v>1E-4</v>
      </c>
      <c r="B733" s="304">
        <f t="shared" ca="1" si="326"/>
        <v>35.801100000000233</v>
      </c>
      <c r="D733" s="306">
        <f t="shared" ca="1" si="327"/>
        <v>-0.42741634612618529</v>
      </c>
      <c r="E733" s="307">
        <f t="shared" ca="1" si="328"/>
        <v>-2.3786112259366643</v>
      </c>
      <c r="F733" s="304">
        <f t="shared" ca="1" si="329"/>
        <v>2.4167076978997231</v>
      </c>
      <c r="G733" s="306">
        <f t="shared" ca="1" si="330"/>
        <v>7.2310278679929931</v>
      </c>
      <c r="H733" s="307">
        <f t="shared" ca="1" si="331"/>
        <v>-125.72518366602938</v>
      </c>
      <c r="I733" s="304">
        <f t="shared" ca="1" si="332"/>
        <v>125.93295665505718</v>
      </c>
      <c r="J733" s="306">
        <f t="shared" ca="1" si="333"/>
        <v>468.65916031958193</v>
      </c>
      <c r="K733" s="307">
        <f t="shared" ca="1" si="334"/>
        <v>-6.9198588770918796</v>
      </c>
      <c r="L733" s="304">
        <f t="shared" ca="1" si="319"/>
        <v>468.71024417899645</v>
      </c>
      <c r="M733" s="306">
        <f t="shared" ca="1" si="335"/>
        <v>-1.5133450651227702</v>
      </c>
      <c r="N733" s="304">
        <f t="shared" ca="1" si="336"/>
        <v>-86.708285178485454</v>
      </c>
      <c r="P733" s="310">
        <f t="shared" ca="1" si="337"/>
        <v>23</v>
      </c>
      <c r="Q733" s="304">
        <f t="shared" ca="1" si="338"/>
        <v>0</v>
      </c>
      <c r="R733" s="306">
        <f t="shared" ca="1" si="339"/>
        <v>0</v>
      </c>
      <c r="S733" s="307">
        <f t="shared" ca="1" si="340"/>
        <v>7.9789999999999939</v>
      </c>
      <c r="T733" s="304">
        <f t="shared" ca="1" si="320"/>
        <v>78.273989999999941</v>
      </c>
      <c r="U733" s="311">
        <f t="shared" ca="1" si="321"/>
        <v>0</v>
      </c>
      <c r="V733" s="306">
        <f t="shared" ca="1" si="322"/>
        <v>1.2258479761061931</v>
      </c>
      <c r="W733" s="304">
        <f t="shared" ca="1" si="323"/>
        <v>59.393339695494959</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2.3501444726806637</v>
      </c>
      <c r="AH733" s="304">
        <f t="shared" ca="1" si="347"/>
        <v>-7.4436700520785068</v>
      </c>
    </row>
    <row r="734" spans="1:34" x14ac:dyDescent="0.2">
      <c r="A734" s="347">
        <f t="shared" ca="1" si="325"/>
        <v>1E-4</v>
      </c>
      <c r="B734" s="304">
        <f t="shared" ca="1" si="326"/>
        <v>35.801200000000236</v>
      </c>
      <c r="D734" s="306">
        <f t="shared" ca="1" si="327"/>
        <v>-0.42741515474385205</v>
      </c>
      <c r="E734" s="307">
        <f t="shared" ca="1" si="328"/>
        <v>-2.3785739547937803</v>
      </c>
      <c r="F734" s="304">
        <f t="shared" ca="1" si="329"/>
        <v>2.4166708035907654</v>
      </c>
      <c r="G734" s="306">
        <f t="shared" ca="1" si="330"/>
        <v>7.2309851264775187</v>
      </c>
      <c r="H734" s="307">
        <f t="shared" ca="1" si="331"/>
        <v>-125.72542152342486</v>
      </c>
      <c r="I734" s="304">
        <f t="shared" ca="1" si="332"/>
        <v>125.93319166582812</v>
      </c>
      <c r="J734" s="306">
        <f t="shared" ca="1" si="333"/>
        <v>468.65916031958193</v>
      </c>
      <c r="K734" s="307">
        <f t="shared" ca="1" si="334"/>
        <v>-6.932431407351352</v>
      </c>
      <c r="L734" s="304">
        <f t="shared" ca="1" si="319"/>
        <v>468.71042996361115</v>
      </c>
      <c r="M734" s="306">
        <f t="shared" ca="1" si="335"/>
        <v>-1.5133455124130213</v>
      </c>
      <c r="N734" s="304">
        <f t="shared" ca="1" si="336"/>
        <v>-86.708310806329052</v>
      </c>
      <c r="P734" s="310">
        <f t="shared" ca="1" si="337"/>
        <v>23</v>
      </c>
      <c r="Q734" s="304">
        <f t="shared" ca="1" si="338"/>
        <v>0</v>
      </c>
      <c r="R734" s="306">
        <f t="shared" ca="1" si="339"/>
        <v>0</v>
      </c>
      <c r="S734" s="307">
        <f t="shared" ca="1" si="340"/>
        <v>7.9789999999999939</v>
      </c>
      <c r="T734" s="304">
        <f t="shared" ca="1" si="320"/>
        <v>78.273989999999941</v>
      </c>
      <c r="U734" s="311">
        <f t="shared" ca="1" si="321"/>
        <v>0</v>
      </c>
      <c r="V734" s="306">
        <f t="shared" ca="1" si="322"/>
        <v>1.2258495173084243</v>
      </c>
      <c r="W734" s="304">
        <f t="shared" ca="1" si="323"/>
        <v>59.393636043182241</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2.3501075833959746</v>
      </c>
      <c r="AH734" s="304">
        <f t="shared" ca="1" si="347"/>
        <v>-7.4437071933193391</v>
      </c>
    </row>
    <row r="735" spans="1:34" x14ac:dyDescent="0.2">
      <c r="A735" s="347">
        <f t="shared" ca="1" si="325"/>
        <v>1E-4</v>
      </c>
      <c r="B735" s="304">
        <f t="shared" ca="1" si="326"/>
        <v>35.801300000000239</v>
      </c>
      <c r="D735" s="306">
        <f t="shared" ca="1" si="327"/>
        <v>-0.42741396334395604</v>
      </c>
      <c r="E735" s="307">
        <f t="shared" ca="1" si="328"/>
        <v>-2.3785366839367619</v>
      </c>
      <c r="F735" s="304">
        <f t="shared" ca="1" si="329"/>
        <v>2.4166339095722122</v>
      </c>
      <c r="G735" s="306">
        <f t="shared" ca="1" si="330"/>
        <v>7.2309423850811845</v>
      </c>
      <c r="H735" s="307">
        <f t="shared" ca="1" si="331"/>
        <v>-125.72565937709325</v>
      </c>
      <c r="I735" s="304">
        <f t="shared" ca="1" si="332"/>
        <v>125.93342667291016</v>
      </c>
      <c r="J735" s="306">
        <f t="shared" ca="1" si="333"/>
        <v>468.65916031958193</v>
      </c>
      <c r="K735" s="307">
        <f t="shared" ca="1" si="334"/>
        <v>-6.9450039613963783</v>
      </c>
      <c r="L735" s="304">
        <f t="shared" ca="1" si="319"/>
        <v>468.71061608574581</v>
      </c>
      <c r="M735" s="306">
        <f t="shared" ca="1" si="335"/>
        <v>-1.5133459596989589</v>
      </c>
      <c r="N735" s="304">
        <f t="shared" ca="1" si="336"/>
        <v>-86.70833643392551</v>
      </c>
      <c r="P735" s="310">
        <f t="shared" ca="1" si="337"/>
        <v>23</v>
      </c>
      <c r="Q735" s="304">
        <f t="shared" ca="1" si="338"/>
        <v>0</v>
      </c>
      <c r="R735" s="306">
        <f t="shared" ca="1" si="339"/>
        <v>0</v>
      </c>
      <c r="S735" s="307">
        <f t="shared" ca="1" si="340"/>
        <v>7.9789999999999939</v>
      </c>
      <c r="T735" s="304">
        <f t="shared" ca="1" si="320"/>
        <v>78.273989999999941</v>
      </c>
      <c r="U735" s="311">
        <f t="shared" ca="1" si="321"/>
        <v>0</v>
      </c>
      <c r="V735" s="306">
        <f t="shared" ca="1" si="322"/>
        <v>1.2258510585155089</v>
      </c>
      <c r="W735" s="304">
        <f t="shared" ca="1" si="323"/>
        <v>59.393932388596184</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2.3500706943918104</v>
      </c>
      <c r="AH735" s="304">
        <f t="shared" ca="1" si="347"/>
        <v>-7.4437443342752587</v>
      </c>
    </row>
    <row r="736" spans="1:34" x14ac:dyDescent="0.2">
      <c r="A736" s="347">
        <f t="shared" ca="1" si="325"/>
        <v>1E-4</v>
      </c>
      <c r="B736" s="304">
        <f t="shared" ca="1" si="326"/>
        <v>35.801400000000243</v>
      </c>
      <c r="D736" s="306">
        <f t="shared" ca="1" si="327"/>
        <v>-0.42741277192649951</v>
      </c>
      <c r="E736" s="307">
        <f t="shared" ca="1" si="328"/>
        <v>-2.3784994133656125</v>
      </c>
      <c r="F736" s="304">
        <f t="shared" ca="1" si="329"/>
        <v>2.4165970158440682</v>
      </c>
      <c r="G736" s="306">
        <f t="shared" ca="1" si="330"/>
        <v>7.2308996438039914</v>
      </c>
      <c r="H736" s="307">
        <f t="shared" ca="1" si="331"/>
        <v>-125.72589722703459</v>
      </c>
      <c r="I736" s="304">
        <f t="shared" ca="1" si="332"/>
        <v>125.93366167630333</v>
      </c>
      <c r="J736" s="306">
        <f t="shared" ca="1" si="333"/>
        <v>468.65916031958193</v>
      </c>
      <c r="K736" s="307">
        <f t="shared" ca="1" si="334"/>
        <v>-6.9575765392265847</v>
      </c>
      <c r="L736" s="304">
        <f t="shared" ca="1" si="319"/>
        <v>468.71080254540198</v>
      </c>
      <c r="M736" s="306">
        <f t="shared" ca="1" si="335"/>
        <v>-1.5133464069805835</v>
      </c>
      <c r="N736" s="304">
        <f t="shared" ca="1" si="336"/>
        <v>-86.708362061274855</v>
      </c>
      <c r="P736" s="310">
        <f t="shared" ca="1" si="337"/>
        <v>23</v>
      </c>
      <c r="Q736" s="304">
        <f t="shared" ca="1" si="338"/>
        <v>0</v>
      </c>
      <c r="R736" s="306">
        <f t="shared" ca="1" si="339"/>
        <v>0</v>
      </c>
      <c r="S736" s="307">
        <f t="shared" ca="1" si="340"/>
        <v>7.9789999999999939</v>
      </c>
      <c r="T736" s="304">
        <f t="shared" ca="1" si="320"/>
        <v>78.273989999999941</v>
      </c>
      <c r="U736" s="311">
        <f t="shared" ca="1" si="321"/>
        <v>0</v>
      </c>
      <c r="V736" s="306">
        <f t="shared" ca="1" si="322"/>
        <v>1.2258525997274483</v>
      </c>
      <c r="W736" s="304">
        <f t="shared" ca="1" si="323"/>
        <v>59.394228731736845</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2.3500338056681711</v>
      </c>
      <c r="AH736" s="304">
        <f t="shared" ca="1" si="347"/>
        <v>-7.4437814749462623</v>
      </c>
    </row>
    <row r="737" spans="1:34" x14ac:dyDescent="0.2">
      <c r="A737" s="347">
        <f t="shared" ca="1" si="325"/>
        <v>1E-4</v>
      </c>
      <c r="B737" s="304">
        <f t="shared" ca="1" si="326"/>
        <v>35.801500000000246</v>
      </c>
      <c r="D737" s="306">
        <f t="shared" ca="1" si="327"/>
        <v>-0.42741158049148065</v>
      </c>
      <c r="E737" s="307">
        <f t="shared" ca="1" si="328"/>
        <v>-2.3784621430803217</v>
      </c>
      <c r="F737" s="304">
        <f t="shared" ca="1" si="329"/>
        <v>2.4165601224063229</v>
      </c>
      <c r="G737" s="306">
        <f t="shared" ca="1" si="330"/>
        <v>7.2308569026459422</v>
      </c>
      <c r="H737" s="307">
        <f t="shared" ca="1" si="331"/>
        <v>-125.7261350732489</v>
      </c>
      <c r="I737" s="304">
        <f t="shared" ca="1" si="332"/>
        <v>125.93389667600765</v>
      </c>
      <c r="J737" s="306">
        <f t="shared" ca="1" si="333"/>
        <v>468.65916031958193</v>
      </c>
      <c r="K737" s="307">
        <f t="shared" ca="1" si="334"/>
        <v>-6.970149140841599</v>
      </c>
      <c r="L737" s="304">
        <f t="shared" ca="1" si="319"/>
        <v>468.71098934258112</v>
      </c>
      <c r="M737" s="306">
        <f t="shared" ca="1" si="335"/>
        <v>-1.5133468542578949</v>
      </c>
      <c r="N737" s="304">
        <f t="shared" ca="1" si="336"/>
        <v>-86.708387688377073</v>
      </c>
      <c r="P737" s="310">
        <f t="shared" ca="1" si="337"/>
        <v>23</v>
      </c>
      <c r="Q737" s="304">
        <f t="shared" ca="1" si="338"/>
        <v>0</v>
      </c>
      <c r="R737" s="306">
        <f t="shared" ca="1" si="339"/>
        <v>0</v>
      </c>
      <c r="S737" s="307">
        <f t="shared" ca="1" si="340"/>
        <v>7.9789999999999939</v>
      </c>
      <c r="T737" s="304">
        <f t="shared" ca="1" si="320"/>
        <v>78.273989999999941</v>
      </c>
      <c r="U737" s="311">
        <f t="shared" ca="1" si="321"/>
        <v>0</v>
      </c>
      <c r="V737" s="306">
        <f t="shared" ca="1" si="322"/>
        <v>1.2258541409442416</v>
      </c>
      <c r="W737" s="304">
        <f t="shared" ca="1" si="323"/>
        <v>59.394525072604168</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2.3499969172250514</v>
      </c>
      <c r="AH737" s="304">
        <f t="shared" ca="1" si="347"/>
        <v>-7.4438186153323587</v>
      </c>
    </row>
    <row r="738" spans="1:34" x14ac:dyDescent="0.2">
      <c r="A738" s="347">
        <f t="shared" ca="1" si="325"/>
        <v>1E-4</v>
      </c>
      <c r="B738" s="304">
        <f t="shared" ca="1" si="326"/>
        <v>35.801600000000249</v>
      </c>
      <c r="D738" s="306">
        <f t="shared" ca="1" si="327"/>
        <v>-0.42741038903890133</v>
      </c>
      <c r="E738" s="307">
        <f t="shared" ca="1" si="328"/>
        <v>-2.378424873080899</v>
      </c>
      <c r="F738" s="304">
        <f t="shared" ca="1" si="329"/>
        <v>2.4165232292589858</v>
      </c>
      <c r="G738" s="306">
        <f t="shared" ca="1" si="330"/>
        <v>7.2308141616070385</v>
      </c>
      <c r="H738" s="307">
        <f t="shared" ca="1" si="331"/>
        <v>-125.72637291573621</v>
      </c>
      <c r="I738" s="304">
        <f t="shared" ca="1" si="332"/>
        <v>125.93413167202314</v>
      </c>
      <c r="J738" s="306">
        <f t="shared" ca="1" si="333"/>
        <v>468.65916031958193</v>
      </c>
      <c r="K738" s="307">
        <f t="shared" ca="1" si="334"/>
        <v>-6.9827217662410481</v>
      </c>
      <c r="L738" s="304">
        <f t="shared" ca="1" si="319"/>
        <v>468.71117647728471</v>
      </c>
      <c r="M738" s="306">
        <f t="shared" ca="1" si="335"/>
        <v>-1.5133473015308931</v>
      </c>
      <c r="N738" s="304">
        <f t="shared" ca="1" si="336"/>
        <v>-86.708413315232164</v>
      </c>
      <c r="P738" s="310">
        <f t="shared" ca="1" si="337"/>
        <v>23</v>
      </c>
      <c r="Q738" s="304">
        <f t="shared" ca="1" si="338"/>
        <v>0</v>
      </c>
      <c r="R738" s="306">
        <f t="shared" ca="1" si="339"/>
        <v>0</v>
      </c>
      <c r="S738" s="307">
        <f t="shared" ca="1" si="340"/>
        <v>7.9789999999999939</v>
      </c>
      <c r="T738" s="304">
        <f t="shared" ca="1" si="320"/>
        <v>78.273989999999941</v>
      </c>
      <c r="U738" s="311">
        <f t="shared" ca="1" si="321"/>
        <v>0</v>
      </c>
      <c r="V738" s="306">
        <f t="shared" ca="1" si="322"/>
        <v>1.225855682165889</v>
      </c>
      <c r="W738" s="304">
        <f t="shared" ca="1" si="323"/>
        <v>59.394821411198151</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2.3499600290624576</v>
      </c>
      <c r="AH738" s="304">
        <f t="shared" ca="1" si="347"/>
        <v>-7.4438557554335398</v>
      </c>
    </row>
    <row r="739" spans="1:34" x14ac:dyDescent="0.2">
      <c r="A739" s="347">
        <f t="shared" ca="1" si="325"/>
        <v>1E-4</v>
      </c>
      <c r="B739" s="304">
        <f t="shared" ca="1" si="326"/>
        <v>35.801700000000253</v>
      </c>
      <c r="D739" s="306">
        <f t="shared" ca="1" si="327"/>
        <v>-0.42740919756876261</v>
      </c>
      <c r="E739" s="307">
        <f t="shared" ca="1" si="328"/>
        <v>-2.3783876033673446</v>
      </c>
      <c r="F739" s="304">
        <f t="shared" ca="1" si="329"/>
        <v>2.4164863364020568</v>
      </c>
      <c r="G739" s="306">
        <f t="shared" ca="1" si="330"/>
        <v>7.2307714206872813</v>
      </c>
      <c r="H739" s="307">
        <f t="shared" ca="1" si="331"/>
        <v>-125.72661075449655</v>
      </c>
      <c r="I739" s="304">
        <f t="shared" ca="1" si="332"/>
        <v>125.93436666434987</v>
      </c>
      <c r="J739" s="306">
        <f t="shared" ca="1" si="333"/>
        <v>468.65916031958193</v>
      </c>
      <c r="K739" s="307">
        <f t="shared" ca="1" si="334"/>
        <v>-6.99529441542456</v>
      </c>
      <c r="L739" s="304">
        <f t="shared" ca="1" si="319"/>
        <v>468.71136394951429</v>
      </c>
      <c r="M739" s="306">
        <f t="shared" ca="1" si="335"/>
        <v>-1.5133477487995783</v>
      </c>
      <c r="N739" s="304">
        <f t="shared" ca="1" si="336"/>
        <v>-86.708438941840129</v>
      </c>
      <c r="P739" s="310">
        <f t="shared" ca="1" si="337"/>
        <v>23</v>
      </c>
      <c r="Q739" s="304">
        <f t="shared" ca="1" si="338"/>
        <v>0</v>
      </c>
      <c r="R739" s="306">
        <f t="shared" ca="1" si="339"/>
        <v>0</v>
      </c>
      <c r="S739" s="307">
        <f t="shared" ca="1" si="340"/>
        <v>7.9789999999999939</v>
      </c>
      <c r="T739" s="304">
        <f t="shared" ca="1" si="320"/>
        <v>78.273989999999941</v>
      </c>
      <c r="U739" s="311">
        <f t="shared" ca="1" si="321"/>
        <v>0</v>
      </c>
      <c r="V739" s="306">
        <f t="shared" ca="1" si="322"/>
        <v>1.2258572233923901</v>
      </c>
      <c r="W739" s="304">
        <f t="shared" ca="1" si="323"/>
        <v>59.39511774751881</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2.3499231411803914</v>
      </c>
      <c r="AH739" s="304">
        <f t="shared" ca="1" si="347"/>
        <v>-7.4438928952498058</v>
      </c>
    </row>
    <row r="740" spans="1:34" x14ac:dyDescent="0.2">
      <c r="A740" s="347">
        <f t="shared" ca="1" si="325"/>
        <v>1E-4</v>
      </c>
      <c r="B740" s="304">
        <f t="shared" ca="1" si="326"/>
        <v>35.801800000000256</v>
      </c>
      <c r="D740" s="306">
        <f t="shared" ca="1" si="327"/>
        <v>-0.42740800608106366</v>
      </c>
      <c r="E740" s="307">
        <f t="shared" ca="1" si="328"/>
        <v>-2.3783503339396566</v>
      </c>
      <c r="F740" s="304">
        <f t="shared" ca="1" si="329"/>
        <v>2.4164494438355351</v>
      </c>
      <c r="G740" s="306">
        <f t="shared" ca="1" si="330"/>
        <v>7.2307286798866732</v>
      </c>
      <c r="H740" s="307">
        <f t="shared" ca="1" si="331"/>
        <v>-125.72684858952994</v>
      </c>
      <c r="I740" s="304">
        <f t="shared" ca="1" si="332"/>
        <v>125.93460165298781</v>
      </c>
      <c r="J740" s="306">
        <f t="shared" ca="1" si="333"/>
        <v>468.65916031958193</v>
      </c>
      <c r="K740" s="307">
        <f t="shared" ca="1" si="334"/>
        <v>-7.0078670883917615</v>
      </c>
      <c r="L740" s="304">
        <f t="shared" ca="1" si="319"/>
        <v>468.7115517592714</v>
      </c>
      <c r="M740" s="306">
        <f t="shared" ca="1" si="335"/>
        <v>-1.5133481960639508</v>
      </c>
      <c r="N740" s="304">
        <f t="shared" ca="1" si="336"/>
        <v>-86.708464568200995</v>
      </c>
      <c r="P740" s="310">
        <f t="shared" ca="1" si="337"/>
        <v>23</v>
      </c>
      <c r="Q740" s="304">
        <f t="shared" ca="1" si="338"/>
        <v>0</v>
      </c>
      <c r="R740" s="306">
        <f t="shared" ca="1" si="339"/>
        <v>0</v>
      </c>
      <c r="S740" s="307">
        <f t="shared" ca="1" si="340"/>
        <v>7.9789999999999939</v>
      </c>
      <c r="T740" s="304">
        <f t="shared" ca="1" si="320"/>
        <v>78.273989999999941</v>
      </c>
      <c r="U740" s="311">
        <f t="shared" ca="1" si="321"/>
        <v>0</v>
      </c>
      <c r="V740" s="306">
        <f t="shared" ca="1" si="322"/>
        <v>1.2258587646237453</v>
      </c>
      <c r="W740" s="304">
        <f t="shared" ca="1" si="323"/>
        <v>59.39541408156613</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2.3498862535788501</v>
      </c>
      <c r="AH740" s="304">
        <f t="shared" ca="1" si="347"/>
        <v>-7.4439300347811574</v>
      </c>
    </row>
    <row r="741" spans="1:34" x14ac:dyDescent="0.2">
      <c r="A741" s="347">
        <f t="shared" ca="1" si="325"/>
        <v>1E-4</v>
      </c>
      <c r="B741" s="304">
        <f t="shared" ca="1" si="326"/>
        <v>35.801900000000259</v>
      </c>
      <c r="D741" s="306">
        <f t="shared" ca="1" si="327"/>
        <v>-0.42740681457580365</v>
      </c>
      <c r="E741" s="307">
        <f t="shared" ca="1" si="328"/>
        <v>-2.3783130647978359</v>
      </c>
      <c r="F741" s="304">
        <f t="shared" ca="1" si="329"/>
        <v>2.416412551559421</v>
      </c>
      <c r="G741" s="306">
        <f t="shared" ca="1" si="330"/>
        <v>7.2306859392052161</v>
      </c>
      <c r="H741" s="307">
        <f t="shared" ca="1" si="331"/>
        <v>-125.72708642083641</v>
      </c>
      <c r="I741" s="304">
        <f t="shared" ca="1" si="332"/>
        <v>125.93483663793704</v>
      </c>
      <c r="J741" s="306">
        <f t="shared" ca="1" si="333"/>
        <v>468.65916031958193</v>
      </c>
      <c r="K741" s="307">
        <f t="shared" ca="1" si="334"/>
        <v>-7.0204397851422797</v>
      </c>
      <c r="L741" s="304">
        <f t="shared" ca="1" si="319"/>
        <v>468.71173990655751</v>
      </c>
      <c r="M741" s="306">
        <f t="shared" ca="1" si="335"/>
        <v>-1.5133486433240102</v>
      </c>
      <c r="N741" s="304">
        <f t="shared" ca="1" si="336"/>
        <v>-86.708490194314749</v>
      </c>
      <c r="P741" s="310">
        <f t="shared" ca="1" si="337"/>
        <v>23</v>
      </c>
      <c r="Q741" s="304">
        <f t="shared" ca="1" si="338"/>
        <v>0</v>
      </c>
      <c r="R741" s="306">
        <f t="shared" ca="1" si="339"/>
        <v>0</v>
      </c>
      <c r="S741" s="307">
        <f t="shared" ca="1" si="340"/>
        <v>7.9789999999999939</v>
      </c>
      <c r="T741" s="304">
        <f t="shared" ca="1" si="320"/>
        <v>78.273989999999941</v>
      </c>
      <c r="U741" s="311">
        <f t="shared" ca="1" si="321"/>
        <v>0</v>
      </c>
      <c r="V741" s="306">
        <f t="shared" ca="1" si="322"/>
        <v>1.2258603058599542</v>
      </c>
      <c r="W741" s="304">
        <f t="shared" ca="1" si="323"/>
        <v>59.395710413340105</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2.3498493662578337</v>
      </c>
      <c r="AH741" s="304">
        <f t="shared" ca="1" si="347"/>
        <v>-7.4439671740275948</v>
      </c>
    </row>
    <row r="742" spans="1:34" x14ac:dyDescent="0.2">
      <c r="A742" s="347">
        <f t="shared" ca="1" si="325"/>
        <v>1E-4</v>
      </c>
      <c r="B742" s="304">
        <f t="shared" ca="1" si="326"/>
        <v>35.802000000000263</v>
      </c>
      <c r="D742" s="306">
        <f t="shared" ca="1" si="327"/>
        <v>-0.42740562305298502</v>
      </c>
      <c r="E742" s="307">
        <f t="shared" ca="1" si="328"/>
        <v>-2.3782757959418843</v>
      </c>
      <c r="F742" s="304">
        <f t="shared" ca="1" si="329"/>
        <v>2.4163756595737165</v>
      </c>
      <c r="G742" s="306">
        <f t="shared" ca="1" si="330"/>
        <v>7.2306431986429107</v>
      </c>
      <c r="H742" s="307">
        <f t="shared" ca="1" si="331"/>
        <v>-125.72732424841601</v>
      </c>
      <c r="I742" s="304">
        <f t="shared" ca="1" si="332"/>
        <v>125.93507161919756</v>
      </c>
      <c r="J742" s="306">
        <f t="shared" ca="1" si="333"/>
        <v>468.65916031958193</v>
      </c>
      <c r="K742" s="307">
        <f t="shared" ca="1" si="334"/>
        <v>-7.0330125056757424</v>
      </c>
      <c r="L742" s="304">
        <f t="shared" ca="1" si="319"/>
        <v>468.7119283913741</v>
      </c>
      <c r="M742" s="306">
        <f t="shared" ca="1" si="335"/>
        <v>-1.5133490905797569</v>
      </c>
      <c r="N742" s="304">
        <f t="shared" ca="1" si="336"/>
        <v>-86.708515820181404</v>
      </c>
      <c r="P742" s="310">
        <f t="shared" ca="1" si="337"/>
        <v>23</v>
      </c>
      <c r="Q742" s="304">
        <f t="shared" ca="1" si="338"/>
        <v>0</v>
      </c>
      <c r="R742" s="306">
        <f t="shared" ca="1" si="339"/>
        <v>0</v>
      </c>
      <c r="S742" s="307">
        <f t="shared" ca="1" si="340"/>
        <v>7.9789999999999939</v>
      </c>
      <c r="T742" s="304">
        <f t="shared" ca="1" si="320"/>
        <v>78.273989999999941</v>
      </c>
      <c r="U742" s="311">
        <f t="shared" ca="1" si="321"/>
        <v>0</v>
      </c>
      <c r="V742" s="306">
        <f t="shared" ca="1" si="322"/>
        <v>1.2258618471010172</v>
      </c>
      <c r="W742" s="304">
        <f t="shared" ca="1" si="323"/>
        <v>59.39600674284074</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2.3498124792173467</v>
      </c>
      <c r="AH742" s="304">
        <f t="shared" ca="1" si="347"/>
        <v>-7.4440043129891151</v>
      </c>
    </row>
    <row r="743" spans="1:34" x14ac:dyDescent="0.2">
      <c r="A743" s="347">
        <f t="shared" ca="1" si="325"/>
        <v>1E-4</v>
      </c>
      <c r="B743" s="304">
        <f t="shared" ca="1" si="326"/>
        <v>35.802100000000266</v>
      </c>
      <c r="D743" s="306">
        <f t="shared" ca="1" si="327"/>
        <v>-0.42740443151260704</v>
      </c>
      <c r="E743" s="307">
        <f t="shared" ca="1" si="328"/>
        <v>-2.3782385273718001</v>
      </c>
      <c r="F743" s="304">
        <f t="shared" ca="1" si="329"/>
        <v>2.4163387678784205</v>
      </c>
      <c r="G743" s="306">
        <f t="shared" ca="1" si="330"/>
        <v>7.2306004581997598</v>
      </c>
      <c r="H743" s="307">
        <f t="shared" ca="1" si="331"/>
        <v>-125.72756207226875</v>
      </c>
      <c r="I743" s="304">
        <f t="shared" ca="1" si="332"/>
        <v>125.93530659676941</v>
      </c>
      <c r="J743" s="306">
        <f t="shared" ca="1" si="333"/>
        <v>468.65916031958193</v>
      </c>
      <c r="K743" s="307">
        <f t="shared" ca="1" si="334"/>
        <v>-7.0455852499917766</v>
      </c>
      <c r="L743" s="304">
        <f t="shared" ca="1" si="319"/>
        <v>468.71211721372271</v>
      </c>
      <c r="M743" s="306">
        <f t="shared" ca="1" si="335"/>
        <v>-1.5133495378311907</v>
      </c>
      <c r="N743" s="304">
        <f t="shared" ca="1" si="336"/>
        <v>-86.708541445800947</v>
      </c>
      <c r="P743" s="310">
        <f t="shared" ca="1" si="337"/>
        <v>23</v>
      </c>
      <c r="Q743" s="304">
        <f t="shared" ca="1" si="338"/>
        <v>0</v>
      </c>
      <c r="R743" s="306">
        <f t="shared" ca="1" si="339"/>
        <v>0</v>
      </c>
      <c r="S743" s="307">
        <f t="shared" ca="1" si="340"/>
        <v>7.9789999999999939</v>
      </c>
      <c r="T743" s="304">
        <f t="shared" ca="1" si="320"/>
        <v>78.273989999999941</v>
      </c>
      <c r="U743" s="311">
        <f t="shared" ca="1" si="321"/>
        <v>0</v>
      </c>
      <c r="V743" s="306">
        <f t="shared" ca="1" si="322"/>
        <v>1.2258633883469341</v>
      </c>
      <c r="W743" s="304">
        <f t="shared" ca="1" si="323"/>
        <v>59.396303070068051</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2.3497755924573873</v>
      </c>
      <c r="AH743" s="304">
        <f t="shared" ca="1" si="347"/>
        <v>-7.4440414516657203</v>
      </c>
    </row>
    <row r="744" spans="1:34" x14ac:dyDescent="0.2">
      <c r="A744" s="347">
        <f t="shared" ca="1" si="325"/>
        <v>1E-4</v>
      </c>
      <c r="B744" s="304">
        <f t="shared" ca="1" si="326"/>
        <v>35.802200000000269</v>
      </c>
      <c r="D744" s="306">
        <f t="shared" ca="1" si="327"/>
        <v>-0.42740323995467072</v>
      </c>
      <c r="E744" s="307">
        <f t="shared" ca="1" si="328"/>
        <v>-2.3782012590875823</v>
      </c>
      <c r="F744" s="304">
        <f t="shared" ca="1" si="329"/>
        <v>2.4163018764735318</v>
      </c>
      <c r="G744" s="306">
        <f t="shared" ca="1" si="330"/>
        <v>7.2305577178757643</v>
      </c>
      <c r="H744" s="307">
        <f t="shared" ca="1" si="331"/>
        <v>-125.72779989239466</v>
      </c>
      <c r="I744" s="304">
        <f t="shared" ca="1" si="332"/>
        <v>125.93554157065259</v>
      </c>
      <c r="J744" s="306">
        <f t="shared" ca="1" si="333"/>
        <v>468.65916031958193</v>
      </c>
      <c r="K744" s="307">
        <f t="shared" ca="1" si="334"/>
        <v>-7.0581580180900101</v>
      </c>
      <c r="L744" s="304">
        <f t="shared" ca="1" si="319"/>
        <v>468.71230637360475</v>
      </c>
      <c r="M744" s="306">
        <f t="shared" ca="1" si="335"/>
        <v>-1.5133499850783119</v>
      </c>
      <c r="N744" s="304">
        <f t="shared" ca="1" si="336"/>
        <v>-86.708567071173377</v>
      </c>
      <c r="P744" s="310">
        <f t="shared" ca="1" si="337"/>
        <v>23</v>
      </c>
      <c r="Q744" s="304">
        <f t="shared" ca="1" si="338"/>
        <v>0</v>
      </c>
      <c r="R744" s="306">
        <f t="shared" ca="1" si="339"/>
        <v>0</v>
      </c>
      <c r="S744" s="307">
        <f t="shared" ca="1" si="340"/>
        <v>7.9789999999999939</v>
      </c>
      <c r="T744" s="304">
        <f t="shared" ca="1" si="320"/>
        <v>78.273989999999941</v>
      </c>
      <c r="U744" s="311">
        <f t="shared" ca="1" si="321"/>
        <v>0</v>
      </c>
      <c r="V744" s="306">
        <f t="shared" ca="1" si="322"/>
        <v>1.2258649295977049</v>
      </c>
      <c r="W744" s="304">
        <f t="shared" ca="1" si="323"/>
        <v>59.396599395021994</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2.3497387059779511</v>
      </c>
      <c r="AH744" s="304">
        <f t="shared" ca="1" si="347"/>
        <v>-7.4440785900574129</v>
      </c>
    </row>
    <row r="745" spans="1:34" x14ac:dyDescent="0.2">
      <c r="A745" s="347">
        <f t="shared" ca="1" si="325"/>
        <v>1E-4</v>
      </c>
      <c r="B745" s="304">
        <f t="shared" ca="1" si="326"/>
        <v>35.802300000000272</v>
      </c>
      <c r="D745" s="306">
        <f t="shared" ca="1" si="327"/>
        <v>-0.42740204837917661</v>
      </c>
      <c r="E745" s="307">
        <f t="shared" ca="1" si="328"/>
        <v>-2.3781639910892354</v>
      </c>
      <c r="F745" s="304">
        <f t="shared" ca="1" si="329"/>
        <v>2.4162649853590557</v>
      </c>
      <c r="G745" s="306">
        <f t="shared" ca="1" si="330"/>
        <v>7.2305149776709268</v>
      </c>
      <c r="H745" s="307">
        <f t="shared" ca="1" si="331"/>
        <v>-125.72803770879376</v>
      </c>
      <c r="I745" s="304">
        <f t="shared" ca="1" si="332"/>
        <v>125.93577654084716</v>
      </c>
      <c r="J745" s="306">
        <f t="shared" ca="1" si="333"/>
        <v>468.65916031958193</v>
      </c>
      <c r="K745" s="307">
        <f t="shared" ca="1" si="334"/>
        <v>-7.0707308099700699</v>
      </c>
      <c r="L745" s="304">
        <f t="shared" ca="1" si="319"/>
        <v>468.71249587102182</v>
      </c>
      <c r="M745" s="306">
        <f t="shared" ca="1" si="335"/>
        <v>-1.5133504323211202</v>
      </c>
      <c r="N745" s="304">
        <f t="shared" ca="1" si="336"/>
        <v>-86.708592696298709</v>
      </c>
      <c r="P745" s="310">
        <f t="shared" ca="1" si="337"/>
        <v>23</v>
      </c>
      <c r="Q745" s="304">
        <f t="shared" ca="1" si="338"/>
        <v>0</v>
      </c>
      <c r="R745" s="306">
        <f t="shared" ca="1" si="339"/>
        <v>0</v>
      </c>
      <c r="S745" s="307">
        <f t="shared" ca="1" si="340"/>
        <v>7.9789999999999939</v>
      </c>
      <c r="T745" s="304">
        <f t="shared" ca="1" si="320"/>
        <v>78.273989999999941</v>
      </c>
      <c r="U745" s="311">
        <f t="shared" ca="1" si="321"/>
        <v>0</v>
      </c>
      <c r="V745" s="306">
        <f t="shared" ca="1" si="322"/>
        <v>1.2258664708533293</v>
      </c>
      <c r="W745" s="304">
        <f t="shared" ca="1" si="323"/>
        <v>59.396895717702577</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2.3497018197790451</v>
      </c>
      <c r="AH745" s="304">
        <f t="shared" ca="1" si="347"/>
        <v>-7.4441157281641859</v>
      </c>
    </row>
    <row r="746" spans="1:34" x14ac:dyDescent="0.2">
      <c r="A746" s="347">
        <f t="shared" ca="1" si="325"/>
        <v>1E-4</v>
      </c>
      <c r="B746" s="304">
        <f t="shared" ca="1" si="326"/>
        <v>35.802400000000276</v>
      </c>
      <c r="D746" s="306">
        <f t="shared" ca="1" si="327"/>
        <v>-0.42740085678612549</v>
      </c>
      <c r="E746" s="307">
        <f t="shared" ca="1" si="328"/>
        <v>-2.3781267233767593</v>
      </c>
      <c r="F746" s="304">
        <f t="shared" ca="1" si="329"/>
        <v>2.4162280945349917</v>
      </c>
      <c r="G746" s="306">
        <f t="shared" ca="1" si="330"/>
        <v>7.2304722375852482</v>
      </c>
      <c r="H746" s="307">
        <f t="shared" ca="1" si="331"/>
        <v>-125.7282755214661</v>
      </c>
      <c r="I746" s="304">
        <f t="shared" ca="1" si="332"/>
        <v>125.93601150735314</v>
      </c>
      <c r="J746" s="306">
        <f t="shared" ca="1" si="333"/>
        <v>468.65916031958193</v>
      </c>
      <c r="K746" s="307">
        <f t="shared" ca="1" si="334"/>
        <v>-7.0833036256315829</v>
      </c>
      <c r="L746" s="304">
        <f t="shared" ca="1" si="319"/>
        <v>468.71268570597539</v>
      </c>
      <c r="M746" s="306">
        <f t="shared" ca="1" si="335"/>
        <v>-1.5133508795596162</v>
      </c>
      <c r="N746" s="304">
        <f t="shared" ca="1" si="336"/>
        <v>-86.708618321176971</v>
      </c>
      <c r="P746" s="310">
        <f t="shared" ca="1" si="337"/>
        <v>23</v>
      </c>
      <c r="Q746" s="304">
        <f t="shared" ca="1" si="338"/>
        <v>0</v>
      </c>
      <c r="R746" s="306">
        <f t="shared" ca="1" si="339"/>
        <v>0</v>
      </c>
      <c r="S746" s="307">
        <f t="shared" ca="1" si="340"/>
        <v>7.9789999999999939</v>
      </c>
      <c r="T746" s="304">
        <f t="shared" ca="1" si="320"/>
        <v>78.273989999999941</v>
      </c>
      <c r="U746" s="311">
        <f t="shared" ca="1" si="321"/>
        <v>0</v>
      </c>
      <c r="V746" s="306">
        <f t="shared" ca="1" si="322"/>
        <v>1.2258680121138072</v>
      </c>
      <c r="W746" s="304">
        <f t="shared" ca="1" si="323"/>
        <v>59.397192038109814</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2.3496649338606712</v>
      </c>
      <c r="AH746" s="304">
        <f t="shared" ca="1" si="347"/>
        <v>-7.444152865986041</v>
      </c>
    </row>
    <row r="747" spans="1:34" x14ac:dyDescent="0.2">
      <c r="A747" s="347">
        <f t="shared" ca="1" si="325"/>
        <v>1E-4</v>
      </c>
      <c r="B747" s="304">
        <f t="shared" ca="1" si="326"/>
        <v>35.802500000000279</v>
      </c>
      <c r="D747" s="306">
        <f t="shared" ca="1" si="327"/>
        <v>-0.4273996651755152</v>
      </c>
      <c r="E747" s="307">
        <f t="shared" ca="1" si="328"/>
        <v>-2.3780894559501515</v>
      </c>
      <c r="F747" s="304">
        <f t="shared" ca="1" si="329"/>
        <v>2.4161912040013367</v>
      </c>
      <c r="G747" s="306">
        <f t="shared" ca="1" si="330"/>
        <v>7.2304294976187302</v>
      </c>
      <c r="H747" s="307">
        <f t="shared" ca="1" si="331"/>
        <v>-125.7285133304117</v>
      </c>
      <c r="I747" s="304">
        <f t="shared" ca="1" si="332"/>
        <v>125.93624647017056</v>
      </c>
      <c r="J747" s="306">
        <f t="shared" ca="1" si="333"/>
        <v>468.65916031958193</v>
      </c>
      <c r="K747" s="307">
        <f t="shared" ca="1" si="334"/>
        <v>-7.095876465074177</v>
      </c>
      <c r="L747" s="304">
        <f t="shared" ca="1" si="319"/>
        <v>468.71287587846695</v>
      </c>
      <c r="M747" s="306">
        <f t="shared" ca="1" si="335"/>
        <v>-1.5133513267937997</v>
      </c>
      <c r="N747" s="304">
        <f t="shared" ca="1" si="336"/>
        <v>-86.708643945808134</v>
      </c>
      <c r="P747" s="310">
        <f t="shared" ca="1" si="337"/>
        <v>23</v>
      </c>
      <c r="Q747" s="304">
        <f t="shared" ca="1" si="338"/>
        <v>0</v>
      </c>
      <c r="R747" s="306">
        <f t="shared" ca="1" si="339"/>
        <v>0</v>
      </c>
      <c r="S747" s="307">
        <f t="shared" ca="1" si="340"/>
        <v>7.9789999999999939</v>
      </c>
      <c r="T747" s="304">
        <f t="shared" ca="1" si="320"/>
        <v>78.273989999999941</v>
      </c>
      <c r="U747" s="311">
        <f t="shared" ca="1" si="321"/>
        <v>0</v>
      </c>
      <c r="V747" s="306">
        <f t="shared" ca="1" si="322"/>
        <v>1.2258695533791395</v>
      </c>
      <c r="W747" s="304">
        <f t="shared" ca="1" si="323"/>
        <v>59.397488356243691</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2.349628048222824</v>
      </c>
      <c r="AH747" s="304">
        <f t="shared" ca="1" si="347"/>
        <v>-7.44419000352298</v>
      </c>
    </row>
    <row r="748" spans="1:34" x14ac:dyDescent="0.2">
      <c r="A748" s="347">
        <f t="shared" ca="1" si="325"/>
        <v>1E-4</v>
      </c>
      <c r="B748" s="304">
        <f t="shared" ca="1" si="326"/>
        <v>35.802600000000282</v>
      </c>
      <c r="D748" s="306">
        <f t="shared" ca="1" si="327"/>
        <v>-0.42739847354734806</v>
      </c>
      <c r="E748" s="307">
        <f t="shared" ca="1" si="328"/>
        <v>-2.3780521888094137</v>
      </c>
      <c r="F748" s="304">
        <f t="shared" ca="1" si="329"/>
        <v>2.4161543137580939</v>
      </c>
      <c r="G748" s="306">
        <f t="shared" ca="1" si="330"/>
        <v>7.2303867577713756</v>
      </c>
      <c r="H748" s="307">
        <f t="shared" ca="1" si="331"/>
        <v>-125.72875113563059</v>
      </c>
      <c r="I748" s="304">
        <f t="shared" ca="1" si="332"/>
        <v>125.93648142929945</v>
      </c>
      <c r="J748" s="306">
        <f t="shared" ca="1" si="333"/>
        <v>468.65916031958193</v>
      </c>
      <c r="K748" s="307">
        <f t="shared" ca="1" si="334"/>
        <v>-7.1084493282974792</v>
      </c>
      <c r="L748" s="304">
        <f t="shared" ca="1" si="319"/>
        <v>468.71306638849802</v>
      </c>
      <c r="M748" s="306">
        <f t="shared" ca="1" si="335"/>
        <v>-1.5133517740236706</v>
      </c>
      <c r="N748" s="304">
        <f t="shared" ca="1" si="336"/>
        <v>-86.708669570192214</v>
      </c>
      <c r="P748" s="310">
        <f t="shared" ca="1" si="337"/>
        <v>23</v>
      </c>
      <c r="Q748" s="304">
        <f t="shared" ca="1" si="338"/>
        <v>0</v>
      </c>
      <c r="R748" s="306">
        <f t="shared" ca="1" si="339"/>
        <v>0</v>
      </c>
      <c r="S748" s="307">
        <f t="shared" ca="1" si="340"/>
        <v>7.9789999999999939</v>
      </c>
      <c r="T748" s="304">
        <f t="shared" ca="1" si="320"/>
        <v>78.273989999999941</v>
      </c>
      <c r="U748" s="311">
        <f t="shared" ca="1" si="321"/>
        <v>0</v>
      </c>
      <c r="V748" s="306">
        <f t="shared" ca="1" si="322"/>
        <v>1.2258710946493254</v>
      </c>
      <c r="W748" s="304">
        <f t="shared" ca="1" si="323"/>
        <v>59.39778467210423</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2.3495911628655088</v>
      </c>
      <c r="AH748" s="304">
        <f t="shared" ca="1" si="347"/>
        <v>-7.4442271407750011</v>
      </c>
    </row>
    <row r="749" spans="1:34" x14ac:dyDescent="0.2">
      <c r="A749" s="347">
        <f t="shared" ca="1" si="325"/>
        <v>1E-4</v>
      </c>
      <c r="B749" s="304">
        <f t="shared" ca="1" si="326"/>
        <v>35.802700000000286</v>
      </c>
      <c r="D749" s="306">
        <f t="shared" ca="1" si="327"/>
        <v>-0.42739728190162513</v>
      </c>
      <c r="E749" s="307">
        <f t="shared" ca="1" si="328"/>
        <v>-2.3780149219545441</v>
      </c>
      <c r="F749" s="304">
        <f t="shared" ca="1" si="329"/>
        <v>2.4161174238052614</v>
      </c>
      <c r="G749" s="306">
        <f t="shared" ca="1" si="330"/>
        <v>7.2303440180431853</v>
      </c>
      <c r="H749" s="307">
        <f t="shared" ca="1" si="331"/>
        <v>-125.72898893712278</v>
      </c>
      <c r="I749" s="304">
        <f t="shared" ca="1" si="332"/>
        <v>125.93671638473981</v>
      </c>
      <c r="J749" s="306">
        <f t="shared" ca="1" si="333"/>
        <v>468.65916031958193</v>
      </c>
      <c r="K749" s="307">
        <f t="shared" ca="1" si="334"/>
        <v>-7.1210222153011165</v>
      </c>
      <c r="L749" s="304">
        <f t="shared" ca="1" si="319"/>
        <v>468.71325723607009</v>
      </c>
      <c r="M749" s="306">
        <f t="shared" ca="1" si="335"/>
        <v>-1.5133522212492292</v>
      </c>
      <c r="N749" s="304">
        <f t="shared" ca="1" si="336"/>
        <v>-86.708695194329209</v>
      </c>
      <c r="P749" s="310">
        <f t="shared" ca="1" si="337"/>
        <v>23</v>
      </c>
      <c r="Q749" s="304">
        <f t="shared" ca="1" si="338"/>
        <v>0</v>
      </c>
      <c r="R749" s="306">
        <f t="shared" ca="1" si="339"/>
        <v>0</v>
      </c>
      <c r="S749" s="307">
        <f t="shared" ca="1" si="340"/>
        <v>7.9789999999999939</v>
      </c>
      <c r="T749" s="304">
        <f t="shared" ca="1" si="320"/>
        <v>78.273989999999941</v>
      </c>
      <c r="U749" s="311">
        <f t="shared" ca="1" si="321"/>
        <v>0</v>
      </c>
      <c r="V749" s="306">
        <f t="shared" ca="1" si="322"/>
        <v>1.2258726359243648</v>
      </c>
      <c r="W749" s="304">
        <f t="shared" ca="1" si="323"/>
        <v>59.398080985691372</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2.3495542777887177</v>
      </c>
      <c r="AH749" s="304">
        <f t="shared" ca="1" si="347"/>
        <v>-7.4442642777421071</v>
      </c>
    </row>
    <row r="750" spans="1:34" x14ac:dyDescent="0.2">
      <c r="A750" s="347">
        <f t="shared" ca="1" si="325"/>
        <v>1E-4</v>
      </c>
      <c r="B750" s="304">
        <f t="shared" ca="1" si="326"/>
        <v>35.802800000000289</v>
      </c>
      <c r="D750" s="306">
        <f t="shared" ca="1" si="327"/>
        <v>-0.42739609023834518</v>
      </c>
      <c r="E750" s="307">
        <f t="shared" ca="1" si="328"/>
        <v>-2.3779776553855498</v>
      </c>
      <c r="F750" s="304">
        <f t="shared" ca="1" si="329"/>
        <v>2.416080534142846</v>
      </c>
      <c r="G750" s="306">
        <f t="shared" ca="1" si="330"/>
        <v>7.2303012784341618</v>
      </c>
      <c r="H750" s="307">
        <f t="shared" ca="1" si="331"/>
        <v>-125.72922673488831</v>
      </c>
      <c r="I750" s="304">
        <f t="shared" ca="1" si="332"/>
        <v>125.9369513364917</v>
      </c>
      <c r="J750" s="306">
        <f t="shared" ca="1" si="333"/>
        <v>468.65916031958193</v>
      </c>
      <c r="K750" s="307">
        <f t="shared" ca="1" si="334"/>
        <v>-7.1335951260847166</v>
      </c>
      <c r="L750" s="304">
        <f t="shared" ca="1" si="319"/>
        <v>468.71344842118464</v>
      </c>
      <c r="M750" s="306">
        <f t="shared" ca="1" si="335"/>
        <v>-1.5133526684704754</v>
      </c>
      <c r="N750" s="304">
        <f t="shared" ca="1" si="336"/>
        <v>-86.708720818219135</v>
      </c>
      <c r="P750" s="310">
        <f t="shared" ca="1" si="337"/>
        <v>23</v>
      </c>
      <c r="Q750" s="304">
        <f t="shared" ca="1" si="338"/>
        <v>0</v>
      </c>
      <c r="R750" s="306">
        <f t="shared" ca="1" si="339"/>
        <v>0</v>
      </c>
      <c r="S750" s="307">
        <f t="shared" ca="1" si="340"/>
        <v>7.9789999999999939</v>
      </c>
      <c r="T750" s="304">
        <f t="shared" ca="1" si="320"/>
        <v>78.273989999999941</v>
      </c>
      <c r="U750" s="311">
        <f t="shared" ca="1" si="321"/>
        <v>0</v>
      </c>
      <c r="V750" s="306">
        <f t="shared" ca="1" si="322"/>
        <v>1.2258741772042576</v>
      </c>
      <c r="W750" s="304">
        <f t="shared" ca="1" si="323"/>
        <v>59.39837729700514</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2.3495173929924631</v>
      </c>
      <c r="AH750" s="304">
        <f t="shared" ca="1" si="347"/>
        <v>-7.4443014144242907</v>
      </c>
    </row>
    <row r="751" spans="1:34" x14ac:dyDescent="0.2">
      <c r="A751" s="347">
        <f t="shared" ca="1" si="325"/>
        <v>1E-4</v>
      </c>
      <c r="B751" s="304">
        <f t="shared" ca="1" si="326"/>
        <v>35.802900000000292</v>
      </c>
      <c r="D751" s="306">
        <f t="shared" ca="1" si="327"/>
        <v>-0.42739489855750928</v>
      </c>
      <c r="E751" s="307">
        <f t="shared" ca="1" si="328"/>
        <v>-2.3779403891024273</v>
      </c>
      <c r="F751" s="304">
        <f t="shared" ca="1" si="329"/>
        <v>2.4160436447708449</v>
      </c>
      <c r="G751" s="306">
        <f t="shared" ca="1" si="330"/>
        <v>7.2302585389443061</v>
      </c>
      <c r="H751" s="307">
        <f t="shared" ca="1" si="331"/>
        <v>-125.72946452892722</v>
      </c>
      <c r="I751" s="304">
        <f t="shared" ca="1" si="332"/>
        <v>125.93718628455515</v>
      </c>
      <c r="J751" s="306">
        <f t="shared" ca="1" si="333"/>
        <v>468.65916031958193</v>
      </c>
      <c r="K751" s="307">
        <f t="shared" ca="1" si="334"/>
        <v>-7.1461680606479074</v>
      </c>
      <c r="L751" s="304">
        <f t="shared" ca="1" si="319"/>
        <v>468.71363994384313</v>
      </c>
      <c r="M751" s="306">
        <f t="shared" ca="1" si="335"/>
        <v>-1.5133531156874096</v>
      </c>
      <c r="N751" s="304">
        <f t="shared" ca="1" si="336"/>
        <v>-86.70874644186199</v>
      </c>
      <c r="P751" s="310">
        <f t="shared" ca="1" si="337"/>
        <v>23</v>
      </c>
      <c r="Q751" s="304">
        <f t="shared" ca="1" si="338"/>
        <v>0</v>
      </c>
      <c r="R751" s="306">
        <f t="shared" ca="1" si="339"/>
        <v>0</v>
      </c>
      <c r="S751" s="307">
        <f t="shared" ca="1" si="340"/>
        <v>7.9789999999999939</v>
      </c>
      <c r="T751" s="304">
        <f t="shared" ca="1" si="320"/>
        <v>78.273989999999941</v>
      </c>
      <c r="U751" s="311">
        <f t="shared" ca="1" si="321"/>
        <v>0</v>
      </c>
      <c r="V751" s="306">
        <f t="shared" ca="1" si="322"/>
        <v>1.2258757184890043</v>
      </c>
      <c r="W751" s="304">
        <f t="shared" ca="1" si="323"/>
        <v>59.398673606045563</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2.3494805084767405</v>
      </c>
      <c r="AH751" s="304">
        <f t="shared" ca="1" si="347"/>
        <v>-7.4443385508215547</v>
      </c>
    </row>
    <row r="752" spans="1:34" x14ac:dyDescent="0.2">
      <c r="A752" s="347">
        <f t="shared" ca="1" si="325"/>
        <v>1E-4</v>
      </c>
      <c r="B752" s="304">
        <f t="shared" ca="1" si="326"/>
        <v>35.803000000000296</v>
      </c>
      <c r="D752" s="306">
        <f t="shared" ca="1" si="327"/>
        <v>-0.42739370685911682</v>
      </c>
      <c r="E752" s="307">
        <f t="shared" ca="1" si="328"/>
        <v>-2.3779031231051739</v>
      </c>
      <c r="F752" s="304">
        <f t="shared" ca="1" si="329"/>
        <v>2.4160067556892546</v>
      </c>
      <c r="G752" s="306">
        <f t="shared" ca="1" si="330"/>
        <v>7.23021579957362</v>
      </c>
      <c r="H752" s="307">
        <f t="shared" ca="1" si="331"/>
        <v>-125.72970231923954</v>
      </c>
      <c r="I752" s="304">
        <f t="shared" ca="1" si="332"/>
        <v>125.93742122893016</v>
      </c>
      <c r="J752" s="306">
        <f t="shared" ca="1" si="333"/>
        <v>468.65916031958193</v>
      </c>
      <c r="K752" s="307">
        <f t="shared" ca="1" si="334"/>
        <v>-7.158741018990316</v>
      </c>
      <c r="L752" s="304">
        <f t="shared" ca="1" si="319"/>
        <v>468.71383180404712</v>
      </c>
      <c r="M752" s="306">
        <f t="shared" ca="1" si="335"/>
        <v>-1.5133535629000314</v>
      </c>
      <c r="N752" s="304">
        <f t="shared" ca="1" si="336"/>
        <v>-86.708772065257762</v>
      </c>
      <c r="P752" s="310">
        <f t="shared" ca="1" si="337"/>
        <v>23</v>
      </c>
      <c r="Q752" s="304">
        <f t="shared" ca="1" si="338"/>
        <v>0</v>
      </c>
      <c r="R752" s="306">
        <f t="shared" ca="1" si="339"/>
        <v>0</v>
      </c>
      <c r="S752" s="307">
        <f t="shared" ca="1" si="340"/>
        <v>7.9789999999999939</v>
      </c>
      <c r="T752" s="304">
        <f t="shared" ca="1" si="320"/>
        <v>78.273989999999941</v>
      </c>
      <c r="U752" s="311">
        <f t="shared" ca="1" si="321"/>
        <v>0</v>
      </c>
      <c r="V752" s="306">
        <f t="shared" ca="1" si="322"/>
        <v>1.2258772597786045</v>
      </c>
      <c r="W752" s="304">
        <f t="shared" ca="1" si="323"/>
        <v>59.398969912812582</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2.3494436242415464</v>
      </c>
      <c r="AH752" s="304">
        <f t="shared" ca="1" si="347"/>
        <v>-7.4443756869339026</v>
      </c>
    </row>
    <row r="753" spans="1:34" x14ac:dyDescent="0.2">
      <c r="A753" s="347">
        <f t="shared" ca="1" si="325"/>
        <v>1E-4</v>
      </c>
      <c r="B753" s="304">
        <f t="shared" ca="1" si="326"/>
        <v>35.803100000000299</v>
      </c>
      <c r="D753" s="306">
        <f t="shared" ca="1" si="327"/>
        <v>-0.42739251514316984</v>
      </c>
      <c r="E753" s="307">
        <f t="shared" ca="1" si="328"/>
        <v>-2.3778658573937959</v>
      </c>
      <c r="F753" s="304">
        <f t="shared" ca="1" si="329"/>
        <v>2.4159698668980822</v>
      </c>
      <c r="G753" s="306">
        <f t="shared" ca="1" si="330"/>
        <v>7.2301730603221062</v>
      </c>
      <c r="H753" s="307">
        <f t="shared" ca="1" si="331"/>
        <v>-125.72994010582528</v>
      </c>
      <c r="I753" s="304">
        <f t="shared" ca="1" si="332"/>
        <v>125.9376561696168</v>
      </c>
      <c r="J753" s="306">
        <f t="shared" ca="1" si="333"/>
        <v>468.65916031958193</v>
      </c>
      <c r="K753" s="307">
        <f t="shared" ca="1" si="334"/>
        <v>-7.1713140011115692</v>
      </c>
      <c r="L753" s="304">
        <f t="shared" ca="1" si="319"/>
        <v>468.71402400179807</v>
      </c>
      <c r="M753" s="306">
        <f t="shared" ca="1" si="335"/>
        <v>-1.5133540101083409</v>
      </c>
      <c r="N753" s="304">
        <f t="shared" ca="1" si="336"/>
        <v>-86.708797688406463</v>
      </c>
      <c r="P753" s="310">
        <f t="shared" ca="1" si="337"/>
        <v>23</v>
      </c>
      <c r="Q753" s="304">
        <f t="shared" ca="1" si="338"/>
        <v>0</v>
      </c>
      <c r="R753" s="306">
        <f t="shared" ca="1" si="339"/>
        <v>0</v>
      </c>
      <c r="S753" s="307">
        <f t="shared" ca="1" si="340"/>
        <v>7.9789999999999939</v>
      </c>
      <c r="T753" s="304">
        <f t="shared" ca="1" si="320"/>
        <v>78.273989999999941</v>
      </c>
      <c r="U753" s="311">
        <f t="shared" ca="1" si="321"/>
        <v>0</v>
      </c>
      <c r="V753" s="306">
        <f t="shared" ca="1" si="322"/>
        <v>1.2258788010730584</v>
      </c>
      <c r="W753" s="304">
        <f t="shared" ca="1" si="323"/>
        <v>59.399266217306248</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2.3494067402868861</v>
      </c>
      <c r="AH753" s="304">
        <f t="shared" ca="1" si="347"/>
        <v>-7.4444128227613273</v>
      </c>
    </row>
    <row r="754" spans="1:34" x14ac:dyDescent="0.2">
      <c r="A754" s="347">
        <f t="shared" ca="1" si="325"/>
        <v>1E-4</v>
      </c>
      <c r="B754" s="304">
        <f t="shared" ca="1" si="326"/>
        <v>35.803200000000302</v>
      </c>
      <c r="D754" s="306">
        <f t="shared" ca="1" si="327"/>
        <v>-0.42739132340966962</v>
      </c>
      <c r="E754" s="307">
        <f t="shared" ca="1" si="328"/>
        <v>-2.3778285919682878</v>
      </c>
      <c r="F754" s="304">
        <f t="shared" ca="1" si="329"/>
        <v>2.4159329783973229</v>
      </c>
      <c r="G754" s="306">
        <f t="shared" ca="1" si="330"/>
        <v>7.2301303211897654</v>
      </c>
      <c r="H754" s="307">
        <f t="shared" ca="1" si="331"/>
        <v>-125.73017788868448</v>
      </c>
      <c r="I754" s="304">
        <f t="shared" ca="1" si="332"/>
        <v>125.93789110661506</v>
      </c>
      <c r="J754" s="306">
        <f t="shared" ca="1" si="333"/>
        <v>468.65916031958193</v>
      </c>
      <c r="K754" s="307">
        <f t="shared" ca="1" si="334"/>
        <v>-7.183887007011295</v>
      </c>
      <c r="L754" s="304">
        <f t="shared" ca="1" si="319"/>
        <v>468.71421653709746</v>
      </c>
      <c r="M754" s="306">
        <f t="shared" ca="1" si="335"/>
        <v>-1.5133544573123385</v>
      </c>
      <c r="N754" s="304">
        <f t="shared" ca="1" si="336"/>
        <v>-86.708823311308109</v>
      </c>
      <c r="P754" s="310">
        <f t="shared" ca="1" si="337"/>
        <v>23</v>
      </c>
      <c r="Q754" s="304">
        <f t="shared" ca="1" si="338"/>
        <v>0</v>
      </c>
      <c r="R754" s="306">
        <f t="shared" ca="1" si="339"/>
        <v>0</v>
      </c>
      <c r="S754" s="307">
        <f t="shared" ca="1" si="340"/>
        <v>7.9789999999999939</v>
      </c>
      <c r="T754" s="304">
        <f t="shared" ca="1" si="320"/>
        <v>78.273989999999941</v>
      </c>
      <c r="U754" s="311">
        <f t="shared" ca="1" si="321"/>
        <v>0</v>
      </c>
      <c r="V754" s="306">
        <f t="shared" ca="1" si="322"/>
        <v>1.2258803423723654</v>
      </c>
      <c r="W754" s="304">
        <f t="shared" ca="1" si="323"/>
        <v>59.399562519526505</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2.3493698566127597</v>
      </c>
      <c r="AH754" s="304">
        <f t="shared" ca="1" si="347"/>
        <v>-7.4444499583038342</v>
      </c>
    </row>
    <row r="755" spans="1:34" x14ac:dyDescent="0.2">
      <c r="A755" s="347">
        <f t="shared" ca="1" si="325"/>
        <v>1E-4</v>
      </c>
      <c r="B755" s="304">
        <f t="shared" ca="1" si="326"/>
        <v>35.803300000000306</v>
      </c>
      <c r="D755" s="306">
        <f t="shared" ca="1" si="327"/>
        <v>-0.42739013165861328</v>
      </c>
      <c r="E755" s="307">
        <f t="shared" ca="1" si="328"/>
        <v>-2.3777913268286559</v>
      </c>
      <c r="F755" s="304">
        <f t="shared" ca="1" si="329"/>
        <v>2.4158960901869819</v>
      </c>
      <c r="G755" s="306">
        <f t="shared" ca="1" si="330"/>
        <v>7.2300875821765995</v>
      </c>
      <c r="H755" s="307">
        <f t="shared" ca="1" si="331"/>
        <v>-125.73041566781717</v>
      </c>
      <c r="I755" s="304">
        <f t="shared" ca="1" si="332"/>
        <v>125.93812603992498</v>
      </c>
      <c r="J755" s="306">
        <f t="shared" ca="1" si="333"/>
        <v>468.65916031958193</v>
      </c>
      <c r="K755" s="307">
        <f t="shared" ca="1" si="334"/>
        <v>-7.1964600366891203</v>
      </c>
      <c r="L755" s="304">
        <f t="shared" ca="1" si="319"/>
        <v>468.71440940994682</v>
      </c>
      <c r="M755" s="306">
        <f t="shared" ca="1" si="335"/>
        <v>-1.5133549045120243</v>
      </c>
      <c r="N755" s="304">
        <f t="shared" ca="1" si="336"/>
        <v>-86.708848933962699</v>
      </c>
      <c r="P755" s="310">
        <f t="shared" ca="1" si="337"/>
        <v>23</v>
      </c>
      <c r="Q755" s="304">
        <f t="shared" ca="1" si="338"/>
        <v>0</v>
      </c>
      <c r="R755" s="306">
        <f t="shared" ca="1" si="339"/>
        <v>0</v>
      </c>
      <c r="S755" s="307">
        <f t="shared" ca="1" si="340"/>
        <v>7.9789999999999939</v>
      </c>
      <c r="T755" s="304">
        <f t="shared" ca="1" si="320"/>
        <v>78.273989999999941</v>
      </c>
      <c r="U755" s="311">
        <f t="shared" ca="1" si="321"/>
        <v>0</v>
      </c>
      <c r="V755" s="306">
        <f t="shared" ca="1" si="322"/>
        <v>1.2258818836765262</v>
      </c>
      <c r="W755" s="304">
        <f t="shared" ca="1" si="323"/>
        <v>59.399858819473401</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2.349332973219167</v>
      </c>
      <c r="AH755" s="304">
        <f t="shared" ca="1" si="347"/>
        <v>-7.4444870935614178</v>
      </c>
    </row>
    <row r="756" spans="1:34" x14ac:dyDescent="0.2">
      <c r="A756" s="347">
        <f t="shared" ca="1" si="325"/>
        <v>1E-4</v>
      </c>
      <c r="B756" s="304">
        <f t="shared" ca="1" si="326"/>
        <v>35.803400000000309</v>
      </c>
      <c r="D756" s="306">
        <f t="shared" ca="1" si="327"/>
        <v>-0.42738893989000204</v>
      </c>
      <c r="E756" s="307">
        <f t="shared" ca="1" si="328"/>
        <v>-2.3777540619748949</v>
      </c>
      <c r="F756" s="304">
        <f t="shared" ca="1" si="329"/>
        <v>2.4158592022670553</v>
      </c>
      <c r="G756" s="306">
        <f t="shared" ca="1" si="330"/>
        <v>7.2300448432826103</v>
      </c>
      <c r="H756" s="307">
        <f t="shared" ca="1" si="331"/>
        <v>-125.73065344322336</v>
      </c>
      <c r="I756" s="304">
        <f t="shared" ca="1" si="332"/>
        <v>125.93836096954658</v>
      </c>
      <c r="J756" s="306">
        <f t="shared" ca="1" si="333"/>
        <v>468.65916031958193</v>
      </c>
      <c r="K756" s="307">
        <f t="shared" ca="1" si="334"/>
        <v>-7.209033090144672</v>
      </c>
      <c r="L756" s="304">
        <f t="shared" ca="1" si="319"/>
        <v>468.71460262034765</v>
      </c>
      <c r="M756" s="306">
        <f t="shared" ca="1" si="335"/>
        <v>-1.5133553517073979</v>
      </c>
      <c r="N756" s="304">
        <f t="shared" ca="1" si="336"/>
        <v>-86.708874556370219</v>
      </c>
      <c r="P756" s="310">
        <f t="shared" ca="1" si="337"/>
        <v>23</v>
      </c>
      <c r="Q756" s="304">
        <f t="shared" ca="1" si="338"/>
        <v>0</v>
      </c>
      <c r="R756" s="306">
        <f t="shared" ca="1" si="339"/>
        <v>0</v>
      </c>
      <c r="S756" s="307">
        <f t="shared" ca="1" si="340"/>
        <v>7.9789999999999939</v>
      </c>
      <c r="T756" s="304">
        <f t="shared" ca="1" si="320"/>
        <v>78.273989999999941</v>
      </c>
      <c r="U756" s="311">
        <f t="shared" ca="1" si="321"/>
        <v>0</v>
      </c>
      <c r="V756" s="306">
        <f t="shared" ca="1" si="322"/>
        <v>1.2258834249855404</v>
      </c>
      <c r="W756" s="304">
        <f t="shared" ca="1" si="323"/>
        <v>59.40015511714688</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2.3492960901061091</v>
      </c>
      <c r="AH756" s="304">
        <f t="shared" ca="1" si="347"/>
        <v>-7.4445242285340827</v>
      </c>
    </row>
    <row r="757" spans="1:34" x14ac:dyDescent="0.2">
      <c r="A757" s="347">
        <f t="shared" ca="1" si="325"/>
        <v>1E-4</v>
      </c>
      <c r="B757" s="304">
        <f t="shared" ca="1" si="326"/>
        <v>35.803500000000312</v>
      </c>
      <c r="D757" s="306">
        <f t="shared" ca="1" si="327"/>
        <v>-0.42738774810383806</v>
      </c>
      <c r="E757" s="307">
        <f t="shared" ca="1" si="328"/>
        <v>-2.3777167974070119</v>
      </c>
      <c r="F757" s="304">
        <f t="shared" ca="1" si="329"/>
        <v>2.4158223146375497</v>
      </c>
      <c r="G757" s="306">
        <f t="shared" ca="1" si="330"/>
        <v>7.2300021045077996</v>
      </c>
      <c r="H757" s="307">
        <f t="shared" ca="1" si="331"/>
        <v>-125.7308912149031</v>
      </c>
      <c r="I757" s="304">
        <f t="shared" ca="1" si="332"/>
        <v>125.93859589547989</v>
      </c>
      <c r="J757" s="306">
        <f t="shared" ca="1" si="333"/>
        <v>468.65916031958193</v>
      </c>
      <c r="K757" s="307">
        <f t="shared" ca="1" si="334"/>
        <v>-7.221606167377578</v>
      </c>
      <c r="L757" s="304">
        <f t="shared" ca="1" si="319"/>
        <v>468.71479616830135</v>
      </c>
      <c r="M757" s="306">
        <f t="shared" ca="1" si="335"/>
        <v>-1.5133557988984596</v>
      </c>
      <c r="N757" s="304">
        <f t="shared" ca="1" si="336"/>
        <v>-86.708900178530698</v>
      </c>
      <c r="P757" s="310">
        <f t="shared" ca="1" si="337"/>
        <v>23</v>
      </c>
      <c r="Q757" s="304">
        <f t="shared" ca="1" si="338"/>
        <v>0</v>
      </c>
      <c r="R757" s="306">
        <f t="shared" ca="1" si="339"/>
        <v>0</v>
      </c>
      <c r="S757" s="307">
        <f t="shared" ca="1" si="340"/>
        <v>7.9789999999999939</v>
      </c>
      <c r="T757" s="304">
        <f t="shared" ca="1" si="320"/>
        <v>78.273989999999941</v>
      </c>
      <c r="U757" s="311">
        <f t="shared" ca="1" si="321"/>
        <v>0</v>
      </c>
      <c r="V757" s="306">
        <f t="shared" ca="1" si="322"/>
        <v>1.2258849662994085</v>
      </c>
      <c r="W757" s="304">
        <f t="shared" ca="1" si="323"/>
        <v>59.400451412547007</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2.3492592072735849</v>
      </c>
      <c r="AH757" s="304">
        <f t="shared" ca="1" si="347"/>
        <v>-7.4445613632218226</v>
      </c>
    </row>
    <row r="758" spans="1:34" x14ac:dyDescent="0.2">
      <c r="A758" s="347">
        <f t="shared" ca="1" si="325"/>
        <v>1E-4</v>
      </c>
      <c r="B758" s="304">
        <f t="shared" ca="1" si="326"/>
        <v>35.803600000000316</v>
      </c>
      <c r="D758" s="306">
        <f t="shared" ca="1" si="327"/>
        <v>-0.42738655630012112</v>
      </c>
      <c r="E758" s="307">
        <f t="shared" ca="1" si="328"/>
        <v>-2.3776795331249971</v>
      </c>
      <c r="F758" s="304">
        <f t="shared" ca="1" si="329"/>
        <v>2.4157854272984554</v>
      </c>
      <c r="G758" s="306">
        <f t="shared" ca="1" si="330"/>
        <v>7.2299593658521699</v>
      </c>
      <c r="H758" s="307">
        <f t="shared" ca="1" si="331"/>
        <v>-125.7311289828564</v>
      </c>
      <c r="I758" s="304">
        <f t="shared" ca="1" si="332"/>
        <v>125.93883081772495</v>
      </c>
      <c r="J758" s="306">
        <f t="shared" ca="1" si="333"/>
        <v>468.65916031958193</v>
      </c>
      <c r="K758" s="307">
        <f t="shared" ca="1" si="334"/>
        <v>-7.2341792683874662</v>
      </c>
      <c r="L758" s="304">
        <f t="shared" ca="1" si="319"/>
        <v>468.71499005380952</v>
      </c>
      <c r="M758" s="306">
        <f t="shared" ca="1" si="335"/>
        <v>-1.5133562460852095</v>
      </c>
      <c r="N758" s="304">
        <f t="shared" ca="1" si="336"/>
        <v>-86.708925800444121</v>
      </c>
      <c r="P758" s="310">
        <f t="shared" ca="1" si="337"/>
        <v>23</v>
      </c>
      <c r="Q758" s="304">
        <f t="shared" ca="1" si="338"/>
        <v>0</v>
      </c>
      <c r="R758" s="306">
        <f t="shared" ca="1" si="339"/>
        <v>0</v>
      </c>
      <c r="S758" s="307">
        <f t="shared" ca="1" si="340"/>
        <v>7.9789999999999939</v>
      </c>
      <c r="T758" s="304">
        <f t="shared" ca="1" si="320"/>
        <v>78.273989999999941</v>
      </c>
      <c r="U758" s="311">
        <f t="shared" ca="1" si="321"/>
        <v>0</v>
      </c>
      <c r="V758" s="306">
        <f t="shared" ca="1" si="322"/>
        <v>1.2258865076181291</v>
      </c>
      <c r="W758" s="304">
        <f t="shared" ca="1" si="323"/>
        <v>59.400747705673659</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2.3492223247215911</v>
      </c>
      <c r="AH758" s="304">
        <f t="shared" ca="1" si="347"/>
        <v>-7.4445984976246464</v>
      </c>
    </row>
    <row r="759" spans="1:34" x14ac:dyDescent="0.2">
      <c r="A759" s="347">
        <f t="shared" ca="1" si="325"/>
        <v>1E-4</v>
      </c>
      <c r="B759" s="304">
        <f t="shared" ca="1" si="326"/>
        <v>35.803700000000319</v>
      </c>
      <c r="D759" s="306">
        <f t="shared" ca="1" si="327"/>
        <v>-0.42738536447885095</v>
      </c>
      <c r="E759" s="307">
        <f t="shared" ca="1" si="328"/>
        <v>-2.3776422691288674</v>
      </c>
      <c r="F759" s="304">
        <f t="shared" ca="1" si="329"/>
        <v>2.41574854024979</v>
      </c>
      <c r="G759" s="306">
        <f t="shared" ca="1" si="330"/>
        <v>7.2299166273157223</v>
      </c>
      <c r="H759" s="307">
        <f t="shared" ca="1" si="331"/>
        <v>-125.73136674708331</v>
      </c>
      <c r="I759" s="304">
        <f t="shared" ca="1" si="332"/>
        <v>125.93906573628179</v>
      </c>
      <c r="J759" s="306">
        <f t="shared" ca="1" si="333"/>
        <v>468.65916031958193</v>
      </c>
      <c r="K759" s="307">
        <f t="shared" ca="1" si="334"/>
        <v>-7.2467523931739635</v>
      </c>
      <c r="L759" s="304">
        <f t="shared" ca="1" si="319"/>
        <v>468.71518427687357</v>
      </c>
      <c r="M759" s="306">
        <f t="shared" ca="1" si="335"/>
        <v>-1.5133566932676477</v>
      </c>
      <c r="N759" s="304">
        <f t="shared" ca="1" si="336"/>
        <v>-86.708951422110502</v>
      </c>
      <c r="P759" s="310">
        <f t="shared" ca="1" si="337"/>
        <v>23</v>
      </c>
      <c r="Q759" s="304">
        <f t="shared" ca="1" si="338"/>
        <v>0</v>
      </c>
      <c r="R759" s="306">
        <f t="shared" ca="1" si="339"/>
        <v>0</v>
      </c>
      <c r="S759" s="307">
        <f t="shared" ca="1" si="340"/>
        <v>7.9789999999999939</v>
      </c>
      <c r="T759" s="304">
        <f t="shared" ca="1" si="320"/>
        <v>78.273989999999941</v>
      </c>
      <c r="U759" s="311">
        <f t="shared" ca="1" si="321"/>
        <v>0</v>
      </c>
      <c r="V759" s="306">
        <f t="shared" ca="1" si="322"/>
        <v>1.2258880489417034</v>
      </c>
      <c r="W759" s="304">
        <f t="shared" ca="1" si="323"/>
        <v>59.401043996526965</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2.3491854424501444</v>
      </c>
      <c r="AH759" s="304">
        <f t="shared" ca="1" si="347"/>
        <v>-7.4446356317425373</v>
      </c>
    </row>
    <row r="760" spans="1:34" x14ac:dyDescent="0.2">
      <c r="A760" s="347">
        <f t="shared" ca="1" si="325"/>
        <v>1E-4</v>
      </c>
      <c r="B760" s="304">
        <f t="shared" ca="1" si="326"/>
        <v>35.803800000000322</v>
      </c>
      <c r="D760" s="306">
        <f t="shared" ca="1" si="327"/>
        <v>-0.42738417264002782</v>
      </c>
      <c r="E760" s="307">
        <f t="shared" ca="1" si="328"/>
        <v>-2.3776050054186078</v>
      </c>
      <c r="F760" s="304">
        <f t="shared" ca="1" si="329"/>
        <v>2.4157116534915377</v>
      </c>
      <c r="G760" s="306">
        <f t="shared" ca="1" si="330"/>
        <v>7.2298738888984584</v>
      </c>
      <c r="H760" s="307">
        <f t="shared" ca="1" si="331"/>
        <v>-125.73160450758385</v>
      </c>
      <c r="I760" s="304">
        <f t="shared" ca="1" si="332"/>
        <v>125.93930065115042</v>
      </c>
      <c r="J760" s="306">
        <f t="shared" ca="1" si="333"/>
        <v>468.65916031958193</v>
      </c>
      <c r="K760" s="307">
        <f t="shared" ca="1" si="334"/>
        <v>-7.2593255417366969</v>
      </c>
      <c r="L760" s="304">
        <f t="shared" ca="1" si="319"/>
        <v>468.71537883749505</v>
      </c>
      <c r="M760" s="306">
        <f t="shared" ca="1" si="335"/>
        <v>-1.513357140445774</v>
      </c>
      <c r="N760" s="304">
        <f t="shared" ca="1" si="336"/>
        <v>-86.708977043529828</v>
      </c>
      <c r="P760" s="310">
        <f t="shared" ca="1" si="337"/>
        <v>23</v>
      </c>
      <c r="Q760" s="304">
        <f t="shared" ca="1" si="338"/>
        <v>0</v>
      </c>
      <c r="R760" s="306">
        <f t="shared" ca="1" si="339"/>
        <v>0</v>
      </c>
      <c r="S760" s="307">
        <f t="shared" ca="1" si="340"/>
        <v>7.9789999999999939</v>
      </c>
      <c r="T760" s="304">
        <f t="shared" ca="1" si="320"/>
        <v>78.273989999999941</v>
      </c>
      <c r="U760" s="311">
        <f t="shared" ca="1" si="321"/>
        <v>0</v>
      </c>
      <c r="V760" s="306">
        <f t="shared" ca="1" si="322"/>
        <v>1.2258895902701314</v>
      </c>
      <c r="W760" s="304">
        <f t="shared" ca="1" si="323"/>
        <v>59.401340285106862</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2.3491485604592244</v>
      </c>
      <c r="AH760" s="304">
        <f t="shared" ca="1" si="347"/>
        <v>-7.4446727655755121</v>
      </c>
    </row>
    <row r="761" spans="1:34" x14ac:dyDescent="0.2">
      <c r="A761" s="347">
        <f t="shared" ca="1" si="325"/>
        <v>1E-4</v>
      </c>
      <c r="B761" s="304">
        <f t="shared" ca="1" si="326"/>
        <v>35.803900000000326</v>
      </c>
      <c r="D761" s="306">
        <f t="shared" ca="1" si="327"/>
        <v>-0.42738298078365372</v>
      </c>
      <c r="E761" s="307">
        <f t="shared" ca="1" si="328"/>
        <v>-2.3775677419942243</v>
      </c>
      <c r="F761" s="304">
        <f t="shared" ca="1" si="329"/>
        <v>2.415674767023706</v>
      </c>
      <c r="G761" s="306">
        <f t="shared" ca="1" si="330"/>
        <v>7.2298311506003801</v>
      </c>
      <c r="H761" s="307">
        <f t="shared" ca="1" si="331"/>
        <v>-125.73184226435805</v>
      </c>
      <c r="I761" s="304">
        <f t="shared" ca="1" si="332"/>
        <v>125.93953556233089</v>
      </c>
      <c r="J761" s="306">
        <f t="shared" ca="1" si="333"/>
        <v>468.65916031958193</v>
      </c>
      <c r="K761" s="307">
        <f t="shared" ca="1" si="334"/>
        <v>-7.2718987140752942</v>
      </c>
      <c r="L761" s="304">
        <f t="shared" ca="1" si="319"/>
        <v>468.71557373567538</v>
      </c>
      <c r="M761" s="306">
        <f t="shared" ca="1" si="335"/>
        <v>-1.5133575876195888</v>
      </c>
      <c r="N761" s="304">
        <f t="shared" ca="1" si="336"/>
        <v>-86.709002664702126</v>
      </c>
      <c r="P761" s="310">
        <f t="shared" ca="1" si="337"/>
        <v>23</v>
      </c>
      <c r="Q761" s="304">
        <f t="shared" ca="1" si="338"/>
        <v>0</v>
      </c>
      <c r="R761" s="306">
        <f t="shared" ca="1" si="339"/>
        <v>0</v>
      </c>
      <c r="S761" s="307">
        <f t="shared" ca="1" si="340"/>
        <v>7.9789999999999939</v>
      </c>
      <c r="T761" s="304">
        <f t="shared" ca="1" si="320"/>
        <v>78.273989999999941</v>
      </c>
      <c r="U761" s="311">
        <f t="shared" ca="1" si="321"/>
        <v>0</v>
      </c>
      <c r="V761" s="306">
        <f t="shared" ca="1" si="322"/>
        <v>1.2258911316034125</v>
      </c>
      <c r="W761" s="304">
        <f t="shared" ca="1" si="323"/>
        <v>59.401636571413356</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2.3491116787488462</v>
      </c>
      <c r="AH761" s="304">
        <f t="shared" ca="1" si="347"/>
        <v>-7.4447098991235627</v>
      </c>
    </row>
    <row r="762" spans="1:34" x14ac:dyDescent="0.2">
      <c r="A762" s="347">
        <f t="shared" ca="1" si="325"/>
        <v>1E-4</v>
      </c>
      <c r="B762" s="304">
        <f t="shared" ca="1" si="326"/>
        <v>35.804000000000329</v>
      </c>
      <c r="D762" s="306">
        <f t="shared" ca="1" si="327"/>
        <v>-0.42738178890972639</v>
      </c>
      <c r="E762" s="307">
        <f t="shared" ca="1" si="328"/>
        <v>-2.3775304788557161</v>
      </c>
      <c r="F762" s="304">
        <f t="shared" ca="1" si="329"/>
        <v>2.4156378808462931</v>
      </c>
      <c r="G762" s="306">
        <f t="shared" ca="1" si="330"/>
        <v>7.2297884124214891</v>
      </c>
      <c r="H762" s="307">
        <f t="shared" ca="1" si="331"/>
        <v>-125.73208001740593</v>
      </c>
      <c r="I762" s="304">
        <f t="shared" ca="1" si="332"/>
        <v>125.9397704698232</v>
      </c>
      <c r="J762" s="306">
        <f t="shared" ca="1" si="333"/>
        <v>468.65916031958193</v>
      </c>
      <c r="K762" s="307">
        <f t="shared" ca="1" si="334"/>
        <v>-7.2844719101893824</v>
      </c>
      <c r="L762" s="304">
        <f t="shared" ca="1" si="319"/>
        <v>468.71576897141608</v>
      </c>
      <c r="M762" s="306">
        <f t="shared" ca="1" si="335"/>
        <v>-1.513358034789092</v>
      </c>
      <c r="N762" s="304">
        <f t="shared" ca="1" si="336"/>
        <v>-86.709028285627383</v>
      </c>
      <c r="P762" s="310">
        <f t="shared" ca="1" si="337"/>
        <v>23</v>
      </c>
      <c r="Q762" s="304">
        <f t="shared" ca="1" si="338"/>
        <v>0</v>
      </c>
      <c r="R762" s="306">
        <f t="shared" ca="1" si="339"/>
        <v>0</v>
      </c>
      <c r="S762" s="307">
        <f t="shared" ca="1" si="340"/>
        <v>7.9789999999999939</v>
      </c>
      <c r="T762" s="304">
        <f t="shared" ca="1" si="320"/>
        <v>78.273989999999941</v>
      </c>
      <c r="U762" s="311">
        <f t="shared" ca="1" si="321"/>
        <v>0</v>
      </c>
      <c r="V762" s="306">
        <f t="shared" ca="1" si="322"/>
        <v>1.2258926729415465</v>
      </c>
      <c r="W762" s="304">
        <f t="shared" ca="1" si="323"/>
        <v>59.401932855446404</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2.3490747973190018</v>
      </c>
      <c r="AH762" s="304">
        <f t="shared" ca="1" si="347"/>
        <v>-7.4447470323866902</v>
      </c>
    </row>
    <row r="763" spans="1:34" x14ac:dyDescent="0.2">
      <c r="A763" s="347">
        <f t="shared" ca="1" si="325"/>
        <v>1E-4</v>
      </c>
      <c r="B763" s="304">
        <f t="shared" ca="1" si="326"/>
        <v>35.804100000000332</v>
      </c>
      <c r="D763" s="306">
        <f t="shared" ca="1" si="327"/>
        <v>-0.42738059701824793</v>
      </c>
      <c r="E763" s="307">
        <f t="shared" ca="1" si="328"/>
        <v>-2.3774932160030886</v>
      </c>
      <c r="F763" s="304">
        <f t="shared" ca="1" si="329"/>
        <v>2.4156009949593047</v>
      </c>
      <c r="G763" s="306">
        <f t="shared" ca="1" si="330"/>
        <v>7.2297456743617872</v>
      </c>
      <c r="H763" s="307">
        <f t="shared" ca="1" si="331"/>
        <v>-125.73231776672753</v>
      </c>
      <c r="I763" s="304">
        <f t="shared" ca="1" si="332"/>
        <v>125.94000537362741</v>
      </c>
      <c r="J763" s="306">
        <f t="shared" ca="1" si="333"/>
        <v>468.65916031958193</v>
      </c>
      <c r="K763" s="307">
        <f t="shared" ca="1" si="334"/>
        <v>-7.2970451300785895</v>
      </c>
      <c r="L763" s="304">
        <f t="shared" ca="1" si="319"/>
        <v>468.7159645447187</v>
      </c>
      <c r="M763" s="306">
        <f t="shared" ca="1" si="335"/>
        <v>-1.5133584819542838</v>
      </c>
      <c r="N763" s="304">
        <f t="shared" ca="1" si="336"/>
        <v>-86.709053906305613</v>
      </c>
      <c r="P763" s="310">
        <f t="shared" ca="1" si="337"/>
        <v>23</v>
      </c>
      <c r="Q763" s="304">
        <f t="shared" ca="1" si="338"/>
        <v>0</v>
      </c>
      <c r="R763" s="306">
        <f t="shared" ca="1" si="339"/>
        <v>0</v>
      </c>
      <c r="S763" s="307">
        <f t="shared" ca="1" si="340"/>
        <v>7.9789999999999939</v>
      </c>
      <c r="T763" s="304">
        <f t="shared" ca="1" si="320"/>
        <v>78.273989999999941</v>
      </c>
      <c r="U763" s="311">
        <f t="shared" ca="1" si="321"/>
        <v>0</v>
      </c>
      <c r="V763" s="306">
        <f t="shared" ca="1" si="322"/>
        <v>1.2258942142845344</v>
      </c>
      <c r="W763" s="304">
        <f t="shared" ca="1" si="323"/>
        <v>59.402229137206078</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2.3490379161697001</v>
      </c>
      <c r="AH763" s="304">
        <f t="shared" ca="1" si="347"/>
        <v>-7.4447841653648892</v>
      </c>
    </row>
    <row r="764" spans="1:34" x14ac:dyDescent="0.2">
      <c r="A764" s="347">
        <f t="shared" ca="1" si="325"/>
        <v>1E-4</v>
      </c>
      <c r="B764" s="304">
        <f t="shared" ca="1" si="326"/>
        <v>35.804200000000336</v>
      </c>
      <c r="D764" s="306">
        <f t="shared" ca="1" si="327"/>
        <v>-0.42737940510921818</v>
      </c>
      <c r="E764" s="307">
        <f t="shared" ca="1" si="328"/>
        <v>-2.3774559534363338</v>
      </c>
      <c r="F764" s="304">
        <f t="shared" ca="1" si="329"/>
        <v>2.4155641093627338</v>
      </c>
      <c r="G764" s="306">
        <f t="shared" ca="1" si="330"/>
        <v>7.2297029364212761</v>
      </c>
      <c r="H764" s="307">
        <f t="shared" ca="1" si="331"/>
        <v>-125.73255551232288</v>
      </c>
      <c r="I764" s="304">
        <f t="shared" ca="1" si="332"/>
        <v>125.94024027374353</v>
      </c>
      <c r="J764" s="306">
        <f t="shared" ca="1" si="333"/>
        <v>468.65916031958193</v>
      </c>
      <c r="K764" s="307">
        <f t="shared" ca="1" si="334"/>
        <v>-7.3096183737425422</v>
      </c>
      <c r="L764" s="304">
        <f t="shared" ca="1" si="319"/>
        <v>468.7161604555846</v>
      </c>
      <c r="M764" s="306">
        <f t="shared" ca="1" si="335"/>
        <v>-1.5133589291151641</v>
      </c>
      <c r="N764" s="304">
        <f t="shared" ca="1" si="336"/>
        <v>-86.709079526736829</v>
      </c>
      <c r="P764" s="310">
        <f t="shared" ca="1" si="337"/>
        <v>23</v>
      </c>
      <c r="Q764" s="304">
        <f t="shared" ca="1" si="338"/>
        <v>0</v>
      </c>
      <c r="R764" s="306">
        <f t="shared" ca="1" si="339"/>
        <v>0</v>
      </c>
      <c r="S764" s="307">
        <f t="shared" ca="1" si="340"/>
        <v>7.9789999999999939</v>
      </c>
      <c r="T764" s="304">
        <f t="shared" ca="1" si="320"/>
        <v>78.273989999999941</v>
      </c>
      <c r="U764" s="311">
        <f t="shared" ca="1" si="321"/>
        <v>0</v>
      </c>
      <c r="V764" s="306">
        <f t="shared" ca="1" si="322"/>
        <v>1.2258957556323751</v>
      </c>
      <c r="W764" s="304">
        <f t="shared" ca="1" si="323"/>
        <v>59.402525416692313</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2.3490010353009305</v>
      </c>
      <c r="AH764" s="304">
        <f t="shared" ca="1" si="347"/>
        <v>-7.4448212980581685</v>
      </c>
    </row>
    <row r="765" spans="1:34" x14ac:dyDescent="0.2">
      <c r="A765" s="347">
        <f t="shared" ca="1" si="325"/>
        <v>1E-4</v>
      </c>
      <c r="B765" s="304">
        <f t="shared" ca="1" si="326"/>
        <v>35.804300000000339</v>
      </c>
      <c r="D765" s="306">
        <f t="shared" ca="1" si="327"/>
        <v>-0.4273782131826373</v>
      </c>
      <c r="E765" s="307">
        <f t="shared" ca="1" si="328"/>
        <v>-2.3774186911554605</v>
      </c>
      <c r="F765" s="304">
        <f t="shared" ca="1" si="329"/>
        <v>2.4155272240565879</v>
      </c>
      <c r="G765" s="306">
        <f t="shared" ca="1" si="330"/>
        <v>7.2296601985999578</v>
      </c>
      <c r="H765" s="307">
        <f t="shared" ca="1" si="331"/>
        <v>-125.73279325419199</v>
      </c>
      <c r="I765" s="304">
        <f t="shared" ca="1" si="332"/>
        <v>125.94047517017158</v>
      </c>
      <c r="J765" s="306">
        <f t="shared" ca="1" si="333"/>
        <v>468.65916031958193</v>
      </c>
      <c r="K765" s="307">
        <f t="shared" ca="1" si="334"/>
        <v>-7.3221916411808676</v>
      </c>
      <c r="L765" s="304">
        <f t="shared" ca="1" si="319"/>
        <v>468.71635670401537</v>
      </c>
      <c r="M765" s="306">
        <f t="shared" ca="1" si="335"/>
        <v>-1.513359376271733</v>
      </c>
      <c r="N765" s="304">
        <f t="shared" ca="1" si="336"/>
        <v>-86.709105146921004</v>
      </c>
      <c r="P765" s="310">
        <f t="shared" ca="1" si="337"/>
        <v>23</v>
      </c>
      <c r="Q765" s="304">
        <f t="shared" ca="1" si="338"/>
        <v>0</v>
      </c>
      <c r="R765" s="306">
        <f t="shared" ca="1" si="339"/>
        <v>0</v>
      </c>
      <c r="S765" s="307">
        <f t="shared" ca="1" si="340"/>
        <v>7.9789999999999939</v>
      </c>
      <c r="T765" s="304">
        <f t="shared" ca="1" si="320"/>
        <v>78.273989999999941</v>
      </c>
      <c r="U765" s="311">
        <f t="shared" ca="1" si="321"/>
        <v>0</v>
      </c>
      <c r="V765" s="306">
        <f t="shared" ca="1" si="322"/>
        <v>1.225897296985069</v>
      </c>
      <c r="W765" s="304">
        <f t="shared" ca="1" si="323"/>
        <v>59.402821693905132</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2.3489641547127036</v>
      </c>
      <c r="AH765" s="304">
        <f t="shared" ca="1" si="347"/>
        <v>-7.4448584304665193</v>
      </c>
    </row>
    <row r="766" spans="1:34" x14ac:dyDescent="0.2">
      <c r="A766" s="347">
        <f t="shared" ca="1" si="325"/>
        <v>1E-4</v>
      </c>
      <c r="B766" s="304">
        <f t="shared" ca="1" si="326"/>
        <v>35.804400000000342</v>
      </c>
      <c r="D766" s="306">
        <f t="shared" ca="1" si="327"/>
        <v>-0.42737702123850663</v>
      </c>
      <c r="E766" s="307">
        <f t="shared" ca="1" si="328"/>
        <v>-2.3773814291604625</v>
      </c>
      <c r="F766" s="304">
        <f t="shared" ca="1" si="329"/>
        <v>2.4154903390408626</v>
      </c>
      <c r="G766" s="306">
        <f t="shared" ca="1" si="330"/>
        <v>7.2296174608978339</v>
      </c>
      <c r="H766" s="307">
        <f t="shared" ca="1" si="331"/>
        <v>-125.7330309923349</v>
      </c>
      <c r="I766" s="304">
        <f t="shared" ca="1" si="332"/>
        <v>125.94071006291162</v>
      </c>
      <c r="J766" s="306">
        <f t="shared" ca="1" si="333"/>
        <v>468.65916031958193</v>
      </c>
      <c r="K766" s="307">
        <f t="shared" ca="1" si="334"/>
        <v>-7.3347649323931936</v>
      </c>
      <c r="L766" s="304">
        <f t="shared" ca="1" si="319"/>
        <v>468.71655329001243</v>
      </c>
      <c r="M766" s="306">
        <f t="shared" ca="1" si="335"/>
        <v>-1.5133598234239907</v>
      </c>
      <c r="N766" s="304">
        <f t="shared" ca="1" si="336"/>
        <v>-86.709130766858166</v>
      </c>
      <c r="P766" s="310">
        <f t="shared" ca="1" si="337"/>
        <v>23</v>
      </c>
      <c r="Q766" s="304">
        <f t="shared" ca="1" si="338"/>
        <v>0</v>
      </c>
      <c r="R766" s="306">
        <f t="shared" ca="1" si="339"/>
        <v>0</v>
      </c>
      <c r="S766" s="307">
        <f t="shared" ca="1" si="340"/>
        <v>7.9789999999999939</v>
      </c>
      <c r="T766" s="304">
        <f t="shared" ca="1" si="320"/>
        <v>78.273989999999941</v>
      </c>
      <c r="U766" s="311">
        <f t="shared" ca="1" si="321"/>
        <v>0</v>
      </c>
      <c r="V766" s="306">
        <f t="shared" ca="1" si="322"/>
        <v>1.2258988383426157</v>
      </c>
      <c r="W766" s="304">
        <f t="shared" ca="1" si="323"/>
        <v>59.403117968844519</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2.3489272744050149</v>
      </c>
      <c r="AH766" s="304">
        <f t="shared" ca="1" si="347"/>
        <v>-7.444895562589946</v>
      </c>
    </row>
    <row r="767" spans="1:34" x14ac:dyDescent="0.2">
      <c r="A767" s="347">
        <f t="shared" ca="1" si="325"/>
        <v>1E-4</v>
      </c>
      <c r="B767" s="304">
        <f t="shared" ca="1" si="326"/>
        <v>35.804500000000345</v>
      </c>
      <c r="D767" s="306">
        <f t="shared" ca="1" si="327"/>
        <v>-0.42737582927682505</v>
      </c>
      <c r="E767" s="307">
        <f t="shared" ca="1" si="328"/>
        <v>-2.377344167451346</v>
      </c>
      <c r="F767" s="304">
        <f t="shared" ca="1" si="329"/>
        <v>2.4154534543155632</v>
      </c>
      <c r="G767" s="306">
        <f t="shared" ca="1" si="330"/>
        <v>7.2295747233149061</v>
      </c>
      <c r="H767" s="307">
        <f t="shared" ca="1" si="331"/>
        <v>-125.73326872675165</v>
      </c>
      <c r="I767" s="304">
        <f t="shared" ca="1" si="332"/>
        <v>125.94094495196364</v>
      </c>
      <c r="J767" s="306">
        <f t="shared" ca="1" si="333"/>
        <v>468.65916031958193</v>
      </c>
      <c r="K767" s="307">
        <f t="shared" ca="1" si="334"/>
        <v>-7.347338247379148</v>
      </c>
      <c r="L767" s="304">
        <f t="shared" ca="1" si="319"/>
        <v>468.71675021357726</v>
      </c>
      <c r="M767" s="306">
        <f t="shared" ca="1" si="335"/>
        <v>-1.5133602705719369</v>
      </c>
      <c r="N767" s="304">
        <f t="shared" ca="1" si="336"/>
        <v>-86.709156386548301</v>
      </c>
      <c r="P767" s="310">
        <f t="shared" ca="1" si="337"/>
        <v>23</v>
      </c>
      <c r="Q767" s="304">
        <f t="shared" ca="1" si="338"/>
        <v>0</v>
      </c>
      <c r="R767" s="306">
        <f t="shared" ca="1" si="339"/>
        <v>0</v>
      </c>
      <c r="S767" s="307">
        <f t="shared" ca="1" si="340"/>
        <v>7.9789999999999939</v>
      </c>
      <c r="T767" s="304">
        <f t="shared" ca="1" si="320"/>
        <v>78.273989999999941</v>
      </c>
      <c r="U767" s="311">
        <f t="shared" ca="1" si="321"/>
        <v>0</v>
      </c>
      <c r="V767" s="306">
        <f t="shared" ca="1" si="322"/>
        <v>1.2259003797050163</v>
      </c>
      <c r="W767" s="304">
        <f t="shared" ca="1" si="323"/>
        <v>59.403414241510504</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2.3488903943778681</v>
      </c>
      <c r="AH767" s="304">
        <f t="shared" ca="1" si="347"/>
        <v>-7.4449326944284451</v>
      </c>
    </row>
    <row r="768" spans="1:34" x14ac:dyDescent="0.2">
      <c r="A768" s="347">
        <f t="shared" ca="1" si="325"/>
        <v>1E-4</v>
      </c>
      <c r="B768" s="304">
        <f t="shared" ca="1" si="326"/>
        <v>35.804600000000349</v>
      </c>
      <c r="D768" s="306">
        <f t="shared" ca="1" si="327"/>
        <v>-0.42737463729759534</v>
      </c>
      <c r="E768" s="307">
        <f t="shared" ca="1" si="328"/>
        <v>-2.377306906028104</v>
      </c>
      <c r="F768" s="304">
        <f t="shared" ca="1" si="329"/>
        <v>2.4154165698806835</v>
      </c>
      <c r="G768" s="306">
        <f t="shared" ca="1" si="330"/>
        <v>7.2295319858511764</v>
      </c>
      <c r="H768" s="307">
        <f t="shared" ca="1" si="331"/>
        <v>-125.73350645744225</v>
      </c>
      <c r="I768" s="304">
        <f t="shared" ca="1" si="332"/>
        <v>125.9411798373277</v>
      </c>
      <c r="J768" s="306">
        <f t="shared" ca="1" si="333"/>
        <v>468.65916031958193</v>
      </c>
      <c r="K768" s="307">
        <f t="shared" ca="1" si="334"/>
        <v>-7.3599115861383577</v>
      </c>
      <c r="L768" s="304">
        <f t="shared" ca="1" si="319"/>
        <v>468.71694747471139</v>
      </c>
      <c r="M768" s="306">
        <f t="shared" ca="1" si="335"/>
        <v>-1.5133607177155721</v>
      </c>
      <c r="N768" s="304">
        <f t="shared" ca="1" si="336"/>
        <v>-86.709182005991437</v>
      </c>
      <c r="P768" s="310">
        <f t="shared" ca="1" si="337"/>
        <v>23</v>
      </c>
      <c r="Q768" s="304">
        <f t="shared" ca="1" si="338"/>
        <v>0</v>
      </c>
      <c r="R768" s="306">
        <f t="shared" ca="1" si="339"/>
        <v>0</v>
      </c>
      <c r="S768" s="307">
        <f t="shared" ca="1" si="340"/>
        <v>7.9789999999999939</v>
      </c>
      <c r="T768" s="304">
        <f t="shared" ca="1" si="320"/>
        <v>78.273989999999941</v>
      </c>
      <c r="U768" s="311">
        <f t="shared" ca="1" si="321"/>
        <v>0</v>
      </c>
      <c r="V768" s="306">
        <f t="shared" ca="1" si="322"/>
        <v>1.2259019210722697</v>
      </c>
      <c r="W768" s="304">
        <f t="shared" ca="1" si="323"/>
        <v>59.403710511903043</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2.3488535146312577</v>
      </c>
      <c r="AH768" s="304">
        <f t="shared" ca="1" si="347"/>
        <v>-7.4449698259820218</v>
      </c>
    </row>
    <row r="769" spans="1:34" x14ac:dyDescent="0.2">
      <c r="A769" s="347">
        <f t="shared" ca="1" si="325"/>
        <v>1E-4</v>
      </c>
      <c r="B769" s="304">
        <f t="shared" ca="1" si="326"/>
        <v>35.804700000000352</v>
      </c>
      <c r="D769" s="306">
        <f t="shared" ca="1" si="327"/>
        <v>-0.42737344530081478</v>
      </c>
      <c r="E769" s="307">
        <f t="shared" ca="1" si="328"/>
        <v>-2.3772696448907435</v>
      </c>
      <c r="F769" s="304">
        <f t="shared" ca="1" si="329"/>
        <v>2.4153796857362302</v>
      </c>
      <c r="G769" s="306">
        <f t="shared" ca="1" si="330"/>
        <v>7.2294892485066464</v>
      </c>
      <c r="H769" s="307">
        <f t="shared" ca="1" si="331"/>
        <v>-125.73374418440673</v>
      </c>
      <c r="I769" s="304">
        <f t="shared" ca="1" si="332"/>
        <v>125.9414147190038</v>
      </c>
      <c r="J769" s="306">
        <f t="shared" ca="1" si="333"/>
        <v>468.65916031958193</v>
      </c>
      <c r="K769" s="307">
        <f t="shared" ca="1" si="334"/>
        <v>-7.3724849486704498</v>
      </c>
      <c r="L769" s="304">
        <f t="shared" ca="1" si="319"/>
        <v>468.71714507341625</v>
      </c>
      <c r="M769" s="306">
        <f t="shared" ca="1" si="335"/>
        <v>-1.5133611648548961</v>
      </c>
      <c r="N769" s="304">
        <f t="shared" ca="1" si="336"/>
        <v>-86.70920762518756</v>
      </c>
      <c r="P769" s="310">
        <f t="shared" ca="1" si="337"/>
        <v>23</v>
      </c>
      <c r="Q769" s="304">
        <f t="shared" ca="1" si="338"/>
        <v>0</v>
      </c>
      <c r="R769" s="306">
        <f t="shared" ca="1" si="339"/>
        <v>0</v>
      </c>
      <c r="S769" s="307">
        <f t="shared" ca="1" si="340"/>
        <v>7.9789999999999939</v>
      </c>
      <c r="T769" s="304">
        <f t="shared" ca="1" si="320"/>
        <v>78.273989999999941</v>
      </c>
      <c r="U769" s="311">
        <f t="shared" ca="1" si="321"/>
        <v>0</v>
      </c>
      <c r="V769" s="306">
        <f t="shared" ca="1" si="322"/>
        <v>1.2259034624443761</v>
      </c>
      <c r="W769" s="304">
        <f t="shared" ca="1" si="323"/>
        <v>59.404006780022158</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2.3488166351651891</v>
      </c>
      <c r="AH769" s="304">
        <f t="shared" ca="1" si="347"/>
        <v>-7.4450069572506692</v>
      </c>
    </row>
    <row r="770" spans="1:34" x14ac:dyDescent="0.2">
      <c r="A770" s="347">
        <f t="shared" ca="1" si="325"/>
        <v>1E-4</v>
      </c>
      <c r="B770" s="304">
        <f t="shared" ca="1" si="326"/>
        <v>35.804800000000355</v>
      </c>
      <c r="D770" s="306">
        <f t="shared" ca="1" si="327"/>
        <v>-0.42737225328648598</v>
      </c>
      <c r="E770" s="307">
        <f t="shared" ca="1" si="328"/>
        <v>-2.377232384039262</v>
      </c>
      <c r="F770" s="304">
        <f t="shared" ca="1" si="329"/>
        <v>2.415342801882201</v>
      </c>
      <c r="G770" s="306">
        <f t="shared" ca="1" si="330"/>
        <v>7.229446511281318</v>
      </c>
      <c r="H770" s="307">
        <f t="shared" ca="1" si="331"/>
        <v>-125.73398190764513</v>
      </c>
      <c r="I770" s="304">
        <f t="shared" ca="1" si="332"/>
        <v>125.94164959699198</v>
      </c>
      <c r="J770" s="306">
        <f t="shared" ca="1" si="333"/>
        <v>468.65916031958193</v>
      </c>
      <c r="K770" s="307">
        <f t="shared" ca="1" si="334"/>
        <v>-7.385058334975052</v>
      </c>
      <c r="L770" s="304">
        <f t="shared" ca="1" si="319"/>
        <v>468.71734300969337</v>
      </c>
      <c r="M770" s="306">
        <f t="shared" ca="1" si="335"/>
        <v>-1.5133616119899089</v>
      </c>
      <c r="N770" s="304">
        <f t="shared" ca="1" si="336"/>
        <v>-86.709233244136669</v>
      </c>
      <c r="P770" s="310">
        <f t="shared" ca="1" si="337"/>
        <v>23</v>
      </c>
      <c r="Q770" s="304">
        <f t="shared" ca="1" si="338"/>
        <v>0</v>
      </c>
      <c r="R770" s="306">
        <f t="shared" ca="1" si="339"/>
        <v>0</v>
      </c>
      <c r="S770" s="307">
        <f t="shared" ca="1" si="340"/>
        <v>7.9789999999999939</v>
      </c>
      <c r="T770" s="304">
        <f t="shared" ca="1" si="320"/>
        <v>78.273989999999941</v>
      </c>
      <c r="U770" s="311">
        <f t="shared" ca="1" si="321"/>
        <v>0</v>
      </c>
      <c r="V770" s="306">
        <f t="shared" ca="1" si="322"/>
        <v>1.225905003821335</v>
      </c>
      <c r="W770" s="304">
        <f t="shared" ca="1" si="323"/>
        <v>59.404303045867785</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2.3487797559796624</v>
      </c>
      <c r="AH770" s="304">
        <f t="shared" ca="1" si="347"/>
        <v>-7.4450440882343907</v>
      </c>
    </row>
    <row r="771" spans="1:34" x14ac:dyDescent="0.2">
      <c r="A771" s="347">
        <f t="shared" ca="1" si="325"/>
        <v>1E-4</v>
      </c>
      <c r="B771" s="304">
        <f t="shared" ca="1" si="326"/>
        <v>35.804900000000359</v>
      </c>
      <c r="D771" s="306">
        <f t="shared" ca="1" si="327"/>
        <v>-0.42737106125460939</v>
      </c>
      <c r="E771" s="307">
        <f t="shared" ca="1" si="328"/>
        <v>-2.3771951234736663</v>
      </c>
      <c r="F771" s="304">
        <f t="shared" ca="1" si="329"/>
        <v>2.415305918318603</v>
      </c>
      <c r="G771" s="306">
        <f t="shared" ca="1" si="330"/>
        <v>7.2294037741751929</v>
      </c>
      <c r="H771" s="307">
        <f t="shared" ca="1" si="331"/>
        <v>-125.73421962715747</v>
      </c>
      <c r="I771" s="304">
        <f t="shared" ca="1" si="332"/>
        <v>125.94188447129227</v>
      </c>
      <c r="J771" s="306">
        <f t="shared" ca="1" si="333"/>
        <v>468.65916031958193</v>
      </c>
      <c r="K771" s="307">
        <f t="shared" ca="1" si="334"/>
        <v>-7.3976317450517923</v>
      </c>
      <c r="L771" s="304">
        <f t="shared" ca="1" si="319"/>
        <v>468.71754128354422</v>
      </c>
      <c r="M771" s="306">
        <f t="shared" ca="1" si="335"/>
        <v>-1.5133620591206109</v>
      </c>
      <c r="N771" s="304">
        <f t="shared" ca="1" si="336"/>
        <v>-86.70925886283878</v>
      </c>
      <c r="P771" s="310">
        <f t="shared" ca="1" si="337"/>
        <v>23</v>
      </c>
      <c r="Q771" s="304">
        <f t="shared" ca="1" si="338"/>
        <v>0</v>
      </c>
      <c r="R771" s="306">
        <f t="shared" ca="1" si="339"/>
        <v>0</v>
      </c>
      <c r="S771" s="307">
        <f t="shared" ca="1" si="340"/>
        <v>7.9789999999999939</v>
      </c>
      <c r="T771" s="304">
        <f t="shared" ca="1" si="320"/>
        <v>78.273989999999941</v>
      </c>
      <c r="U771" s="311">
        <f t="shared" ca="1" si="321"/>
        <v>0</v>
      </c>
      <c r="V771" s="306">
        <f t="shared" ca="1" si="322"/>
        <v>1.2259065452031475</v>
      </c>
      <c r="W771" s="304">
        <f t="shared" ca="1" si="323"/>
        <v>59.404599309440002</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2.3487428770746837</v>
      </c>
      <c r="AH771" s="304">
        <f t="shared" ca="1" si="347"/>
        <v>-7.4450812189331783</v>
      </c>
    </row>
    <row r="772" spans="1:34" x14ac:dyDescent="0.2">
      <c r="A772" s="347">
        <f t="shared" ca="1" si="325"/>
        <v>1E-4</v>
      </c>
      <c r="B772" s="304">
        <f t="shared" ca="1" si="326"/>
        <v>35.805000000000362</v>
      </c>
      <c r="D772" s="306">
        <f t="shared" ca="1" si="327"/>
        <v>-0.42736986920518316</v>
      </c>
      <c r="E772" s="307">
        <f t="shared" ca="1" si="328"/>
        <v>-2.3771578631939478</v>
      </c>
      <c r="F772" s="304">
        <f t="shared" ca="1" si="329"/>
        <v>2.4152690350454278</v>
      </c>
      <c r="G772" s="306">
        <f t="shared" ca="1" si="330"/>
        <v>7.2293610371882719</v>
      </c>
      <c r="H772" s="307">
        <f t="shared" ca="1" si="331"/>
        <v>-125.7344573429438</v>
      </c>
      <c r="I772" s="304">
        <f t="shared" ca="1" si="332"/>
        <v>125.94211934190471</v>
      </c>
      <c r="J772" s="306">
        <f t="shared" ca="1" si="333"/>
        <v>468.65916031958193</v>
      </c>
      <c r="K772" s="307">
        <f t="shared" ca="1" si="334"/>
        <v>-7.4102051789002976</v>
      </c>
      <c r="L772" s="304">
        <f t="shared" ref="L772:L835" ca="1" si="348">SQRT(pos_x^2+pos_z^2)</f>
        <v>468.71773989497029</v>
      </c>
      <c r="M772" s="306">
        <f t="shared" ca="1" si="335"/>
        <v>-1.513362506247002</v>
      </c>
      <c r="N772" s="304">
        <f t="shared" ca="1" si="336"/>
        <v>-86.709284481293892</v>
      </c>
      <c r="P772" s="310">
        <f t="shared" ca="1" si="337"/>
        <v>23</v>
      </c>
      <c r="Q772" s="304">
        <f t="shared" ca="1" si="338"/>
        <v>0</v>
      </c>
      <c r="R772" s="306">
        <f t="shared" ca="1" si="339"/>
        <v>0</v>
      </c>
      <c r="S772" s="307">
        <f t="shared" ca="1" si="340"/>
        <v>7.9789999999999939</v>
      </c>
      <c r="T772" s="304">
        <f t="shared" ref="T772:T835" ca="1" si="349">m*g</f>
        <v>78.273989999999941</v>
      </c>
      <c r="U772" s="311">
        <f t="shared" ref="U772:U835" ca="1" si="350">IF(pos_xz&lt;L_rampe,Poids*COS(Beta),0)</f>
        <v>0</v>
      </c>
      <c r="V772" s="306">
        <f t="shared" ref="V772:V835" ca="1" si="351">Rho_moyen*(20000-Alt_rampe-pos_z)/(20000+Alt_rampe+pos_z)</f>
        <v>1.2259080865898131</v>
      </c>
      <c r="W772" s="304">
        <f t="shared" ref="W772:W835" ca="1" si="352">1/2*Rho*Sref*Cx*vit_xz^2</f>
        <v>59.404895570738809</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2.3487059984502414</v>
      </c>
      <c r="AH772" s="304">
        <f t="shared" ca="1" si="347"/>
        <v>-7.4451183493470419</v>
      </c>
    </row>
    <row r="773" spans="1:34" x14ac:dyDescent="0.2">
      <c r="A773" s="347">
        <f t="shared" ref="A773:A836" ca="1" si="354">IF(B772+0.01&lt;=T_ini+ROUNDUP(Temps_fin_propu,0), 0.01, IF(K772&gt;0, 0.1, 0.0001))</f>
        <v>1E-4</v>
      </c>
      <c r="B773" s="304">
        <f t="shared" ref="B773:B836" ca="1" si="355">B772+pas</f>
        <v>35.805100000000365</v>
      </c>
      <c r="D773" s="306">
        <f t="shared" ref="D773:D836" ca="1" si="356">IF(AND(L772&lt;L_rampe,Poussee&lt;Poids*SIN(M772)),0,(-W772+Poussee)/m*COS(M772)-U772/m*SIN(M772))</f>
        <v>-0.42736867713820975</v>
      </c>
      <c r="E773" s="307">
        <f t="shared" ref="E773:E836" ca="1" si="357">IF(AND(L772&lt;L_rampe,Poussee&lt;Poids*SIN(M772)),0,(-W772+Poussee)/m*SIN(M772)+U772/m*COS(M772)-Poids/m)</f>
        <v>-2.3771206032001064</v>
      </c>
      <c r="F773" s="304">
        <f t="shared" ref="F773:F836" ca="1" si="358">SQRT(acc_x^2+acc_z^2)</f>
        <v>2.4152321520626754</v>
      </c>
      <c r="G773" s="306">
        <f t="shared" ref="G773:G836" ca="1" si="359">G772+acc_x*pas</f>
        <v>7.2293183003205579</v>
      </c>
      <c r="H773" s="307">
        <f t="shared" ref="H773:H836" ca="1" si="360">H772+acc_z*pas</f>
        <v>-125.73469505500412</v>
      </c>
      <c r="I773" s="304">
        <f t="shared" ref="I773:I836" ca="1" si="361">SQRT(vit_x^2+vit_z^2)</f>
        <v>125.94235420882931</v>
      </c>
      <c r="J773" s="306">
        <f t="shared" ref="J773:J836" ca="1" si="362">J772+0.5*(vit_x+G772)*pas*(K772&gt;=0)</f>
        <v>468.65916031958193</v>
      </c>
      <c r="K773" s="307">
        <f t="shared" ref="K773:K836" ca="1" si="363">K772+0.5*(vit_z+H772)*pas</f>
        <v>-7.4227786365201949</v>
      </c>
      <c r="L773" s="304">
        <f t="shared" ca="1" si="348"/>
        <v>468.71793884397295</v>
      </c>
      <c r="M773" s="306">
        <f t="shared" ref="M773:M836" ca="1" si="364">IF(AND(L772&gt;L_rampe,G773&gt;0),ATAN2(G773,H773),$M$4)</f>
        <v>-1.513362953369082</v>
      </c>
      <c r="N773" s="304">
        <f t="shared" ref="N773:N836" ca="1" si="365">DEGREES(Beta)</f>
        <v>-86.709310099502005</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7.9789999999999939</v>
      </c>
      <c r="T773" s="304">
        <f t="shared" ca="1" si="349"/>
        <v>78.273989999999941</v>
      </c>
      <c r="U773" s="311">
        <f t="shared" ca="1" si="350"/>
        <v>0</v>
      </c>
      <c r="V773" s="306">
        <f t="shared" ca="1" si="351"/>
        <v>1.2259096279813309</v>
      </c>
      <c r="W773" s="304">
        <f t="shared" ca="1" si="352"/>
        <v>59.405191829764107</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2.3486691201063392</v>
      </c>
      <c r="AH773" s="304">
        <f t="shared" ref="AH773:AH836" ca="1" si="376">IF(AND(L772&lt;L_rampe,Poussee&lt;Poids*SIN(M772)), g*SIN(M772), (-W772+Poussee)/m)</f>
        <v>-7.4451554794759813</v>
      </c>
    </row>
    <row r="774" spans="1:34" x14ac:dyDescent="0.2">
      <c r="A774" s="347">
        <f t="shared" ca="1" si="354"/>
        <v>1E-4</v>
      </c>
      <c r="B774" s="304">
        <f t="shared" ca="1" si="355"/>
        <v>35.805200000000369</v>
      </c>
      <c r="D774" s="306">
        <f t="shared" ca="1" si="356"/>
        <v>-0.42736748505368932</v>
      </c>
      <c r="E774" s="307">
        <f t="shared" ca="1" si="357"/>
        <v>-2.3770833434921528</v>
      </c>
      <c r="F774" s="304">
        <f t="shared" ca="1" si="358"/>
        <v>2.415195269370356</v>
      </c>
      <c r="G774" s="306">
        <f t="shared" ca="1" si="359"/>
        <v>7.2292755635720525</v>
      </c>
      <c r="H774" s="307">
        <f t="shared" ca="1" si="360"/>
        <v>-125.73493276333848</v>
      </c>
      <c r="I774" s="304">
        <f t="shared" ca="1" si="361"/>
        <v>125.94258907206611</v>
      </c>
      <c r="J774" s="306">
        <f t="shared" ca="1" si="362"/>
        <v>468.65916031958193</v>
      </c>
      <c r="K774" s="307">
        <f t="shared" ca="1" si="363"/>
        <v>-7.4353521179111119</v>
      </c>
      <c r="L774" s="304">
        <f t="shared" ca="1" si="348"/>
        <v>468.71813813055383</v>
      </c>
      <c r="M774" s="306">
        <f t="shared" ca="1" si="364"/>
        <v>-1.5133634004868513</v>
      </c>
      <c r="N774" s="304">
        <f t="shared" ca="1" si="365"/>
        <v>-86.709335717463134</v>
      </c>
      <c r="P774" s="310">
        <f t="shared" ca="1" si="366"/>
        <v>23</v>
      </c>
      <c r="Q774" s="304">
        <f t="shared" ca="1" si="367"/>
        <v>0</v>
      </c>
      <c r="R774" s="306">
        <f t="shared" ca="1" si="368"/>
        <v>0</v>
      </c>
      <c r="S774" s="307">
        <f t="shared" ca="1" si="369"/>
        <v>7.9789999999999939</v>
      </c>
      <c r="T774" s="304">
        <f t="shared" ca="1" si="349"/>
        <v>78.273989999999941</v>
      </c>
      <c r="U774" s="311">
        <f t="shared" ca="1" si="350"/>
        <v>0</v>
      </c>
      <c r="V774" s="306">
        <f t="shared" ca="1" si="351"/>
        <v>1.2259111693777023</v>
      </c>
      <c r="W774" s="304">
        <f t="shared" ca="1" si="352"/>
        <v>59.405488086516002</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2.3486322420429859</v>
      </c>
      <c r="AH774" s="304">
        <f t="shared" ca="1" si="376"/>
        <v>-7.4451926093199843</v>
      </c>
    </row>
    <row r="775" spans="1:34" x14ac:dyDescent="0.2">
      <c r="A775" s="347">
        <f t="shared" ca="1" si="354"/>
        <v>1E-4</v>
      </c>
      <c r="B775" s="304">
        <f t="shared" ca="1" si="355"/>
        <v>35.805300000000372</v>
      </c>
      <c r="D775" s="306">
        <f t="shared" ca="1" si="356"/>
        <v>-0.42736629295162176</v>
      </c>
      <c r="E775" s="307">
        <f t="shared" ca="1" si="357"/>
        <v>-2.3770460840700762</v>
      </c>
      <c r="F775" s="304">
        <f t="shared" ca="1" si="358"/>
        <v>2.4151583869684603</v>
      </c>
      <c r="G775" s="306">
        <f t="shared" ca="1" si="359"/>
        <v>7.2292328269427575</v>
      </c>
      <c r="H775" s="307">
        <f t="shared" ca="1" si="360"/>
        <v>-125.73517046794689</v>
      </c>
      <c r="I775" s="304">
        <f t="shared" ca="1" si="361"/>
        <v>125.94282393161514</v>
      </c>
      <c r="J775" s="306">
        <f t="shared" ca="1" si="362"/>
        <v>468.65916031958193</v>
      </c>
      <c r="K775" s="307">
        <f t="shared" ca="1" si="363"/>
        <v>-7.4479256230726758</v>
      </c>
      <c r="L775" s="304">
        <f t="shared" ca="1" si="348"/>
        <v>468.7183377547143</v>
      </c>
      <c r="M775" s="306">
        <f t="shared" ca="1" si="364"/>
        <v>-1.5133638476003097</v>
      </c>
      <c r="N775" s="304">
        <f t="shared" ca="1" si="365"/>
        <v>-86.709361335177263</v>
      </c>
      <c r="P775" s="310">
        <f t="shared" ca="1" si="366"/>
        <v>23</v>
      </c>
      <c r="Q775" s="304">
        <f t="shared" ca="1" si="367"/>
        <v>0</v>
      </c>
      <c r="R775" s="306">
        <f t="shared" ca="1" si="368"/>
        <v>0</v>
      </c>
      <c r="S775" s="307">
        <f t="shared" ca="1" si="369"/>
        <v>7.9789999999999939</v>
      </c>
      <c r="T775" s="304">
        <f t="shared" ca="1" si="349"/>
        <v>78.273989999999941</v>
      </c>
      <c r="U775" s="311">
        <f t="shared" ca="1" si="350"/>
        <v>0</v>
      </c>
      <c r="V775" s="306">
        <f t="shared" ca="1" si="351"/>
        <v>1.2259127107789265</v>
      </c>
      <c r="W775" s="304">
        <f t="shared" ca="1" si="352"/>
        <v>59.405784340994444</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2.3485953642601745</v>
      </c>
      <c r="AH775" s="304">
        <f t="shared" ca="1" si="376"/>
        <v>-7.4452297388790631</v>
      </c>
    </row>
    <row r="776" spans="1:34" x14ac:dyDescent="0.2">
      <c r="A776" s="347">
        <f t="shared" ca="1" si="354"/>
        <v>1E-4</v>
      </c>
      <c r="B776" s="304">
        <f t="shared" ca="1" si="355"/>
        <v>35.805400000000375</v>
      </c>
      <c r="D776" s="306">
        <f t="shared" ca="1" si="356"/>
        <v>-0.42736510083200785</v>
      </c>
      <c r="E776" s="307">
        <f t="shared" ca="1" si="357"/>
        <v>-2.3770088249338812</v>
      </c>
      <c r="F776" s="304">
        <f t="shared" ca="1" si="358"/>
        <v>2.4151215048569923</v>
      </c>
      <c r="G776" s="306">
        <f t="shared" ca="1" si="359"/>
        <v>7.2291900904326747</v>
      </c>
      <c r="H776" s="307">
        <f t="shared" ca="1" si="360"/>
        <v>-125.73540816882938</v>
      </c>
      <c r="I776" s="304">
        <f t="shared" ca="1" si="361"/>
        <v>125.9430587874764</v>
      </c>
      <c r="J776" s="306">
        <f t="shared" ca="1" si="362"/>
        <v>468.65916031958193</v>
      </c>
      <c r="K776" s="307">
        <f t="shared" ca="1" si="363"/>
        <v>-7.4604991520045143</v>
      </c>
      <c r="L776" s="304">
        <f t="shared" ca="1" si="348"/>
        <v>468.71853771645584</v>
      </c>
      <c r="M776" s="306">
        <f t="shared" ca="1" si="364"/>
        <v>-1.5133642947094574</v>
      </c>
      <c r="N776" s="304">
        <f t="shared" ca="1" si="365"/>
        <v>-86.709386952644408</v>
      </c>
      <c r="P776" s="310">
        <f t="shared" ca="1" si="366"/>
        <v>23</v>
      </c>
      <c r="Q776" s="304">
        <f t="shared" ca="1" si="367"/>
        <v>0</v>
      </c>
      <c r="R776" s="306">
        <f t="shared" ca="1" si="368"/>
        <v>0</v>
      </c>
      <c r="S776" s="307">
        <f t="shared" ca="1" si="369"/>
        <v>7.9789999999999939</v>
      </c>
      <c r="T776" s="304">
        <f t="shared" ca="1" si="349"/>
        <v>78.273989999999941</v>
      </c>
      <c r="U776" s="311">
        <f t="shared" ca="1" si="350"/>
        <v>0</v>
      </c>
      <c r="V776" s="306">
        <f t="shared" ca="1" si="351"/>
        <v>1.2259142521850031</v>
      </c>
      <c r="W776" s="304">
        <f t="shared" ca="1" si="352"/>
        <v>59.406080593199391</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2.3485584867579039</v>
      </c>
      <c r="AH776" s="304">
        <f t="shared" ca="1" si="376"/>
        <v>-7.4452668681532135</v>
      </c>
    </row>
    <row r="777" spans="1:34" x14ac:dyDescent="0.2">
      <c r="A777" s="347">
        <f t="shared" ca="1" si="354"/>
        <v>1E-4</v>
      </c>
      <c r="B777" s="304">
        <f t="shared" ca="1" si="355"/>
        <v>35.805500000000379</v>
      </c>
      <c r="D777" s="306">
        <f t="shared" ca="1" si="356"/>
        <v>-0.4273639086948478</v>
      </c>
      <c r="E777" s="307">
        <f t="shared" ca="1" si="357"/>
        <v>-2.376971566083574</v>
      </c>
      <c r="F777" s="304">
        <f t="shared" ca="1" si="358"/>
        <v>2.4150846230359582</v>
      </c>
      <c r="G777" s="306">
        <f t="shared" ca="1" si="359"/>
        <v>7.229147354041805</v>
      </c>
      <c r="H777" s="307">
        <f t="shared" ca="1" si="360"/>
        <v>-125.73564586598599</v>
      </c>
      <c r="I777" s="304">
        <f t="shared" ca="1" si="361"/>
        <v>125.94329363964994</v>
      </c>
      <c r="J777" s="306">
        <f t="shared" ca="1" si="362"/>
        <v>468.65916031958193</v>
      </c>
      <c r="K777" s="307">
        <f t="shared" ca="1" si="363"/>
        <v>-7.4730727047062553</v>
      </c>
      <c r="L777" s="304">
        <f t="shared" ca="1" si="348"/>
        <v>468.71873801577999</v>
      </c>
      <c r="M777" s="306">
        <f t="shared" ca="1" si="364"/>
        <v>-1.5133647418142948</v>
      </c>
      <c r="N777" s="304">
        <f t="shared" ca="1" si="365"/>
        <v>-86.709412569864597</v>
      </c>
      <c r="P777" s="310">
        <f t="shared" ca="1" si="366"/>
        <v>23</v>
      </c>
      <c r="Q777" s="304">
        <f t="shared" ca="1" si="367"/>
        <v>0</v>
      </c>
      <c r="R777" s="306">
        <f t="shared" ca="1" si="368"/>
        <v>0</v>
      </c>
      <c r="S777" s="307">
        <f t="shared" ca="1" si="369"/>
        <v>7.9789999999999939</v>
      </c>
      <c r="T777" s="304">
        <f t="shared" ca="1" si="349"/>
        <v>78.273989999999941</v>
      </c>
      <c r="U777" s="311">
        <f t="shared" ca="1" si="350"/>
        <v>0</v>
      </c>
      <c r="V777" s="306">
        <f t="shared" ca="1" si="351"/>
        <v>1.2259157935959328</v>
      </c>
      <c r="W777" s="304">
        <f t="shared" ca="1" si="352"/>
        <v>59.406376843130886</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2.3485216095361849</v>
      </c>
      <c r="AH777" s="304">
        <f t="shared" ca="1" si="376"/>
        <v>-7.4453039971424282</v>
      </c>
    </row>
    <row r="778" spans="1:34" x14ac:dyDescent="0.2">
      <c r="A778" s="347">
        <f t="shared" ca="1" si="354"/>
        <v>1E-4</v>
      </c>
      <c r="B778" s="304">
        <f t="shared" ca="1" si="355"/>
        <v>35.805600000000382</v>
      </c>
      <c r="D778" s="306">
        <f t="shared" ca="1" si="356"/>
        <v>-0.4273627165401398</v>
      </c>
      <c r="E778" s="307">
        <f t="shared" ca="1" si="357"/>
        <v>-2.3769343075191482</v>
      </c>
      <c r="F778" s="304">
        <f t="shared" ca="1" si="358"/>
        <v>2.4150477415053517</v>
      </c>
      <c r="G778" s="306">
        <f t="shared" ca="1" si="359"/>
        <v>7.229104617770151</v>
      </c>
      <c r="H778" s="307">
        <f t="shared" ca="1" si="360"/>
        <v>-125.73588355941673</v>
      </c>
      <c r="I778" s="304">
        <f t="shared" ca="1" si="361"/>
        <v>125.94352848813577</v>
      </c>
      <c r="J778" s="306">
        <f t="shared" ca="1" si="362"/>
        <v>468.65916031958193</v>
      </c>
      <c r="K778" s="307">
        <f t="shared" ca="1" si="363"/>
        <v>-7.4856462811775257</v>
      </c>
      <c r="L778" s="304">
        <f t="shared" ca="1" si="348"/>
        <v>468.71893865268822</v>
      </c>
      <c r="M778" s="306">
        <f t="shared" ca="1" si="364"/>
        <v>-1.5133651889148212</v>
      </c>
      <c r="N778" s="304">
        <f t="shared" ca="1" si="365"/>
        <v>-86.709438186837772</v>
      </c>
      <c r="P778" s="310">
        <f t="shared" ca="1" si="366"/>
        <v>23</v>
      </c>
      <c r="Q778" s="304">
        <f t="shared" ca="1" si="367"/>
        <v>0</v>
      </c>
      <c r="R778" s="306">
        <f t="shared" ca="1" si="368"/>
        <v>0</v>
      </c>
      <c r="S778" s="307">
        <f t="shared" ca="1" si="369"/>
        <v>7.9789999999999939</v>
      </c>
      <c r="T778" s="304">
        <f t="shared" ca="1" si="349"/>
        <v>78.273989999999941</v>
      </c>
      <c r="U778" s="311">
        <f t="shared" ca="1" si="350"/>
        <v>0</v>
      </c>
      <c r="V778" s="306">
        <f t="shared" ca="1" si="351"/>
        <v>1.2259173350117152</v>
      </c>
      <c r="W778" s="304">
        <f t="shared" ca="1" si="352"/>
        <v>59.4066730907889</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2.3484847325950087</v>
      </c>
      <c r="AH778" s="304">
        <f t="shared" ca="1" si="376"/>
        <v>-7.4453411258467144</v>
      </c>
    </row>
    <row r="779" spans="1:34" x14ac:dyDescent="0.2">
      <c r="A779" s="347">
        <f t="shared" ca="1" si="354"/>
        <v>1E-4</v>
      </c>
      <c r="B779" s="304">
        <f t="shared" ca="1" si="355"/>
        <v>35.805700000000385</v>
      </c>
      <c r="D779" s="306">
        <f t="shared" ca="1" si="356"/>
        <v>-0.42736152436788921</v>
      </c>
      <c r="E779" s="307">
        <f t="shared" ca="1" si="357"/>
        <v>-2.3768970492406085</v>
      </c>
      <c r="F779" s="304">
        <f t="shared" ca="1" si="358"/>
        <v>2.4150108602651787</v>
      </c>
      <c r="G779" s="306">
        <f t="shared" ca="1" si="359"/>
        <v>7.2290618816177146</v>
      </c>
      <c r="H779" s="307">
        <f t="shared" ca="1" si="360"/>
        <v>-125.73612124912165</v>
      </c>
      <c r="I779" s="304">
        <f t="shared" ca="1" si="361"/>
        <v>125.94376333293395</v>
      </c>
      <c r="J779" s="306">
        <f t="shared" ca="1" si="362"/>
        <v>468.65916031958193</v>
      </c>
      <c r="K779" s="307">
        <f t="shared" ca="1" si="363"/>
        <v>-7.4982198814179526</v>
      </c>
      <c r="L779" s="304">
        <f t="shared" ca="1" si="348"/>
        <v>468.71913962718196</v>
      </c>
      <c r="M779" s="306">
        <f t="shared" ca="1" si="364"/>
        <v>-1.5133656360110375</v>
      </c>
      <c r="N779" s="304">
        <f t="shared" ca="1" si="365"/>
        <v>-86.709463803564006</v>
      </c>
      <c r="P779" s="310">
        <f t="shared" ca="1" si="366"/>
        <v>23</v>
      </c>
      <c r="Q779" s="304">
        <f t="shared" ca="1" si="367"/>
        <v>0</v>
      </c>
      <c r="R779" s="306">
        <f t="shared" ca="1" si="368"/>
        <v>0</v>
      </c>
      <c r="S779" s="307">
        <f t="shared" ca="1" si="369"/>
        <v>7.9789999999999939</v>
      </c>
      <c r="T779" s="304">
        <f t="shared" ca="1" si="349"/>
        <v>78.273989999999941</v>
      </c>
      <c r="U779" s="311">
        <f t="shared" ca="1" si="350"/>
        <v>0</v>
      </c>
      <c r="V779" s="306">
        <f t="shared" ca="1" si="351"/>
        <v>1.2259188764323505</v>
      </c>
      <c r="W779" s="304">
        <f t="shared" ca="1" si="352"/>
        <v>59.406969336173482</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2.3484478559343822</v>
      </c>
      <c r="AH779" s="304">
        <f t="shared" ca="1" si="376"/>
        <v>-7.4453782542660667</v>
      </c>
    </row>
    <row r="780" spans="1:34" x14ac:dyDescent="0.2">
      <c r="A780" s="347">
        <f t="shared" ca="1" si="354"/>
        <v>1E-4</v>
      </c>
      <c r="B780" s="304">
        <f t="shared" ca="1" si="355"/>
        <v>35.805800000000389</v>
      </c>
      <c r="D780" s="306">
        <f t="shared" ca="1" si="356"/>
        <v>-0.42736033217809072</v>
      </c>
      <c r="E780" s="307">
        <f t="shared" ca="1" si="357"/>
        <v>-2.3768597912479486</v>
      </c>
      <c r="F780" s="304">
        <f t="shared" ca="1" si="358"/>
        <v>2.4149739793154312</v>
      </c>
      <c r="G780" s="306">
        <f t="shared" ca="1" si="359"/>
        <v>7.2290191455844965</v>
      </c>
      <c r="H780" s="307">
        <f t="shared" ca="1" si="360"/>
        <v>-125.73635893510078</v>
      </c>
      <c r="I780" s="304">
        <f t="shared" ca="1" si="361"/>
        <v>125.94399817404451</v>
      </c>
      <c r="J780" s="306">
        <f t="shared" ca="1" si="362"/>
        <v>468.65916031958193</v>
      </c>
      <c r="K780" s="307">
        <f t="shared" ca="1" si="363"/>
        <v>-7.5107935054271637</v>
      </c>
      <c r="L780" s="304">
        <f t="shared" ca="1" si="348"/>
        <v>468.71934093926268</v>
      </c>
      <c r="M780" s="306">
        <f t="shared" ca="1" si="364"/>
        <v>-1.513366083102943</v>
      </c>
      <c r="N780" s="304">
        <f t="shared" ca="1" si="365"/>
        <v>-86.709489420043241</v>
      </c>
      <c r="P780" s="310">
        <f t="shared" ca="1" si="366"/>
        <v>23</v>
      </c>
      <c r="Q780" s="304">
        <f t="shared" ca="1" si="367"/>
        <v>0</v>
      </c>
      <c r="R780" s="306">
        <f t="shared" ca="1" si="368"/>
        <v>0</v>
      </c>
      <c r="S780" s="307">
        <f t="shared" ca="1" si="369"/>
        <v>7.9789999999999939</v>
      </c>
      <c r="T780" s="304">
        <f t="shared" ca="1" si="349"/>
        <v>78.273989999999941</v>
      </c>
      <c r="U780" s="311">
        <f t="shared" ca="1" si="350"/>
        <v>0</v>
      </c>
      <c r="V780" s="306">
        <f t="shared" ca="1" si="351"/>
        <v>1.2259204178578382</v>
      </c>
      <c r="W780" s="304">
        <f t="shared" ca="1" si="352"/>
        <v>59.407265579284569</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2.3484109795542949</v>
      </c>
      <c r="AH780" s="304">
        <f t="shared" ca="1" si="376"/>
        <v>-7.4454153824004923</v>
      </c>
    </row>
    <row r="781" spans="1:34" x14ac:dyDescent="0.2">
      <c r="A781" s="347">
        <f t="shared" ca="1" si="354"/>
        <v>1E-4</v>
      </c>
      <c r="B781" s="304">
        <f t="shared" ca="1" si="355"/>
        <v>35.805900000000392</v>
      </c>
      <c r="D781" s="306">
        <f t="shared" ca="1" si="356"/>
        <v>-0.42735913997074976</v>
      </c>
      <c r="E781" s="307">
        <f t="shared" ca="1" si="357"/>
        <v>-2.3768225335411755</v>
      </c>
      <c r="F781" s="304">
        <f t="shared" ca="1" si="358"/>
        <v>2.4149370986561185</v>
      </c>
      <c r="G781" s="306">
        <f t="shared" ca="1" si="359"/>
        <v>7.2289764096704996</v>
      </c>
      <c r="H781" s="307">
        <f t="shared" ca="1" si="360"/>
        <v>-125.73659661735414</v>
      </c>
      <c r="I781" s="304">
        <f t="shared" ca="1" si="361"/>
        <v>125.94423301146743</v>
      </c>
      <c r="J781" s="306">
        <f t="shared" ca="1" si="362"/>
        <v>468.65916031958193</v>
      </c>
      <c r="K781" s="307">
        <f t="shared" ca="1" si="363"/>
        <v>-7.5233671532047861</v>
      </c>
      <c r="L781" s="304">
        <f t="shared" ca="1" si="348"/>
        <v>468.71954258893186</v>
      </c>
      <c r="M781" s="306">
        <f t="shared" ca="1" si="364"/>
        <v>-1.5133665301905384</v>
      </c>
      <c r="N781" s="304">
        <f t="shared" ca="1" si="365"/>
        <v>-86.709515036275533</v>
      </c>
      <c r="P781" s="310">
        <f t="shared" ca="1" si="366"/>
        <v>23</v>
      </c>
      <c r="Q781" s="304">
        <f t="shared" ca="1" si="367"/>
        <v>0</v>
      </c>
      <c r="R781" s="306">
        <f t="shared" ca="1" si="368"/>
        <v>0</v>
      </c>
      <c r="S781" s="307">
        <f t="shared" ca="1" si="369"/>
        <v>7.9789999999999939</v>
      </c>
      <c r="T781" s="304">
        <f t="shared" ca="1" si="349"/>
        <v>78.273989999999941</v>
      </c>
      <c r="U781" s="311">
        <f t="shared" ca="1" si="350"/>
        <v>0</v>
      </c>
      <c r="V781" s="306">
        <f t="shared" ca="1" si="351"/>
        <v>1.2259219592881787</v>
      </c>
      <c r="W781" s="304">
        <f t="shared" ca="1" si="352"/>
        <v>59.407561820122169</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2.3483741034547601</v>
      </c>
      <c r="AH781" s="304">
        <f t="shared" ca="1" si="376"/>
        <v>-7.4454525102499831</v>
      </c>
    </row>
    <row r="782" spans="1:34" x14ac:dyDescent="0.2">
      <c r="A782" s="347">
        <f t="shared" ca="1" si="354"/>
        <v>1E-4</v>
      </c>
      <c r="B782" s="304">
        <f t="shared" ca="1" si="355"/>
        <v>35.806000000000395</v>
      </c>
      <c r="D782" s="306">
        <f t="shared" ca="1" si="356"/>
        <v>-0.42735794774586222</v>
      </c>
      <c r="E782" s="307">
        <f t="shared" ca="1" si="357"/>
        <v>-2.3767852761202883</v>
      </c>
      <c r="F782" s="304">
        <f t="shared" ca="1" si="358"/>
        <v>2.4149002182872379</v>
      </c>
      <c r="G782" s="306">
        <f t="shared" ca="1" si="359"/>
        <v>7.2289336738757246</v>
      </c>
      <c r="H782" s="307">
        <f t="shared" ca="1" si="360"/>
        <v>-125.73683429588175</v>
      </c>
      <c r="I782" s="304">
        <f t="shared" ca="1" si="361"/>
        <v>125.94446784520279</v>
      </c>
      <c r="J782" s="306">
        <f t="shared" ca="1" si="362"/>
        <v>468.65916031958193</v>
      </c>
      <c r="K782" s="307">
        <f t="shared" ca="1" si="363"/>
        <v>-7.5359408247504476</v>
      </c>
      <c r="L782" s="304">
        <f t="shared" ca="1" si="348"/>
        <v>468.71974457619098</v>
      </c>
      <c r="M782" s="306">
        <f t="shared" ca="1" si="364"/>
        <v>-1.5133669772738232</v>
      </c>
      <c r="N782" s="304">
        <f t="shared" ca="1" si="365"/>
        <v>-86.709540652260841</v>
      </c>
      <c r="P782" s="310">
        <f t="shared" ca="1" si="366"/>
        <v>23</v>
      </c>
      <c r="Q782" s="304">
        <f t="shared" ca="1" si="367"/>
        <v>0</v>
      </c>
      <c r="R782" s="306">
        <f t="shared" ca="1" si="368"/>
        <v>0</v>
      </c>
      <c r="S782" s="307">
        <f t="shared" ca="1" si="369"/>
        <v>7.9789999999999939</v>
      </c>
      <c r="T782" s="304">
        <f t="shared" ca="1" si="349"/>
        <v>78.273989999999941</v>
      </c>
      <c r="U782" s="311">
        <f t="shared" ca="1" si="350"/>
        <v>0</v>
      </c>
      <c r="V782" s="306">
        <f t="shared" ca="1" si="351"/>
        <v>1.2259235007233722</v>
      </c>
      <c r="W782" s="304">
        <f t="shared" ca="1" si="352"/>
        <v>59.40785805868633</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2.348337227635775</v>
      </c>
      <c r="AH782" s="304">
        <f t="shared" ca="1" si="376"/>
        <v>-7.4454896378145401</v>
      </c>
    </row>
    <row r="783" spans="1:34" x14ac:dyDescent="0.2">
      <c r="A783" s="347">
        <f t="shared" ca="1" si="354"/>
        <v>1E-4</v>
      </c>
      <c r="B783" s="304">
        <f t="shared" ca="1" si="355"/>
        <v>35.806100000000399</v>
      </c>
      <c r="D783" s="306">
        <f t="shared" ca="1" si="356"/>
        <v>-0.42735675550343266</v>
      </c>
      <c r="E783" s="307">
        <f t="shared" ca="1" si="357"/>
        <v>-2.3767480189852828</v>
      </c>
      <c r="F783" s="304">
        <f t="shared" ca="1" si="358"/>
        <v>2.4148633382087872</v>
      </c>
      <c r="G783" s="306">
        <f t="shared" ca="1" si="359"/>
        <v>7.2288909382001743</v>
      </c>
      <c r="H783" s="307">
        <f t="shared" ca="1" si="360"/>
        <v>-125.73707197068364</v>
      </c>
      <c r="I783" s="304">
        <f t="shared" ca="1" si="361"/>
        <v>125.94470267525058</v>
      </c>
      <c r="J783" s="306">
        <f t="shared" ca="1" si="362"/>
        <v>468.65916031958193</v>
      </c>
      <c r="K783" s="307">
        <f t="shared" ca="1" si="363"/>
        <v>-7.548514520063776</v>
      </c>
      <c r="L783" s="304">
        <f t="shared" ca="1" si="348"/>
        <v>468.71994690104151</v>
      </c>
      <c r="M783" s="306">
        <f t="shared" ca="1" si="364"/>
        <v>-1.5133674243527979</v>
      </c>
      <c r="N783" s="304">
        <f t="shared" ca="1" si="365"/>
        <v>-86.709566267999207</v>
      </c>
      <c r="P783" s="310">
        <f t="shared" ca="1" si="366"/>
        <v>23</v>
      </c>
      <c r="Q783" s="304">
        <f t="shared" ca="1" si="367"/>
        <v>0</v>
      </c>
      <c r="R783" s="306">
        <f t="shared" ca="1" si="368"/>
        <v>0</v>
      </c>
      <c r="S783" s="307">
        <f t="shared" ca="1" si="369"/>
        <v>7.9789999999999939</v>
      </c>
      <c r="T783" s="304">
        <f t="shared" ca="1" si="349"/>
        <v>78.273989999999941</v>
      </c>
      <c r="U783" s="311">
        <f t="shared" ca="1" si="350"/>
        <v>0</v>
      </c>
      <c r="V783" s="306">
        <f t="shared" ca="1" si="351"/>
        <v>1.2259250421634182</v>
      </c>
      <c r="W783" s="304">
        <f t="shared" ca="1" si="352"/>
        <v>59.408154294976974</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2.34830035209733</v>
      </c>
      <c r="AH783" s="304">
        <f t="shared" ca="1" si="376"/>
        <v>-7.4455267650941694</v>
      </c>
    </row>
    <row r="784" spans="1:34" x14ac:dyDescent="0.2">
      <c r="A784" s="347">
        <f t="shared" ca="1" si="354"/>
        <v>1E-4</v>
      </c>
      <c r="B784" s="304">
        <f t="shared" ca="1" si="355"/>
        <v>35.806200000000402</v>
      </c>
      <c r="D784" s="306">
        <f t="shared" ca="1" si="356"/>
        <v>-0.42735556324345797</v>
      </c>
      <c r="E784" s="307">
        <f t="shared" ca="1" si="357"/>
        <v>-2.3767107621361667</v>
      </c>
      <c r="F784" s="304">
        <f t="shared" ca="1" si="358"/>
        <v>2.4148264584207726</v>
      </c>
      <c r="G784" s="306">
        <f t="shared" ca="1" si="359"/>
        <v>7.2288482026438503</v>
      </c>
      <c r="H784" s="307">
        <f t="shared" ca="1" si="360"/>
        <v>-125.73730964175986</v>
      </c>
      <c r="I784" s="304">
        <f t="shared" ca="1" si="361"/>
        <v>125.94493750161087</v>
      </c>
      <c r="J784" s="306">
        <f t="shared" ca="1" si="362"/>
        <v>468.65916031958193</v>
      </c>
      <c r="K784" s="307">
        <f t="shared" ca="1" si="363"/>
        <v>-7.5610882391443983</v>
      </c>
      <c r="L784" s="304">
        <f t="shared" ca="1" si="348"/>
        <v>468.72014956348499</v>
      </c>
      <c r="M784" s="306">
        <f t="shared" ca="1" si="364"/>
        <v>-1.5133678714274623</v>
      </c>
      <c r="N784" s="304">
        <f t="shared" ca="1" si="365"/>
        <v>-86.709591883490603</v>
      </c>
      <c r="P784" s="310">
        <f t="shared" ca="1" si="366"/>
        <v>23</v>
      </c>
      <c r="Q784" s="304">
        <f t="shared" ca="1" si="367"/>
        <v>0</v>
      </c>
      <c r="R784" s="306">
        <f t="shared" ca="1" si="368"/>
        <v>0</v>
      </c>
      <c r="S784" s="307">
        <f t="shared" ca="1" si="369"/>
        <v>7.9789999999999939</v>
      </c>
      <c r="T784" s="304">
        <f t="shared" ca="1" si="349"/>
        <v>78.273989999999941</v>
      </c>
      <c r="U784" s="311">
        <f t="shared" ca="1" si="350"/>
        <v>0</v>
      </c>
      <c r="V784" s="306">
        <f t="shared" ca="1" si="351"/>
        <v>1.2259265836083164</v>
      </c>
      <c r="W784" s="304">
        <f t="shared" ca="1" si="352"/>
        <v>59.408450528994145</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2.348263476839441</v>
      </c>
      <c r="AH784" s="304">
        <f t="shared" ca="1" si="376"/>
        <v>-7.4455638920888605</v>
      </c>
    </row>
    <row r="785" spans="1:34" x14ac:dyDescent="0.2">
      <c r="A785" s="347">
        <f t="shared" ca="1" si="354"/>
        <v>1E-4</v>
      </c>
      <c r="B785" s="304">
        <f t="shared" ca="1" si="355"/>
        <v>35.806300000000405</v>
      </c>
      <c r="D785" s="306">
        <f t="shared" ca="1" si="356"/>
        <v>-0.42735437096594114</v>
      </c>
      <c r="E785" s="307">
        <f t="shared" ca="1" si="357"/>
        <v>-2.3766735055729349</v>
      </c>
      <c r="F785" s="304">
        <f t="shared" ca="1" si="358"/>
        <v>2.4147895789231901</v>
      </c>
      <c r="G785" s="306">
        <f t="shared" ca="1" si="359"/>
        <v>7.2288054672067537</v>
      </c>
      <c r="H785" s="307">
        <f t="shared" ca="1" si="360"/>
        <v>-125.73754730911043</v>
      </c>
      <c r="I785" s="304">
        <f t="shared" ca="1" si="361"/>
        <v>125.94517232428363</v>
      </c>
      <c r="J785" s="306">
        <f t="shared" ca="1" si="362"/>
        <v>468.65916031958193</v>
      </c>
      <c r="K785" s="307">
        <f t="shared" ca="1" si="363"/>
        <v>-7.5736619819919415</v>
      </c>
      <c r="L785" s="304">
        <f t="shared" ca="1" si="348"/>
        <v>468.72035256352274</v>
      </c>
      <c r="M785" s="306">
        <f t="shared" ca="1" si="364"/>
        <v>-1.5133683184978168</v>
      </c>
      <c r="N785" s="304">
        <f t="shared" ca="1" si="365"/>
        <v>-86.709617498735057</v>
      </c>
      <c r="P785" s="310">
        <f t="shared" ca="1" si="366"/>
        <v>23</v>
      </c>
      <c r="Q785" s="304">
        <f t="shared" ca="1" si="367"/>
        <v>0</v>
      </c>
      <c r="R785" s="306">
        <f t="shared" ca="1" si="368"/>
        <v>0</v>
      </c>
      <c r="S785" s="307">
        <f t="shared" ca="1" si="369"/>
        <v>7.9789999999999939</v>
      </c>
      <c r="T785" s="304">
        <f t="shared" ca="1" si="349"/>
        <v>78.273989999999941</v>
      </c>
      <c r="U785" s="311">
        <f t="shared" ca="1" si="350"/>
        <v>0</v>
      </c>
      <c r="V785" s="306">
        <f t="shared" ca="1" si="351"/>
        <v>1.2259281250580671</v>
      </c>
      <c r="W785" s="304">
        <f t="shared" ca="1" si="352"/>
        <v>59.408746760737806</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2.3482266018620974</v>
      </c>
      <c r="AH785" s="304">
        <f t="shared" ca="1" si="376"/>
        <v>-7.4456010187986204</v>
      </c>
    </row>
    <row r="786" spans="1:34" x14ac:dyDescent="0.2">
      <c r="A786" s="347">
        <f t="shared" ca="1" si="354"/>
        <v>1E-4</v>
      </c>
      <c r="B786" s="304">
        <f t="shared" ca="1" si="355"/>
        <v>35.806400000000409</v>
      </c>
      <c r="D786" s="306">
        <f t="shared" ca="1" si="356"/>
        <v>-0.42735317867087935</v>
      </c>
      <c r="E786" s="307">
        <f t="shared" ca="1" si="357"/>
        <v>-2.3766362492955935</v>
      </c>
      <c r="F786" s="304">
        <f t="shared" ca="1" si="358"/>
        <v>2.4147526997160456</v>
      </c>
      <c r="G786" s="306">
        <f t="shared" ca="1" si="359"/>
        <v>7.228762731888887</v>
      </c>
      <c r="H786" s="307">
        <f t="shared" ca="1" si="360"/>
        <v>-125.73778497273535</v>
      </c>
      <c r="I786" s="304">
        <f t="shared" ca="1" si="361"/>
        <v>125.94540714326894</v>
      </c>
      <c r="J786" s="306">
        <f t="shared" ca="1" si="362"/>
        <v>468.65916031958193</v>
      </c>
      <c r="K786" s="307">
        <f t="shared" ca="1" si="363"/>
        <v>-7.5862357486060334</v>
      </c>
      <c r="L786" s="304">
        <f t="shared" ca="1" si="348"/>
        <v>468.72055590115633</v>
      </c>
      <c r="M786" s="306">
        <f t="shared" ca="1" si="364"/>
        <v>-1.513368765563861</v>
      </c>
      <c r="N786" s="304">
        <f t="shared" ca="1" si="365"/>
        <v>-86.709643113732554</v>
      </c>
      <c r="P786" s="310">
        <f t="shared" ca="1" si="366"/>
        <v>23</v>
      </c>
      <c r="Q786" s="304">
        <f t="shared" ca="1" si="367"/>
        <v>0</v>
      </c>
      <c r="R786" s="306">
        <f t="shared" ca="1" si="368"/>
        <v>0</v>
      </c>
      <c r="S786" s="307">
        <f t="shared" ca="1" si="369"/>
        <v>7.9789999999999939</v>
      </c>
      <c r="T786" s="304">
        <f t="shared" ca="1" si="349"/>
        <v>78.273989999999941</v>
      </c>
      <c r="U786" s="311">
        <f t="shared" ca="1" si="350"/>
        <v>0</v>
      </c>
      <c r="V786" s="306">
        <f t="shared" ca="1" si="351"/>
        <v>1.2259296665126711</v>
      </c>
      <c r="W786" s="304">
        <f t="shared" ca="1" si="352"/>
        <v>59.409042990208015</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2.3481897271653072</v>
      </c>
      <c r="AH786" s="304">
        <f t="shared" ca="1" si="376"/>
        <v>-7.4456381452234428</v>
      </c>
    </row>
    <row r="787" spans="1:34" x14ac:dyDescent="0.2">
      <c r="A787" s="347">
        <f t="shared" ca="1" si="354"/>
        <v>1E-4</v>
      </c>
      <c r="B787" s="304">
        <f t="shared" ca="1" si="355"/>
        <v>35.806500000000412</v>
      </c>
      <c r="D787" s="306">
        <f t="shared" ca="1" si="356"/>
        <v>-0.4273519863582772</v>
      </c>
      <c r="E787" s="307">
        <f t="shared" ca="1" si="357"/>
        <v>-2.3765989933041336</v>
      </c>
      <c r="F787" s="304">
        <f t="shared" ca="1" si="358"/>
        <v>2.4147158207993309</v>
      </c>
      <c r="G787" s="306">
        <f t="shared" ca="1" si="359"/>
        <v>7.2287199966902511</v>
      </c>
      <c r="H787" s="307">
        <f t="shared" ca="1" si="360"/>
        <v>-125.73802263263468</v>
      </c>
      <c r="I787" s="304">
        <f t="shared" ca="1" si="361"/>
        <v>125.9456419585668</v>
      </c>
      <c r="J787" s="306">
        <f t="shared" ca="1" si="362"/>
        <v>468.65916031958193</v>
      </c>
      <c r="K787" s="307">
        <f t="shared" ca="1" si="363"/>
        <v>-7.598809538986302</v>
      </c>
      <c r="L787" s="304">
        <f t="shared" ca="1" si="348"/>
        <v>468.7207595763872</v>
      </c>
      <c r="M787" s="306">
        <f t="shared" ca="1" si="364"/>
        <v>-1.5133692126255953</v>
      </c>
      <c r="N787" s="304">
        <f t="shared" ca="1" si="365"/>
        <v>-86.709668728483109</v>
      </c>
      <c r="P787" s="310">
        <f t="shared" ca="1" si="366"/>
        <v>23</v>
      </c>
      <c r="Q787" s="304">
        <f t="shared" ca="1" si="367"/>
        <v>0</v>
      </c>
      <c r="R787" s="306">
        <f t="shared" ca="1" si="368"/>
        <v>0</v>
      </c>
      <c r="S787" s="307">
        <f t="shared" ca="1" si="369"/>
        <v>7.9789999999999939</v>
      </c>
      <c r="T787" s="304">
        <f t="shared" ca="1" si="349"/>
        <v>78.273989999999941</v>
      </c>
      <c r="U787" s="311">
        <f t="shared" ca="1" si="350"/>
        <v>0</v>
      </c>
      <c r="V787" s="306">
        <f t="shared" ca="1" si="351"/>
        <v>1.2259312079721272</v>
      </c>
      <c r="W787" s="304">
        <f t="shared" ca="1" si="352"/>
        <v>59.409339217404693</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2.3481528527490623</v>
      </c>
      <c r="AH787" s="304">
        <f t="shared" ca="1" si="376"/>
        <v>-7.4456752713633358</v>
      </c>
    </row>
    <row r="788" spans="1:34" x14ac:dyDescent="0.2">
      <c r="A788" s="347">
        <f t="shared" ca="1" si="354"/>
        <v>1E-4</v>
      </c>
      <c r="B788" s="304">
        <f t="shared" ca="1" si="355"/>
        <v>35.806600000000415</v>
      </c>
      <c r="D788" s="306">
        <f t="shared" ca="1" si="356"/>
        <v>-0.42735079402813186</v>
      </c>
      <c r="E788" s="307">
        <f t="shared" ca="1" si="357"/>
        <v>-2.376561737598565</v>
      </c>
      <c r="F788" s="304">
        <f t="shared" ca="1" si="358"/>
        <v>2.4146789421730555</v>
      </c>
      <c r="G788" s="306">
        <f t="shared" ca="1" si="359"/>
        <v>7.2286772616108479</v>
      </c>
      <c r="H788" s="307">
        <f t="shared" ca="1" si="360"/>
        <v>-125.73826028880845</v>
      </c>
      <c r="I788" s="304">
        <f t="shared" ca="1" si="361"/>
        <v>125.94587677017725</v>
      </c>
      <c r="J788" s="306">
        <f t="shared" ca="1" si="362"/>
        <v>468.65916031958193</v>
      </c>
      <c r="K788" s="307">
        <f t="shared" ca="1" si="363"/>
        <v>-7.611383353132374</v>
      </c>
      <c r="L788" s="304">
        <f t="shared" ca="1" si="348"/>
        <v>468.72096358921681</v>
      </c>
      <c r="M788" s="306">
        <f t="shared" ca="1" si="364"/>
        <v>-1.5133696596830195</v>
      </c>
      <c r="N788" s="304">
        <f t="shared" ca="1" si="365"/>
        <v>-86.709694342986722</v>
      </c>
      <c r="P788" s="310">
        <f t="shared" ca="1" si="366"/>
        <v>23</v>
      </c>
      <c r="Q788" s="304">
        <f t="shared" ca="1" si="367"/>
        <v>0</v>
      </c>
      <c r="R788" s="306">
        <f t="shared" ca="1" si="368"/>
        <v>0</v>
      </c>
      <c r="S788" s="307">
        <f t="shared" ca="1" si="369"/>
        <v>7.9789999999999939</v>
      </c>
      <c r="T788" s="304">
        <f t="shared" ca="1" si="349"/>
        <v>78.273989999999941</v>
      </c>
      <c r="U788" s="311">
        <f t="shared" ca="1" si="350"/>
        <v>0</v>
      </c>
      <c r="V788" s="306">
        <f t="shared" ca="1" si="351"/>
        <v>1.2259327494364352</v>
      </c>
      <c r="W788" s="304">
        <f t="shared" ca="1" si="352"/>
        <v>59.409635442327861</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2.3481159786133716</v>
      </c>
      <c r="AH788" s="304">
        <f t="shared" ca="1" si="376"/>
        <v>-7.4457123972182906</v>
      </c>
    </row>
    <row r="789" spans="1:34" x14ac:dyDescent="0.2">
      <c r="A789" s="347">
        <f t="shared" ca="1" si="354"/>
        <v>1E-4</v>
      </c>
      <c r="B789" s="304">
        <f t="shared" ca="1" si="355"/>
        <v>35.806700000000419</v>
      </c>
      <c r="D789" s="306">
        <f t="shared" ca="1" si="356"/>
        <v>-0.42734960168044572</v>
      </c>
      <c r="E789" s="307">
        <f t="shared" ca="1" si="357"/>
        <v>-2.3765244821788869</v>
      </c>
      <c r="F789" s="304">
        <f t="shared" ca="1" si="358"/>
        <v>2.4146420638372184</v>
      </c>
      <c r="G789" s="306">
        <f t="shared" ca="1" si="359"/>
        <v>7.22863452665068</v>
      </c>
      <c r="H789" s="307">
        <f t="shared" ca="1" si="360"/>
        <v>-125.73849794125667</v>
      </c>
      <c r="I789" s="304">
        <f t="shared" ca="1" si="361"/>
        <v>125.94611157810031</v>
      </c>
      <c r="J789" s="306">
        <f t="shared" ca="1" si="362"/>
        <v>468.65916031958193</v>
      </c>
      <c r="K789" s="307">
        <f t="shared" ca="1" si="363"/>
        <v>-7.6239571910438775</v>
      </c>
      <c r="L789" s="304">
        <f t="shared" ca="1" si="348"/>
        <v>468.72116793964665</v>
      </c>
      <c r="M789" s="306">
        <f t="shared" ca="1" si="364"/>
        <v>-1.513370106736134</v>
      </c>
      <c r="N789" s="304">
        <f t="shared" ca="1" si="365"/>
        <v>-86.709719957243394</v>
      </c>
      <c r="P789" s="310">
        <f t="shared" ca="1" si="366"/>
        <v>23</v>
      </c>
      <c r="Q789" s="304">
        <f t="shared" ca="1" si="367"/>
        <v>0</v>
      </c>
      <c r="R789" s="306">
        <f t="shared" ca="1" si="368"/>
        <v>0</v>
      </c>
      <c r="S789" s="307">
        <f t="shared" ca="1" si="369"/>
        <v>7.9789999999999939</v>
      </c>
      <c r="T789" s="304">
        <f t="shared" ca="1" si="349"/>
        <v>78.273989999999941</v>
      </c>
      <c r="U789" s="311">
        <f t="shared" ca="1" si="350"/>
        <v>0</v>
      </c>
      <c r="V789" s="306">
        <f t="shared" ca="1" si="351"/>
        <v>1.2259342909055964</v>
      </c>
      <c r="W789" s="304">
        <f t="shared" ca="1" si="352"/>
        <v>59.409931664977556</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2.3480791047582343</v>
      </c>
      <c r="AH789" s="304">
        <f t="shared" ca="1" si="376"/>
        <v>-7.4457495227883079</v>
      </c>
    </row>
    <row r="790" spans="1:34" x14ac:dyDescent="0.2">
      <c r="A790" s="347">
        <f t="shared" ca="1" si="354"/>
        <v>1E-4</v>
      </c>
      <c r="B790" s="304">
        <f t="shared" ca="1" si="355"/>
        <v>35.806800000000422</v>
      </c>
      <c r="D790" s="306">
        <f t="shared" ca="1" si="356"/>
        <v>-0.42734840931521673</v>
      </c>
      <c r="E790" s="307">
        <f t="shared" ca="1" si="357"/>
        <v>-2.3764872270450921</v>
      </c>
      <c r="F790" s="304">
        <f t="shared" ca="1" si="358"/>
        <v>2.4146051857918134</v>
      </c>
      <c r="G790" s="306">
        <f t="shared" ca="1" si="359"/>
        <v>7.2285917918097482</v>
      </c>
      <c r="H790" s="307">
        <f t="shared" ca="1" si="360"/>
        <v>-125.73873558997937</v>
      </c>
      <c r="I790" s="304">
        <f t="shared" ca="1" si="361"/>
        <v>125.94634638233602</v>
      </c>
      <c r="J790" s="306">
        <f t="shared" ca="1" si="362"/>
        <v>468.65916031958193</v>
      </c>
      <c r="K790" s="307">
        <f t="shared" ca="1" si="363"/>
        <v>-7.6365310527204393</v>
      </c>
      <c r="L790" s="304">
        <f t="shared" ca="1" si="348"/>
        <v>468.72137262767819</v>
      </c>
      <c r="M790" s="306">
        <f t="shared" ca="1" si="364"/>
        <v>-1.5133705537849387</v>
      </c>
      <c r="N790" s="304">
        <f t="shared" ca="1" si="365"/>
        <v>-86.709745571253137</v>
      </c>
      <c r="P790" s="310">
        <f t="shared" ca="1" si="366"/>
        <v>23</v>
      </c>
      <c r="Q790" s="304">
        <f t="shared" ca="1" si="367"/>
        <v>0</v>
      </c>
      <c r="R790" s="306">
        <f t="shared" ca="1" si="368"/>
        <v>0</v>
      </c>
      <c r="S790" s="307">
        <f t="shared" ca="1" si="369"/>
        <v>7.9789999999999939</v>
      </c>
      <c r="T790" s="304">
        <f t="shared" ca="1" si="349"/>
        <v>78.273989999999941</v>
      </c>
      <c r="U790" s="311">
        <f t="shared" ca="1" si="350"/>
        <v>0</v>
      </c>
      <c r="V790" s="306">
        <f t="shared" ca="1" si="351"/>
        <v>1.2259358323796099</v>
      </c>
      <c r="W790" s="304">
        <f t="shared" ca="1" si="352"/>
        <v>59.410227885353741</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2.3480422311836451</v>
      </c>
      <c r="AH790" s="304">
        <f t="shared" ca="1" si="376"/>
        <v>-7.4457866480733932</v>
      </c>
    </row>
    <row r="791" spans="1:34" x14ac:dyDescent="0.2">
      <c r="A791" s="347">
        <f t="shared" ca="1" si="354"/>
        <v>1E-4</v>
      </c>
      <c r="B791" s="304">
        <f t="shared" ca="1" si="355"/>
        <v>35.806900000000425</v>
      </c>
      <c r="D791" s="306">
        <f t="shared" ca="1" si="356"/>
        <v>-0.42734721693244709</v>
      </c>
      <c r="E791" s="307">
        <f t="shared" ca="1" si="357"/>
        <v>-2.3764499721971886</v>
      </c>
      <c r="F791" s="304">
        <f t="shared" ca="1" si="358"/>
        <v>2.4145683080368481</v>
      </c>
      <c r="G791" s="306">
        <f t="shared" ca="1" si="359"/>
        <v>7.2285490570880553</v>
      </c>
      <c r="H791" s="307">
        <f t="shared" ca="1" si="360"/>
        <v>-125.73897323497658</v>
      </c>
      <c r="I791" s="304">
        <f t="shared" ca="1" si="361"/>
        <v>125.94658118288437</v>
      </c>
      <c r="J791" s="306">
        <f t="shared" ca="1" si="362"/>
        <v>468.65916031958193</v>
      </c>
      <c r="K791" s="307">
        <f t="shared" ca="1" si="363"/>
        <v>-7.6491049381616874</v>
      </c>
      <c r="L791" s="304">
        <f t="shared" ca="1" si="348"/>
        <v>468.72157765331286</v>
      </c>
      <c r="M791" s="306">
        <f t="shared" ca="1" si="364"/>
        <v>-1.5133710008294334</v>
      </c>
      <c r="N791" s="304">
        <f t="shared" ca="1" si="365"/>
        <v>-86.709771185015938</v>
      </c>
      <c r="P791" s="310">
        <f t="shared" ca="1" si="366"/>
        <v>23</v>
      </c>
      <c r="Q791" s="304">
        <f t="shared" ca="1" si="367"/>
        <v>0</v>
      </c>
      <c r="R791" s="306">
        <f t="shared" ca="1" si="368"/>
        <v>0</v>
      </c>
      <c r="S791" s="307">
        <f t="shared" ca="1" si="369"/>
        <v>7.9789999999999939</v>
      </c>
      <c r="T791" s="304">
        <f t="shared" ca="1" si="349"/>
        <v>78.273989999999941</v>
      </c>
      <c r="U791" s="311">
        <f t="shared" ca="1" si="350"/>
        <v>0</v>
      </c>
      <c r="V791" s="306">
        <f t="shared" ca="1" si="351"/>
        <v>1.2259373738584756</v>
      </c>
      <c r="W791" s="304">
        <f t="shared" ca="1" si="352"/>
        <v>59.410524103456382</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2.3480053578896074</v>
      </c>
      <c r="AH791" s="304">
        <f t="shared" ca="1" si="376"/>
        <v>-7.445823773073541</v>
      </c>
    </row>
    <row r="792" spans="1:34" x14ac:dyDescent="0.2">
      <c r="A792" s="347">
        <f t="shared" ca="1" si="354"/>
        <v>1E-4</v>
      </c>
      <c r="B792" s="304">
        <f t="shared" ca="1" si="355"/>
        <v>35.807000000000428</v>
      </c>
      <c r="D792" s="306">
        <f t="shared" ca="1" si="356"/>
        <v>-0.42734602453213755</v>
      </c>
      <c r="E792" s="307">
        <f t="shared" ca="1" si="357"/>
        <v>-2.3764127176351764</v>
      </c>
      <c r="F792" s="304">
        <f t="shared" ca="1" si="358"/>
        <v>2.4145314305723224</v>
      </c>
      <c r="G792" s="306">
        <f t="shared" ca="1" si="359"/>
        <v>7.2285063224856021</v>
      </c>
      <c r="H792" s="307">
        <f t="shared" ca="1" si="360"/>
        <v>-125.73921087624835</v>
      </c>
      <c r="I792" s="304">
        <f t="shared" ca="1" si="361"/>
        <v>125.94681597974545</v>
      </c>
      <c r="J792" s="306">
        <f t="shared" ca="1" si="362"/>
        <v>468.65916031958193</v>
      </c>
      <c r="K792" s="307">
        <f t="shared" ca="1" si="363"/>
        <v>-7.6616788473672486</v>
      </c>
      <c r="L792" s="304">
        <f t="shared" ca="1" si="348"/>
        <v>468.72178301655214</v>
      </c>
      <c r="M792" s="306">
        <f t="shared" ca="1" si="364"/>
        <v>-1.5133714478696187</v>
      </c>
      <c r="N792" s="304">
        <f t="shared" ca="1" si="365"/>
        <v>-86.709796798531841</v>
      </c>
      <c r="P792" s="310">
        <f t="shared" ca="1" si="366"/>
        <v>23</v>
      </c>
      <c r="Q792" s="304">
        <f t="shared" ca="1" si="367"/>
        <v>0</v>
      </c>
      <c r="R792" s="306">
        <f t="shared" ca="1" si="368"/>
        <v>0</v>
      </c>
      <c r="S792" s="307">
        <f t="shared" ca="1" si="369"/>
        <v>7.9789999999999939</v>
      </c>
      <c r="T792" s="304">
        <f t="shared" ca="1" si="349"/>
        <v>78.273989999999941</v>
      </c>
      <c r="U792" s="311">
        <f t="shared" ca="1" si="350"/>
        <v>0</v>
      </c>
      <c r="V792" s="306">
        <f t="shared" ca="1" si="351"/>
        <v>1.2259389153421933</v>
      </c>
      <c r="W792" s="304">
        <f t="shared" ca="1" si="352"/>
        <v>59.410820319285534</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2.3479684848761275</v>
      </c>
      <c r="AH792" s="304">
        <f t="shared" ca="1" si="376"/>
        <v>-7.4458608977887488</v>
      </c>
    </row>
    <row r="793" spans="1:34" x14ac:dyDescent="0.2">
      <c r="A793" s="347">
        <f t="shared" ca="1" si="354"/>
        <v>1E-4</v>
      </c>
      <c r="B793" s="304">
        <f t="shared" ca="1" si="355"/>
        <v>35.807100000000432</v>
      </c>
      <c r="D793" s="306">
        <f t="shared" ca="1" si="356"/>
        <v>-0.42734483211428592</v>
      </c>
      <c r="E793" s="307">
        <f t="shared" ca="1" si="357"/>
        <v>-2.376375463359051</v>
      </c>
      <c r="F793" s="304">
        <f t="shared" ca="1" si="358"/>
        <v>2.4144945533982329</v>
      </c>
      <c r="G793" s="306">
        <f t="shared" ca="1" si="359"/>
        <v>7.2284635880023904</v>
      </c>
      <c r="H793" s="307">
        <f t="shared" ca="1" si="360"/>
        <v>-125.73944851379468</v>
      </c>
      <c r="I793" s="304">
        <f t="shared" ca="1" si="361"/>
        <v>125.94705077291925</v>
      </c>
      <c r="J793" s="306">
        <f t="shared" ca="1" si="362"/>
        <v>468.65916031958193</v>
      </c>
      <c r="K793" s="307">
        <f t="shared" ca="1" si="363"/>
        <v>-7.6742527803367508</v>
      </c>
      <c r="L793" s="304">
        <f t="shared" ca="1" si="348"/>
        <v>468.72198871739749</v>
      </c>
      <c r="M793" s="306">
        <f t="shared" ca="1" si="364"/>
        <v>-1.5133718949054942</v>
      </c>
      <c r="N793" s="304">
        <f t="shared" ca="1" si="365"/>
        <v>-86.709822411800786</v>
      </c>
      <c r="P793" s="310">
        <f t="shared" ca="1" si="366"/>
        <v>23</v>
      </c>
      <c r="Q793" s="304">
        <f t="shared" ca="1" si="367"/>
        <v>0</v>
      </c>
      <c r="R793" s="306">
        <f t="shared" ca="1" si="368"/>
        <v>0</v>
      </c>
      <c r="S793" s="307">
        <f t="shared" ca="1" si="369"/>
        <v>7.9789999999999939</v>
      </c>
      <c r="T793" s="304">
        <f t="shared" ca="1" si="349"/>
        <v>78.273989999999941</v>
      </c>
      <c r="U793" s="311">
        <f t="shared" ca="1" si="350"/>
        <v>0</v>
      </c>
      <c r="V793" s="306">
        <f t="shared" ca="1" si="351"/>
        <v>1.2259404568307637</v>
      </c>
      <c r="W793" s="304">
        <f t="shared" ca="1" si="352"/>
        <v>59.411116532841163</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2.3479316121431975</v>
      </c>
      <c r="AH793" s="304">
        <f t="shared" ca="1" si="376"/>
        <v>-7.4458980222190227</v>
      </c>
    </row>
    <row r="794" spans="1:34" x14ac:dyDescent="0.2">
      <c r="A794" s="347">
        <f t="shared" ca="1" si="354"/>
        <v>1E-4</v>
      </c>
      <c r="B794" s="304">
        <f t="shared" ca="1" si="355"/>
        <v>35.807200000000435</v>
      </c>
      <c r="D794" s="306">
        <f t="shared" ca="1" si="356"/>
        <v>-0.42734363967889621</v>
      </c>
      <c r="E794" s="307">
        <f t="shared" ca="1" si="357"/>
        <v>-2.3763382093688179</v>
      </c>
      <c r="F794" s="304">
        <f t="shared" ca="1" si="358"/>
        <v>2.4144576765145844</v>
      </c>
      <c r="G794" s="306">
        <f t="shared" ca="1" si="359"/>
        <v>7.2284208536384229</v>
      </c>
      <c r="H794" s="307">
        <f t="shared" ca="1" si="360"/>
        <v>-125.73968614761561</v>
      </c>
      <c r="I794" s="304">
        <f t="shared" ca="1" si="361"/>
        <v>125.9472855624058</v>
      </c>
      <c r="J794" s="306">
        <f t="shared" ca="1" si="362"/>
        <v>468.65916031958193</v>
      </c>
      <c r="K794" s="307">
        <f t="shared" ca="1" si="363"/>
        <v>-7.6868267370698211</v>
      </c>
      <c r="L794" s="304">
        <f t="shared" ca="1" si="348"/>
        <v>468.72219475585035</v>
      </c>
      <c r="M794" s="306">
        <f t="shared" ca="1" si="364"/>
        <v>-1.5133723419370602</v>
      </c>
      <c r="N794" s="304">
        <f t="shared" ca="1" si="365"/>
        <v>-86.709848024822833</v>
      </c>
      <c r="P794" s="310">
        <f t="shared" ca="1" si="366"/>
        <v>23</v>
      </c>
      <c r="Q794" s="304">
        <f t="shared" ca="1" si="367"/>
        <v>0</v>
      </c>
      <c r="R794" s="306">
        <f t="shared" ca="1" si="368"/>
        <v>0</v>
      </c>
      <c r="S794" s="307">
        <f t="shared" ca="1" si="369"/>
        <v>7.9789999999999939</v>
      </c>
      <c r="T794" s="304">
        <f t="shared" ca="1" si="349"/>
        <v>78.273989999999941</v>
      </c>
      <c r="U794" s="311">
        <f t="shared" ca="1" si="350"/>
        <v>0</v>
      </c>
      <c r="V794" s="306">
        <f t="shared" ca="1" si="351"/>
        <v>1.2259419983241864</v>
      </c>
      <c r="W794" s="304">
        <f t="shared" ca="1" si="352"/>
        <v>59.411412744123275</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2.3478947396908243</v>
      </c>
      <c r="AH794" s="304">
        <f t="shared" ca="1" si="376"/>
        <v>-7.4459351463643575</v>
      </c>
    </row>
    <row r="795" spans="1:34" x14ac:dyDescent="0.2">
      <c r="A795" s="347">
        <f t="shared" ca="1" si="354"/>
        <v>1E-4</v>
      </c>
      <c r="B795" s="304">
        <f t="shared" ca="1" si="355"/>
        <v>35.807300000000438</v>
      </c>
      <c r="D795" s="306">
        <f t="shared" ca="1" si="356"/>
        <v>-0.42734244722596598</v>
      </c>
      <c r="E795" s="307">
        <f t="shared" ca="1" si="357"/>
        <v>-2.3763009556644743</v>
      </c>
      <c r="F795" s="304">
        <f t="shared" ca="1" si="358"/>
        <v>2.4144207999213747</v>
      </c>
      <c r="G795" s="306">
        <f t="shared" ca="1" si="359"/>
        <v>7.2283781193937005</v>
      </c>
      <c r="H795" s="307">
        <f t="shared" ca="1" si="360"/>
        <v>-125.73992377771118</v>
      </c>
      <c r="I795" s="304">
        <f t="shared" ca="1" si="361"/>
        <v>125.94752034820515</v>
      </c>
      <c r="J795" s="306">
        <f t="shared" ca="1" si="362"/>
        <v>468.65916031958193</v>
      </c>
      <c r="K795" s="307">
        <f t="shared" ca="1" si="363"/>
        <v>-7.6994007175660872</v>
      </c>
      <c r="L795" s="304">
        <f t="shared" ca="1" si="348"/>
        <v>468.72240113191225</v>
      </c>
      <c r="M795" s="306">
        <f t="shared" ca="1" si="364"/>
        <v>-1.5133727889643167</v>
      </c>
      <c r="N795" s="304">
        <f t="shared" ca="1" si="365"/>
        <v>-86.709873637597951</v>
      </c>
      <c r="P795" s="310">
        <f t="shared" ca="1" si="366"/>
        <v>23</v>
      </c>
      <c r="Q795" s="304">
        <f t="shared" ca="1" si="367"/>
        <v>0</v>
      </c>
      <c r="R795" s="306">
        <f t="shared" ca="1" si="368"/>
        <v>0</v>
      </c>
      <c r="S795" s="307">
        <f t="shared" ca="1" si="369"/>
        <v>7.9789999999999939</v>
      </c>
      <c r="T795" s="304">
        <f t="shared" ca="1" si="349"/>
        <v>78.273989999999941</v>
      </c>
      <c r="U795" s="311">
        <f t="shared" ca="1" si="350"/>
        <v>0</v>
      </c>
      <c r="V795" s="306">
        <f t="shared" ca="1" si="351"/>
        <v>1.2259435398224614</v>
      </c>
      <c r="W795" s="304">
        <f t="shared" ca="1" si="352"/>
        <v>59.411708953131878</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2.3478578675190027</v>
      </c>
      <c r="AH795" s="304">
        <f t="shared" ca="1" si="376"/>
        <v>-7.4459722702247548</v>
      </c>
    </row>
    <row r="796" spans="1:34" x14ac:dyDescent="0.2">
      <c r="A796" s="347">
        <f t="shared" ca="1" si="354"/>
        <v>1E-4</v>
      </c>
      <c r="B796" s="304">
        <f t="shared" ca="1" si="355"/>
        <v>35.807400000000442</v>
      </c>
      <c r="D796" s="306">
        <f t="shared" ca="1" si="356"/>
        <v>-0.42734125475549617</v>
      </c>
      <c r="E796" s="307">
        <f t="shared" ca="1" si="357"/>
        <v>-2.3762637022460202</v>
      </c>
      <c r="F796" s="304">
        <f t="shared" ca="1" si="358"/>
        <v>2.4143839236186038</v>
      </c>
      <c r="G796" s="306">
        <f t="shared" ca="1" si="359"/>
        <v>7.2283353852682248</v>
      </c>
      <c r="H796" s="307">
        <f t="shared" ca="1" si="360"/>
        <v>-125.74016140408141</v>
      </c>
      <c r="I796" s="304">
        <f t="shared" ca="1" si="361"/>
        <v>125.94775513031729</v>
      </c>
      <c r="J796" s="306">
        <f t="shared" ca="1" si="362"/>
        <v>468.65916031958193</v>
      </c>
      <c r="K796" s="307">
        <f t="shared" ca="1" si="363"/>
        <v>-7.7119747218251771</v>
      </c>
      <c r="L796" s="304">
        <f t="shared" ca="1" si="348"/>
        <v>468.72260784558455</v>
      </c>
      <c r="M796" s="306">
        <f t="shared" ca="1" si="364"/>
        <v>-1.5133732359872636</v>
      </c>
      <c r="N796" s="304">
        <f t="shared" ca="1" si="365"/>
        <v>-86.709899250126156</v>
      </c>
      <c r="P796" s="310">
        <f t="shared" ca="1" si="366"/>
        <v>23</v>
      </c>
      <c r="Q796" s="304">
        <f t="shared" ca="1" si="367"/>
        <v>0</v>
      </c>
      <c r="R796" s="306">
        <f t="shared" ca="1" si="368"/>
        <v>0</v>
      </c>
      <c r="S796" s="307">
        <f t="shared" ca="1" si="369"/>
        <v>7.9789999999999939</v>
      </c>
      <c r="T796" s="304">
        <f t="shared" ca="1" si="349"/>
        <v>78.273989999999941</v>
      </c>
      <c r="U796" s="311">
        <f t="shared" ca="1" si="350"/>
        <v>0</v>
      </c>
      <c r="V796" s="306">
        <f t="shared" ca="1" si="351"/>
        <v>1.2259450813255881</v>
      </c>
      <c r="W796" s="304">
        <f t="shared" ca="1" si="352"/>
        <v>59.412005159866915</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2.3478209956277354</v>
      </c>
      <c r="AH796" s="304">
        <f t="shared" ca="1" si="376"/>
        <v>-7.4460093938002156</v>
      </c>
    </row>
    <row r="797" spans="1:34" x14ac:dyDescent="0.2">
      <c r="A797" s="347">
        <f t="shared" ca="1" si="354"/>
        <v>1E-4</v>
      </c>
      <c r="B797" s="304">
        <f t="shared" ca="1" si="355"/>
        <v>35.807500000000445</v>
      </c>
      <c r="D797" s="306">
        <f t="shared" ca="1" si="356"/>
        <v>-0.42734006226748883</v>
      </c>
      <c r="E797" s="307">
        <f t="shared" ca="1" si="357"/>
        <v>-2.3762264491134619</v>
      </c>
      <c r="F797" s="304">
        <f t="shared" ca="1" si="358"/>
        <v>2.4143470476062783</v>
      </c>
      <c r="G797" s="306">
        <f t="shared" ca="1" si="359"/>
        <v>7.2282926512619978</v>
      </c>
      <c r="H797" s="307">
        <f t="shared" ca="1" si="360"/>
        <v>-125.74039902672632</v>
      </c>
      <c r="I797" s="304">
        <f t="shared" ca="1" si="361"/>
        <v>125.94798990874227</v>
      </c>
      <c r="J797" s="306">
        <f t="shared" ca="1" si="362"/>
        <v>468.65916031958193</v>
      </c>
      <c r="K797" s="307">
        <f t="shared" ca="1" si="363"/>
        <v>-7.7245487498467176</v>
      </c>
      <c r="L797" s="304">
        <f t="shared" ca="1" si="348"/>
        <v>468.72281489686884</v>
      </c>
      <c r="M797" s="306">
        <f t="shared" ca="1" si="364"/>
        <v>-1.5133736830059012</v>
      </c>
      <c r="N797" s="304">
        <f t="shared" ca="1" si="365"/>
        <v>-86.709924862407462</v>
      </c>
      <c r="P797" s="310">
        <f t="shared" ca="1" si="366"/>
        <v>23</v>
      </c>
      <c r="Q797" s="304">
        <f t="shared" ca="1" si="367"/>
        <v>0</v>
      </c>
      <c r="R797" s="306">
        <f t="shared" ca="1" si="368"/>
        <v>0</v>
      </c>
      <c r="S797" s="307">
        <f t="shared" ca="1" si="369"/>
        <v>7.9789999999999939</v>
      </c>
      <c r="T797" s="304">
        <f t="shared" ca="1" si="349"/>
        <v>78.273989999999941</v>
      </c>
      <c r="U797" s="311">
        <f t="shared" ca="1" si="350"/>
        <v>0</v>
      </c>
      <c r="V797" s="306">
        <f t="shared" ca="1" si="351"/>
        <v>1.2259466228335678</v>
      </c>
      <c r="W797" s="304">
        <f t="shared" ca="1" si="352"/>
        <v>59.412301364328464</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2.3477841240170276</v>
      </c>
      <c r="AH797" s="304">
        <f t="shared" ca="1" si="376"/>
        <v>-7.4460465170907328</v>
      </c>
    </row>
    <row r="798" spans="1:34" x14ac:dyDescent="0.2">
      <c r="A798" s="347">
        <f t="shared" ca="1" si="354"/>
        <v>1E-4</v>
      </c>
      <c r="B798" s="304">
        <f t="shared" ca="1" si="355"/>
        <v>35.807600000000448</v>
      </c>
      <c r="D798" s="306">
        <f t="shared" ca="1" si="356"/>
        <v>-0.42733886976194219</v>
      </c>
      <c r="E798" s="307">
        <f t="shared" ca="1" si="357"/>
        <v>-2.3761891962667905</v>
      </c>
      <c r="F798" s="304">
        <f t="shared" ca="1" si="358"/>
        <v>2.4143101718843893</v>
      </c>
      <c r="G798" s="306">
        <f t="shared" ca="1" si="359"/>
        <v>7.2282499173750212</v>
      </c>
      <c r="H798" s="307">
        <f t="shared" ca="1" si="360"/>
        <v>-125.74063664564595</v>
      </c>
      <c r="I798" s="304">
        <f t="shared" ca="1" si="361"/>
        <v>125.94822468348013</v>
      </c>
      <c r="J798" s="306">
        <f t="shared" ca="1" si="362"/>
        <v>468.65916031958193</v>
      </c>
      <c r="K798" s="307">
        <f t="shared" ca="1" si="363"/>
        <v>-7.7371228016303366</v>
      </c>
      <c r="L798" s="304">
        <f t="shared" ca="1" si="348"/>
        <v>468.72302228576643</v>
      </c>
      <c r="M798" s="306">
        <f t="shared" ca="1" si="364"/>
        <v>-1.5133741300202297</v>
      </c>
      <c r="N798" s="304">
        <f t="shared" ca="1" si="365"/>
        <v>-86.709950474441854</v>
      </c>
      <c r="P798" s="310">
        <f t="shared" ca="1" si="366"/>
        <v>23</v>
      </c>
      <c r="Q798" s="304">
        <f t="shared" ca="1" si="367"/>
        <v>0</v>
      </c>
      <c r="R798" s="306">
        <f t="shared" ca="1" si="368"/>
        <v>0</v>
      </c>
      <c r="S798" s="307">
        <f t="shared" ca="1" si="369"/>
        <v>7.9789999999999939</v>
      </c>
      <c r="T798" s="304">
        <f t="shared" ca="1" si="349"/>
        <v>78.273989999999941</v>
      </c>
      <c r="U798" s="311">
        <f t="shared" ca="1" si="350"/>
        <v>0</v>
      </c>
      <c r="V798" s="306">
        <f t="shared" ca="1" si="351"/>
        <v>1.2259481643463992</v>
      </c>
      <c r="W798" s="304">
        <f t="shared" ca="1" si="352"/>
        <v>59.41259756651646</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2.3477472526868715</v>
      </c>
      <c r="AH798" s="304">
        <f t="shared" ca="1" si="376"/>
        <v>-7.4460836400963162</v>
      </c>
    </row>
    <row r="799" spans="1:34" x14ac:dyDescent="0.2">
      <c r="A799" s="347">
        <f t="shared" ca="1" si="354"/>
        <v>1E-4</v>
      </c>
      <c r="B799" s="304">
        <f t="shared" ca="1" si="355"/>
        <v>35.807700000000452</v>
      </c>
      <c r="D799" s="306">
        <f t="shared" ca="1" si="356"/>
        <v>-0.42733767723885657</v>
      </c>
      <c r="E799" s="307">
        <f t="shared" ca="1" si="357"/>
        <v>-2.376151943706013</v>
      </c>
      <c r="F799" s="304">
        <f t="shared" ca="1" si="358"/>
        <v>2.4142732964529441</v>
      </c>
      <c r="G799" s="306">
        <f t="shared" ca="1" si="359"/>
        <v>7.2282071836072976</v>
      </c>
      <c r="H799" s="307">
        <f t="shared" ca="1" si="360"/>
        <v>-125.74087426084031</v>
      </c>
      <c r="I799" s="304">
        <f t="shared" ca="1" si="361"/>
        <v>125.94845945453088</v>
      </c>
      <c r="J799" s="306">
        <f t="shared" ca="1" si="362"/>
        <v>468.65916031958193</v>
      </c>
      <c r="K799" s="307">
        <f t="shared" ca="1" si="363"/>
        <v>-7.7496968771756611</v>
      </c>
      <c r="L799" s="304">
        <f t="shared" ca="1" si="348"/>
        <v>468.72323001227892</v>
      </c>
      <c r="M799" s="306">
        <f t="shared" ca="1" si="364"/>
        <v>-1.5133745770302487</v>
      </c>
      <c r="N799" s="304">
        <f t="shared" ca="1" si="365"/>
        <v>-86.709976086229346</v>
      </c>
      <c r="P799" s="310">
        <f t="shared" ca="1" si="366"/>
        <v>23</v>
      </c>
      <c r="Q799" s="304">
        <f t="shared" ca="1" si="367"/>
        <v>0</v>
      </c>
      <c r="R799" s="306">
        <f t="shared" ca="1" si="368"/>
        <v>0</v>
      </c>
      <c r="S799" s="307">
        <f t="shared" ca="1" si="369"/>
        <v>7.9789999999999939</v>
      </c>
      <c r="T799" s="304">
        <f t="shared" ca="1" si="349"/>
        <v>78.273989999999941</v>
      </c>
      <c r="U799" s="311">
        <f t="shared" ca="1" si="350"/>
        <v>0</v>
      </c>
      <c r="V799" s="306">
        <f t="shared" ca="1" si="351"/>
        <v>1.2259497058640823</v>
      </c>
      <c r="W799" s="304">
        <f t="shared" ca="1" si="352"/>
        <v>59.412893766430898</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2.3477103816372731</v>
      </c>
      <c r="AH799" s="304">
        <f t="shared" ca="1" si="376"/>
        <v>-7.4461207628169577</v>
      </c>
    </row>
    <row r="800" spans="1:34" x14ac:dyDescent="0.2">
      <c r="A800" s="347">
        <f t="shared" ca="1" si="354"/>
        <v>1E-4</v>
      </c>
      <c r="B800" s="304">
        <f t="shared" ca="1" si="355"/>
        <v>35.807800000000455</v>
      </c>
      <c r="D800" s="306">
        <f t="shared" ca="1" si="356"/>
        <v>-0.42733648469823449</v>
      </c>
      <c r="E800" s="307">
        <f t="shared" ca="1" si="357"/>
        <v>-2.3761146914311322</v>
      </c>
      <c r="F800" s="304">
        <f t="shared" ca="1" si="358"/>
        <v>2.4142364213119452</v>
      </c>
      <c r="G800" s="306">
        <f t="shared" ca="1" si="359"/>
        <v>7.228164449958828</v>
      </c>
      <c r="H800" s="307">
        <f t="shared" ca="1" si="360"/>
        <v>-125.74111187230946</v>
      </c>
      <c r="I800" s="304">
        <f t="shared" ca="1" si="361"/>
        <v>125.94869422189454</v>
      </c>
      <c r="J800" s="306">
        <f t="shared" ca="1" si="362"/>
        <v>468.65916031958193</v>
      </c>
      <c r="K800" s="307">
        <f t="shared" ca="1" si="363"/>
        <v>-7.762270976482319</v>
      </c>
      <c r="L800" s="304">
        <f t="shared" ca="1" si="348"/>
        <v>468.7234380764076</v>
      </c>
      <c r="M800" s="306">
        <f t="shared" ca="1" si="364"/>
        <v>-1.5133750240359585</v>
      </c>
      <c r="N800" s="304">
        <f t="shared" ca="1" si="365"/>
        <v>-86.71000169776994</v>
      </c>
      <c r="P800" s="310">
        <f t="shared" ca="1" si="366"/>
        <v>23</v>
      </c>
      <c r="Q800" s="304">
        <f t="shared" ca="1" si="367"/>
        <v>0</v>
      </c>
      <c r="R800" s="306">
        <f t="shared" ca="1" si="368"/>
        <v>0</v>
      </c>
      <c r="S800" s="307">
        <f t="shared" ca="1" si="369"/>
        <v>7.9789999999999939</v>
      </c>
      <c r="T800" s="304">
        <f t="shared" ca="1" si="349"/>
        <v>78.273989999999941</v>
      </c>
      <c r="U800" s="311">
        <f t="shared" ca="1" si="350"/>
        <v>0</v>
      </c>
      <c r="V800" s="306">
        <f t="shared" ca="1" si="351"/>
        <v>1.2259512473866183</v>
      </c>
      <c r="W800" s="304">
        <f t="shared" ca="1" si="352"/>
        <v>59.413189964071819</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2.3476735108682334</v>
      </c>
      <c r="AH800" s="304">
        <f t="shared" ca="1" si="376"/>
        <v>-7.4461578852526564</v>
      </c>
    </row>
    <row r="801" spans="1:34" x14ac:dyDescent="0.2">
      <c r="A801" s="347">
        <f t="shared" ca="1" si="354"/>
        <v>1E-4</v>
      </c>
      <c r="B801" s="304">
        <f t="shared" ca="1" si="355"/>
        <v>35.807900000000458</v>
      </c>
      <c r="D801" s="306">
        <f t="shared" ca="1" si="356"/>
        <v>-0.42733529214007532</v>
      </c>
      <c r="E801" s="307">
        <f t="shared" ca="1" si="357"/>
        <v>-2.37607743944214</v>
      </c>
      <c r="F801" s="304">
        <f t="shared" ca="1" si="358"/>
        <v>2.4141995464613855</v>
      </c>
      <c r="G801" s="306">
        <f t="shared" ca="1" si="359"/>
        <v>7.2281217164296141</v>
      </c>
      <c r="H801" s="307">
        <f t="shared" ca="1" si="360"/>
        <v>-125.7413494800534</v>
      </c>
      <c r="I801" s="304">
        <f t="shared" ca="1" si="361"/>
        <v>125.94892898557116</v>
      </c>
      <c r="J801" s="306">
        <f t="shared" ca="1" si="362"/>
        <v>468.65916031958193</v>
      </c>
      <c r="K801" s="307">
        <f t="shared" ca="1" si="363"/>
        <v>-7.7748450995499372</v>
      </c>
      <c r="L801" s="304">
        <f t="shared" ca="1" si="348"/>
        <v>468.72364647815408</v>
      </c>
      <c r="M801" s="306">
        <f t="shared" ca="1" si="364"/>
        <v>-1.5133754710373593</v>
      </c>
      <c r="N801" s="304">
        <f t="shared" ca="1" si="365"/>
        <v>-86.710027309063634</v>
      </c>
      <c r="P801" s="310">
        <f t="shared" ca="1" si="366"/>
        <v>23</v>
      </c>
      <c r="Q801" s="304">
        <f t="shared" ca="1" si="367"/>
        <v>0</v>
      </c>
      <c r="R801" s="306">
        <f t="shared" ca="1" si="368"/>
        <v>0</v>
      </c>
      <c r="S801" s="307">
        <f t="shared" ca="1" si="369"/>
        <v>7.9789999999999939</v>
      </c>
      <c r="T801" s="304">
        <f t="shared" ca="1" si="349"/>
        <v>78.273989999999941</v>
      </c>
      <c r="U801" s="311">
        <f t="shared" ca="1" si="350"/>
        <v>0</v>
      </c>
      <c r="V801" s="306">
        <f t="shared" ca="1" si="351"/>
        <v>1.2259527889140061</v>
      </c>
      <c r="W801" s="304">
        <f t="shared" ca="1" si="352"/>
        <v>59.413486159439188</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2.3476366403797515</v>
      </c>
      <c r="AH801" s="304">
        <f t="shared" ca="1" si="376"/>
        <v>-7.4461950074034169</v>
      </c>
    </row>
    <row r="802" spans="1:34" x14ac:dyDescent="0.2">
      <c r="A802" s="347">
        <f t="shared" ca="1" si="354"/>
        <v>1E-4</v>
      </c>
      <c r="B802" s="304">
        <f t="shared" ca="1" si="355"/>
        <v>35.808000000000462</v>
      </c>
      <c r="D802" s="306">
        <f t="shared" ca="1" si="356"/>
        <v>-0.42733409956437818</v>
      </c>
      <c r="E802" s="307">
        <f t="shared" ca="1" si="357"/>
        <v>-2.3760401877390436</v>
      </c>
      <c r="F802" s="304">
        <f t="shared" ca="1" si="358"/>
        <v>2.4141626719012717</v>
      </c>
      <c r="G802" s="306">
        <f t="shared" ca="1" si="359"/>
        <v>7.2280789830196577</v>
      </c>
      <c r="H802" s="307">
        <f t="shared" ca="1" si="360"/>
        <v>-125.74158708407218</v>
      </c>
      <c r="I802" s="304">
        <f t="shared" ca="1" si="361"/>
        <v>125.94916374556077</v>
      </c>
      <c r="J802" s="306">
        <f t="shared" ca="1" si="362"/>
        <v>468.65916031958193</v>
      </c>
      <c r="K802" s="307">
        <f t="shared" ca="1" si="363"/>
        <v>-7.7874192463781435</v>
      </c>
      <c r="L802" s="304">
        <f t="shared" ca="1" si="348"/>
        <v>468.72385521751983</v>
      </c>
      <c r="M802" s="306">
        <f t="shared" ca="1" si="364"/>
        <v>-1.5133759180344508</v>
      </c>
      <c r="N802" s="304">
        <f t="shared" ca="1" si="365"/>
        <v>-86.710052920110442</v>
      </c>
      <c r="P802" s="310">
        <f t="shared" ca="1" si="366"/>
        <v>23</v>
      </c>
      <c r="Q802" s="304">
        <f t="shared" ca="1" si="367"/>
        <v>0</v>
      </c>
      <c r="R802" s="306">
        <f t="shared" ca="1" si="368"/>
        <v>0</v>
      </c>
      <c r="S802" s="307">
        <f t="shared" ca="1" si="369"/>
        <v>7.9789999999999939</v>
      </c>
      <c r="T802" s="304">
        <f t="shared" ca="1" si="349"/>
        <v>78.273989999999941</v>
      </c>
      <c r="U802" s="311">
        <f t="shared" ca="1" si="350"/>
        <v>0</v>
      </c>
      <c r="V802" s="306">
        <f t="shared" ca="1" si="351"/>
        <v>1.2259543304462457</v>
      </c>
      <c r="W802" s="304">
        <f t="shared" ca="1" si="352"/>
        <v>59.413782352533019</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2.3475997701718274</v>
      </c>
      <c r="AH802" s="304">
        <f t="shared" ca="1" si="376"/>
        <v>-7.4462321292692355</v>
      </c>
    </row>
    <row r="803" spans="1:34" x14ac:dyDescent="0.2">
      <c r="A803" s="347">
        <f t="shared" ca="1" si="354"/>
        <v>1E-4</v>
      </c>
      <c r="B803" s="304">
        <f t="shared" ca="1" si="355"/>
        <v>35.808100000000465</v>
      </c>
      <c r="D803" s="306">
        <f t="shared" ca="1" si="356"/>
        <v>-0.42733290697114568</v>
      </c>
      <c r="E803" s="307">
        <f t="shared" ca="1" si="357"/>
        <v>-2.3760029363218393</v>
      </c>
      <c r="F803" s="304">
        <f t="shared" ca="1" si="358"/>
        <v>2.4141257976316006</v>
      </c>
      <c r="G803" s="306">
        <f t="shared" ca="1" si="359"/>
        <v>7.2280362497289605</v>
      </c>
      <c r="H803" s="307">
        <f t="shared" ca="1" si="360"/>
        <v>-125.74182468436581</v>
      </c>
      <c r="I803" s="304">
        <f t="shared" ca="1" si="361"/>
        <v>125.94939850186337</v>
      </c>
      <c r="J803" s="306">
        <f t="shared" ca="1" si="362"/>
        <v>468.65916031958193</v>
      </c>
      <c r="K803" s="307">
        <f t="shared" ca="1" si="363"/>
        <v>-7.799993416966565</v>
      </c>
      <c r="L803" s="304">
        <f t="shared" ca="1" si="348"/>
        <v>468.72406429450609</v>
      </c>
      <c r="M803" s="306">
        <f t="shared" ca="1" si="364"/>
        <v>-1.5133763650272336</v>
      </c>
      <c r="N803" s="304">
        <f t="shared" ca="1" si="365"/>
        <v>-86.710078530910366</v>
      </c>
      <c r="P803" s="310">
        <f t="shared" ca="1" si="366"/>
        <v>23</v>
      </c>
      <c r="Q803" s="304">
        <f t="shared" ca="1" si="367"/>
        <v>0</v>
      </c>
      <c r="R803" s="306">
        <f t="shared" ca="1" si="368"/>
        <v>0</v>
      </c>
      <c r="S803" s="307">
        <f t="shared" ca="1" si="369"/>
        <v>7.9789999999999939</v>
      </c>
      <c r="T803" s="304">
        <f t="shared" ca="1" si="349"/>
        <v>78.273989999999941</v>
      </c>
      <c r="U803" s="311">
        <f t="shared" ca="1" si="350"/>
        <v>0</v>
      </c>
      <c r="V803" s="306">
        <f t="shared" ca="1" si="351"/>
        <v>1.2259558719833374</v>
      </c>
      <c r="W803" s="304">
        <f t="shared" ca="1" si="352"/>
        <v>59.414078543353284</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2.3475629002444585</v>
      </c>
      <c r="AH803" s="304">
        <f t="shared" ca="1" si="376"/>
        <v>-7.4462692508501149</v>
      </c>
    </row>
    <row r="804" spans="1:34" x14ac:dyDescent="0.2">
      <c r="A804" s="347">
        <f t="shared" ca="1" si="354"/>
        <v>1E-4</v>
      </c>
      <c r="B804" s="304">
        <f t="shared" ca="1" si="355"/>
        <v>35.808200000000468</v>
      </c>
      <c r="D804" s="306">
        <f t="shared" ca="1" si="356"/>
        <v>-0.42733171436037509</v>
      </c>
      <c r="E804" s="307">
        <f t="shared" ca="1" si="357"/>
        <v>-2.3759656851905318</v>
      </c>
      <c r="F804" s="304">
        <f t="shared" ca="1" si="358"/>
        <v>2.4140889236523768</v>
      </c>
      <c r="G804" s="306">
        <f t="shared" ca="1" si="359"/>
        <v>7.2279935165575244</v>
      </c>
      <c r="H804" s="307">
        <f t="shared" ca="1" si="360"/>
        <v>-125.74206228093433</v>
      </c>
      <c r="I804" s="304">
        <f t="shared" ca="1" si="361"/>
        <v>125.94963325447902</v>
      </c>
      <c r="J804" s="306">
        <f t="shared" ca="1" si="362"/>
        <v>468.65916031958193</v>
      </c>
      <c r="K804" s="307">
        <f t="shared" ca="1" si="363"/>
        <v>-7.8125676113148304</v>
      </c>
      <c r="L804" s="304">
        <f t="shared" ca="1" si="348"/>
        <v>468.72427370911458</v>
      </c>
      <c r="M804" s="306">
        <f t="shared" ca="1" si="364"/>
        <v>-1.5133768120157072</v>
      </c>
      <c r="N804" s="304">
        <f t="shared" ca="1" si="365"/>
        <v>-86.71010414146339</v>
      </c>
      <c r="P804" s="310">
        <f t="shared" ca="1" si="366"/>
        <v>23</v>
      </c>
      <c r="Q804" s="304">
        <f t="shared" ca="1" si="367"/>
        <v>0</v>
      </c>
      <c r="R804" s="306">
        <f t="shared" ca="1" si="368"/>
        <v>0</v>
      </c>
      <c r="S804" s="307">
        <f t="shared" ca="1" si="369"/>
        <v>7.9789999999999939</v>
      </c>
      <c r="T804" s="304">
        <f t="shared" ca="1" si="349"/>
        <v>78.273989999999941</v>
      </c>
      <c r="U804" s="311">
        <f t="shared" ca="1" si="350"/>
        <v>0</v>
      </c>
      <c r="V804" s="306">
        <f t="shared" ca="1" si="351"/>
        <v>1.2259574135252811</v>
      </c>
      <c r="W804" s="304">
        <f t="shared" ca="1" si="352"/>
        <v>59.414374731900004</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2.3475260305976535</v>
      </c>
      <c r="AH804" s="304">
        <f t="shared" ca="1" si="376"/>
        <v>-7.4463063721460498</v>
      </c>
    </row>
    <row r="805" spans="1:34" x14ac:dyDescent="0.2">
      <c r="A805" s="347">
        <f t="shared" ca="1" si="354"/>
        <v>1E-4</v>
      </c>
      <c r="B805" s="304">
        <f t="shared" ca="1" si="355"/>
        <v>35.808300000000472</v>
      </c>
      <c r="D805" s="306">
        <f t="shared" ca="1" si="356"/>
        <v>-0.42733052173207081</v>
      </c>
      <c r="E805" s="307">
        <f t="shared" ca="1" si="357"/>
        <v>-2.3759284343451172</v>
      </c>
      <c r="F805" s="304">
        <f t="shared" ca="1" si="358"/>
        <v>2.4140520499635967</v>
      </c>
      <c r="G805" s="306">
        <f t="shared" ca="1" si="359"/>
        <v>7.2279507835053511</v>
      </c>
      <c r="H805" s="307">
        <f t="shared" ca="1" si="360"/>
        <v>-125.74229987377777</v>
      </c>
      <c r="I805" s="304">
        <f t="shared" ca="1" si="361"/>
        <v>125.94986800340772</v>
      </c>
      <c r="J805" s="306">
        <f t="shared" ca="1" si="362"/>
        <v>468.65916031958193</v>
      </c>
      <c r="K805" s="307">
        <f t="shared" ca="1" si="363"/>
        <v>-7.8251418294225656</v>
      </c>
      <c r="L805" s="304">
        <f t="shared" ca="1" si="348"/>
        <v>468.72448346134655</v>
      </c>
      <c r="M805" s="306">
        <f t="shared" ca="1" si="364"/>
        <v>-1.513377258999872</v>
      </c>
      <c r="N805" s="304">
        <f t="shared" ca="1" si="365"/>
        <v>-86.710129751769543</v>
      </c>
      <c r="P805" s="310">
        <f t="shared" ca="1" si="366"/>
        <v>23</v>
      </c>
      <c r="Q805" s="304">
        <f t="shared" ca="1" si="367"/>
        <v>0</v>
      </c>
      <c r="R805" s="306">
        <f t="shared" ca="1" si="368"/>
        <v>0</v>
      </c>
      <c r="S805" s="307">
        <f t="shared" ca="1" si="369"/>
        <v>7.9789999999999939</v>
      </c>
      <c r="T805" s="304">
        <f t="shared" ca="1" si="349"/>
        <v>78.273989999999941</v>
      </c>
      <c r="U805" s="311">
        <f t="shared" ca="1" si="350"/>
        <v>0</v>
      </c>
      <c r="V805" s="306">
        <f t="shared" ca="1" si="351"/>
        <v>1.2259589550720769</v>
      </c>
      <c r="W805" s="304">
        <f t="shared" ca="1" si="352"/>
        <v>59.414670918173158</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2.3474891612314055</v>
      </c>
      <c r="AH805" s="304">
        <f t="shared" ca="1" si="376"/>
        <v>-7.4463434931570438</v>
      </c>
    </row>
    <row r="806" spans="1:34" x14ac:dyDescent="0.2">
      <c r="A806" s="347">
        <f t="shared" ca="1" si="354"/>
        <v>1E-4</v>
      </c>
      <c r="B806" s="304">
        <f t="shared" ca="1" si="355"/>
        <v>35.808400000000475</v>
      </c>
      <c r="D806" s="306">
        <f t="shared" ca="1" si="356"/>
        <v>-0.42732932908623011</v>
      </c>
      <c r="E806" s="307">
        <f t="shared" ca="1" si="357"/>
        <v>-2.3758911837856003</v>
      </c>
      <c r="F806" s="304">
        <f t="shared" ca="1" si="358"/>
        <v>2.4140151765652651</v>
      </c>
      <c r="G806" s="306">
        <f t="shared" ca="1" si="359"/>
        <v>7.2279080505724425</v>
      </c>
      <c r="H806" s="307">
        <f t="shared" ca="1" si="360"/>
        <v>-125.74253746289615</v>
      </c>
      <c r="I806" s="304">
        <f t="shared" ca="1" si="361"/>
        <v>125.95010274864953</v>
      </c>
      <c r="J806" s="306">
        <f t="shared" ca="1" si="362"/>
        <v>468.65916031958193</v>
      </c>
      <c r="K806" s="307">
        <f t="shared" ca="1" si="363"/>
        <v>-7.8377160712893996</v>
      </c>
      <c r="L806" s="304">
        <f t="shared" ca="1" si="348"/>
        <v>468.72469355120359</v>
      </c>
      <c r="M806" s="306">
        <f t="shared" ca="1" si="364"/>
        <v>-1.513377705979728</v>
      </c>
      <c r="N806" s="304">
        <f t="shared" ca="1" si="365"/>
        <v>-86.710155361828825</v>
      </c>
      <c r="P806" s="310">
        <f t="shared" ca="1" si="366"/>
        <v>23</v>
      </c>
      <c r="Q806" s="304">
        <f t="shared" ca="1" si="367"/>
        <v>0</v>
      </c>
      <c r="R806" s="306">
        <f t="shared" ca="1" si="368"/>
        <v>0</v>
      </c>
      <c r="S806" s="307">
        <f t="shared" ca="1" si="369"/>
        <v>7.9789999999999939</v>
      </c>
      <c r="T806" s="304">
        <f t="shared" ca="1" si="349"/>
        <v>78.273989999999941</v>
      </c>
      <c r="U806" s="311">
        <f t="shared" ca="1" si="350"/>
        <v>0</v>
      </c>
      <c r="V806" s="306">
        <f t="shared" ca="1" si="351"/>
        <v>1.2259604966237241</v>
      </c>
      <c r="W806" s="304">
        <f t="shared" ca="1" si="352"/>
        <v>59.414967102172753</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2.3474522921457197</v>
      </c>
      <c r="AH806" s="304">
        <f t="shared" ca="1" si="376"/>
        <v>-7.4463806138830932</v>
      </c>
    </row>
    <row r="807" spans="1:34" x14ac:dyDescent="0.2">
      <c r="A807" s="347">
        <f t="shared" ca="1" si="354"/>
        <v>1E-4</v>
      </c>
      <c r="B807" s="304">
        <f t="shared" ca="1" si="355"/>
        <v>35.808500000000478</v>
      </c>
      <c r="D807" s="306">
        <f t="shared" ca="1" si="356"/>
        <v>-0.42732813642285405</v>
      </c>
      <c r="E807" s="307">
        <f t="shared" ca="1" si="357"/>
        <v>-2.3758539335119782</v>
      </c>
      <c r="F807" s="304">
        <f t="shared" ca="1" si="358"/>
        <v>2.4139783034573794</v>
      </c>
      <c r="G807" s="306">
        <f t="shared" ca="1" si="359"/>
        <v>7.2278653177588001</v>
      </c>
      <c r="H807" s="307">
        <f t="shared" ca="1" si="360"/>
        <v>-125.7427750482895</v>
      </c>
      <c r="I807" s="304">
        <f t="shared" ca="1" si="361"/>
        <v>125.95033749020443</v>
      </c>
      <c r="J807" s="306">
        <f t="shared" ca="1" si="362"/>
        <v>468.65916031958193</v>
      </c>
      <c r="K807" s="307">
        <f t="shared" ca="1" si="363"/>
        <v>-7.8502903369149593</v>
      </c>
      <c r="L807" s="304">
        <f t="shared" ca="1" si="348"/>
        <v>468.72490397868711</v>
      </c>
      <c r="M807" s="306">
        <f t="shared" ca="1" si="364"/>
        <v>-1.5133781529552752</v>
      </c>
      <c r="N807" s="304">
        <f t="shared" ca="1" si="365"/>
        <v>-86.710180971641222</v>
      </c>
      <c r="P807" s="310">
        <f t="shared" ca="1" si="366"/>
        <v>23</v>
      </c>
      <c r="Q807" s="304">
        <f t="shared" ca="1" si="367"/>
        <v>0</v>
      </c>
      <c r="R807" s="306">
        <f t="shared" ca="1" si="368"/>
        <v>0</v>
      </c>
      <c r="S807" s="307">
        <f t="shared" ca="1" si="369"/>
        <v>7.9789999999999939</v>
      </c>
      <c r="T807" s="304">
        <f t="shared" ca="1" si="349"/>
        <v>78.273989999999941</v>
      </c>
      <c r="U807" s="311">
        <f t="shared" ca="1" si="350"/>
        <v>0</v>
      </c>
      <c r="V807" s="306">
        <f t="shared" ca="1" si="351"/>
        <v>1.2259620381802236</v>
      </c>
      <c r="W807" s="304">
        <f t="shared" ca="1" si="352"/>
        <v>59.415263283898774</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2.3474154233405917</v>
      </c>
      <c r="AH807" s="304">
        <f t="shared" ca="1" si="376"/>
        <v>-7.4464177343242008</v>
      </c>
    </row>
    <row r="808" spans="1:34" x14ac:dyDescent="0.2">
      <c r="A808" s="347">
        <f t="shared" ca="1" si="354"/>
        <v>1E-4</v>
      </c>
      <c r="B808" s="304">
        <f t="shared" ca="1" si="355"/>
        <v>35.808600000000482</v>
      </c>
      <c r="D808" s="306">
        <f t="shared" ca="1" si="356"/>
        <v>-0.42732694374194335</v>
      </c>
      <c r="E808" s="307">
        <f t="shared" ca="1" si="357"/>
        <v>-2.3758166835242536</v>
      </c>
      <c r="F808" s="304">
        <f t="shared" ca="1" si="358"/>
        <v>2.4139414306399427</v>
      </c>
      <c r="G808" s="306">
        <f t="shared" ca="1" si="359"/>
        <v>7.227822585064426</v>
      </c>
      <c r="H808" s="307">
        <f t="shared" ca="1" si="360"/>
        <v>-125.74301262995786</v>
      </c>
      <c r="I808" s="304">
        <f t="shared" ca="1" si="361"/>
        <v>125.9505722280725</v>
      </c>
      <c r="J808" s="306">
        <f t="shared" ca="1" si="362"/>
        <v>468.65916031958193</v>
      </c>
      <c r="K808" s="307">
        <f t="shared" ca="1" si="363"/>
        <v>-7.8628646262988715</v>
      </c>
      <c r="L808" s="304">
        <f t="shared" ca="1" si="348"/>
        <v>468.72511474379854</v>
      </c>
      <c r="M808" s="306">
        <f t="shared" ca="1" si="364"/>
        <v>-1.5133785999265139</v>
      </c>
      <c r="N808" s="304">
        <f t="shared" ca="1" si="365"/>
        <v>-86.710206581206762</v>
      </c>
      <c r="P808" s="310">
        <f t="shared" ca="1" si="366"/>
        <v>23</v>
      </c>
      <c r="Q808" s="304">
        <f t="shared" ca="1" si="367"/>
        <v>0</v>
      </c>
      <c r="R808" s="306">
        <f t="shared" ca="1" si="368"/>
        <v>0</v>
      </c>
      <c r="S808" s="307">
        <f t="shared" ca="1" si="369"/>
        <v>7.9789999999999939</v>
      </c>
      <c r="T808" s="304">
        <f t="shared" ca="1" si="349"/>
        <v>78.273989999999941</v>
      </c>
      <c r="U808" s="311">
        <f t="shared" ca="1" si="350"/>
        <v>0</v>
      </c>
      <c r="V808" s="306">
        <f t="shared" ca="1" si="351"/>
        <v>1.2259635797415749</v>
      </c>
      <c r="W808" s="304">
        <f t="shared" ca="1" si="352"/>
        <v>59.415559463351244</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2.3473785548160286</v>
      </c>
      <c r="AH808" s="304">
        <f t="shared" ca="1" si="376"/>
        <v>-7.446454854480363</v>
      </c>
    </row>
    <row r="809" spans="1:34" x14ac:dyDescent="0.2">
      <c r="A809" s="347">
        <f t="shared" ca="1" si="354"/>
        <v>1E-4</v>
      </c>
      <c r="B809" s="304">
        <f t="shared" ca="1" si="355"/>
        <v>35.808700000000485</v>
      </c>
      <c r="D809" s="306">
        <f t="shared" ca="1" si="356"/>
        <v>-0.4273257510434974</v>
      </c>
      <c r="E809" s="307">
        <f t="shared" ca="1" si="357"/>
        <v>-2.375779433822423</v>
      </c>
      <c r="F809" s="304">
        <f t="shared" ca="1" si="358"/>
        <v>2.413904558112951</v>
      </c>
      <c r="G809" s="306">
        <f t="shared" ca="1" si="359"/>
        <v>7.2277798524893218</v>
      </c>
      <c r="H809" s="307">
        <f t="shared" ca="1" si="360"/>
        <v>-125.74325020790124</v>
      </c>
      <c r="I809" s="304">
        <f t="shared" ca="1" si="361"/>
        <v>125.95080696225374</v>
      </c>
      <c r="J809" s="306">
        <f t="shared" ca="1" si="362"/>
        <v>468.65916031958193</v>
      </c>
      <c r="K809" s="307">
        <f t="shared" ca="1" si="363"/>
        <v>-7.8754389394407642</v>
      </c>
      <c r="L809" s="304">
        <f t="shared" ca="1" si="348"/>
        <v>468.72532584653931</v>
      </c>
      <c r="M809" s="306">
        <f t="shared" ca="1" si="364"/>
        <v>-1.5133790468934438</v>
      </c>
      <c r="N809" s="304">
        <f t="shared" ca="1" si="365"/>
        <v>-86.710232190525431</v>
      </c>
      <c r="P809" s="310">
        <f t="shared" ca="1" si="366"/>
        <v>23</v>
      </c>
      <c r="Q809" s="304">
        <f t="shared" ca="1" si="367"/>
        <v>0</v>
      </c>
      <c r="R809" s="306">
        <f t="shared" ca="1" si="368"/>
        <v>0</v>
      </c>
      <c r="S809" s="307">
        <f t="shared" ca="1" si="369"/>
        <v>7.9789999999999939</v>
      </c>
      <c r="T809" s="304">
        <f t="shared" ca="1" si="349"/>
        <v>78.273989999999941</v>
      </c>
      <c r="U809" s="311">
        <f t="shared" ca="1" si="350"/>
        <v>0</v>
      </c>
      <c r="V809" s="306">
        <f t="shared" ca="1" si="351"/>
        <v>1.2259651213077782</v>
      </c>
      <c r="W809" s="304">
        <f t="shared" ca="1" si="352"/>
        <v>59.41585564053014</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2.3473416865720225</v>
      </c>
      <c r="AH809" s="304">
        <f t="shared" ca="1" si="376"/>
        <v>-7.4464919743515843</v>
      </c>
    </row>
    <row r="810" spans="1:34" x14ac:dyDescent="0.2">
      <c r="A810" s="347">
        <f t="shared" ca="1" si="354"/>
        <v>1E-4</v>
      </c>
      <c r="B810" s="304">
        <f t="shared" ca="1" si="355"/>
        <v>35.808800000000488</v>
      </c>
      <c r="D810" s="306">
        <f t="shared" ca="1" si="356"/>
        <v>-0.42732455832751842</v>
      </c>
      <c r="E810" s="307">
        <f t="shared" ca="1" si="357"/>
        <v>-2.3757421844064899</v>
      </c>
      <c r="F810" s="304">
        <f t="shared" ca="1" si="358"/>
        <v>2.4138676858764088</v>
      </c>
      <c r="G810" s="306">
        <f t="shared" ca="1" si="359"/>
        <v>7.2277371200334892</v>
      </c>
      <c r="H810" s="307">
        <f t="shared" ca="1" si="360"/>
        <v>-125.74348778211969</v>
      </c>
      <c r="I810" s="304">
        <f t="shared" ca="1" si="361"/>
        <v>125.95104169274819</v>
      </c>
      <c r="J810" s="306">
        <f t="shared" ca="1" si="362"/>
        <v>468.65916031958193</v>
      </c>
      <c r="K810" s="307">
        <f t="shared" ca="1" si="363"/>
        <v>-7.8880132763402653</v>
      </c>
      <c r="L810" s="304">
        <f t="shared" ca="1" si="348"/>
        <v>468.72553728691094</v>
      </c>
      <c r="M810" s="306">
        <f t="shared" ca="1" si="364"/>
        <v>-1.5133794938560652</v>
      </c>
      <c r="N810" s="304">
        <f t="shared" ca="1" si="365"/>
        <v>-86.71025779959723</v>
      </c>
      <c r="P810" s="310">
        <f t="shared" ca="1" si="366"/>
        <v>23</v>
      </c>
      <c r="Q810" s="304">
        <f t="shared" ca="1" si="367"/>
        <v>0</v>
      </c>
      <c r="R810" s="306">
        <f t="shared" ca="1" si="368"/>
        <v>0</v>
      </c>
      <c r="S810" s="307">
        <f t="shared" ca="1" si="369"/>
        <v>7.9789999999999939</v>
      </c>
      <c r="T810" s="304">
        <f t="shared" ca="1" si="349"/>
        <v>78.273989999999941</v>
      </c>
      <c r="U810" s="311">
        <f t="shared" ca="1" si="350"/>
        <v>0</v>
      </c>
      <c r="V810" s="306">
        <f t="shared" ca="1" si="351"/>
        <v>1.225966662878833</v>
      </c>
      <c r="W810" s="304">
        <f t="shared" ca="1" si="352"/>
        <v>59.41615181543547</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2.3473048186085812</v>
      </c>
      <c r="AH810" s="304">
        <f t="shared" ca="1" si="376"/>
        <v>-7.4465290939378601</v>
      </c>
    </row>
    <row r="811" spans="1:34" x14ac:dyDescent="0.2">
      <c r="A811" s="347">
        <f t="shared" ca="1" si="354"/>
        <v>1E-4</v>
      </c>
      <c r="B811" s="304">
        <f t="shared" ca="1" si="355"/>
        <v>35.808900000000492</v>
      </c>
      <c r="D811" s="306">
        <f t="shared" ca="1" si="356"/>
        <v>-0.42732336559400586</v>
      </c>
      <c r="E811" s="307">
        <f t="shared" ca="1" si="357"/>
        <v>-2.3757049352764525</v>
      </c>
      <c r="F811" s="304">
        <f t="shared" ca="1" si="358"/>
        <v>2.4138308139303142</v>
      </c>
      <c r="G811" s="306">
        <f t="shared" ca="1" si="359"/>
        <v>7.2276943876969302</v>
      </c>
      <c r="H811" s="307">
        <f t="shared" ca="1" si="360"/>
        <v>-125.74372535261321</v>
      </c>
      <c r="I811" s="304">
        <f t="shared" ca="1" si="361"/>
        <v>125.95127641955585</v>
      </c>
      <c r="J811" s="306">
        <f t="shared" ca="1" si="362"/>
        <v>468.65916031958193</v>
      </c>
      <c r="K811" s="307">
        <f t="shared" ca="1" si="363"/>
        <v>-7.9005876369970016</v>
      </c>
      <c r="L811" s="304">
        <f t="shared" ca="1" si="348"/>
        <v>468.72574906491479</v>
      </c>
      <c r="M811" s="306">
        <f t="shared" ca="1" si="364"/>
        <v>-1.513379940814378</v>
      </c>
      <c r="N811" s="304">
        <f t="shared" ca="1" si="365"/>
        <v>-86.710283408422171</v>
      </c>
      <c r="P811" s="310">
        <f t="shared" ca="1" si="366"/>
        <v>23</v>
      </c>
      <c r="Q811" s="304">
        <f t="shared" ca="1" si="367"/>
        <v>0</v>
      </c>
      <c r="R811" s="306">
        <f t="shared" ca="1" si="368"/>
        <v>0</v>
      </c>
      <c r="S811" s="307">
        <f t="shared" ca="1" si="369"/>
        <v>7.9789999999999939</v>
      </c>
      <c r="T811" s="304">
        <f t="shared" ca="1" si="349"/>
        <v>78.273989999999941</v>
      </c>
      <c r="U811" s="311">
        <f t="shared" ca="1" si="350"/>
        <v>0</v>
      </c>
      <c r="V811" s="306">
        <f t="shared" ca="1" si="351"/>
        <v>1.2259682044547393</v>
      </c>
      <c r="W811" s="304">
        <f t="shared" ca="1" si="352"/>
        <v>59.416447988067176</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2.3472679509257031</v>
      </c>
      <c r="AH811" s="304">
        <f t="shared" ca="1" si="376"/>
        <v>-7.4465662132391923</v>
      </c>
    </row>
    <row r="812" spans="1:34" x14ac:dyDescent="0.2">
      <c r="A812" s="347">
        <f t="shared" ca="1" si="354"/>
        <v>1E-4</v>
      </c>
      <c r="B812" s="304">
        <f t="shared" ca="1" si="355"/>
        <v>35.809000000000495</v>
      </c>
      <c r="D812" s="306">
        <f t="shared" ca="1" si="356"/>
        <v>-0.42732217284296004</v>
      </c>
      <c r="E812" s="307">
        <f t="shared" ca="1" si="357"/>
        <v>-2.375667686432319</v>
      </c>
      <c r="F812" s="304">
        <f t="shared" ca="1" si="358"/>
        <v>2.4137939422746748</v>
      </c>
      <c r="G812" s="306">
        <f t="shared" ca="1" si="359"/>
        <v>7.2276516554796455</v>
      </c>
      <c r="H812" s="307">
        <f t="shared" ca="1" si="360"/>
        <v>-125.74396291938186</v>
      </c>
      <c r="I812" s="304">
        <f t="shared" ca="1" si="361"/>
        <v>125.95151114267679</v>
      </c>
      <c r="J812" s="306">
        <f t="shared" ca="1" si="362"/>
        <v>468.65916031958193</v>
      </c>
      <c r="K812" s="307">
        <f t="shared" ca="1" si="363"/>
        <v>-7.9131620214106011</v>
      </c>
      <c r="L812" s="304">
        <f t="shared" ca="1" si="348"/>
        <v>468.72596118055236</v>
      </c>
      <c r="M812" s="306">
        <f t="shared" ca="1" si="364"/>
        <v>-1.5133803877683825</v>
      </c>
      <c r="N812" s="304">
        <f t="shared" ca="1" si="365"/>
        <v>-86.71030901700027</v>
      </c>
      <c r="P812" s="310">
        <f t="shared" ca="1" si="366"/>
        <v>23</v>
      </c>
      <c r="Q812" s="304">
        <f t="shared" ca="1" si="367"/>
        <v>0</v>
      </c>
      <c r="R812" s="306">
        <f t="shared" ca="1" si="368"/>
        <v>0</v>
      </c>
      <c r="S812" s="307">
        <f t="shared" ca="1" si="369"/>
        <v>7.9789999999999939</v>
      </c>
      <c r="T812" s="304">
        <f t="shared" ca="1" si="349"/>
        <v>78.273989999999941</v>
      </c>
      <c r="U812" s="311">
        <f t="shared" ca="1" si="350"/>
        <v>0</v>
      </c>
      <c r="V812" s="306">
        <f t="shared" ca="1" si="351"/>
        <v>1.2259697460354977</v>
      </c>
      <c r="W812" s="304">
        <f t="shared" ca="1" si="352"/>
        <v>59.416744158425338</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2.3472310835233916</v>
      </c>
      <c r="AH812" s="304">
        <f t="shared" ca="1" si="376"/>
        <v>-7.4466033322555738</v>
      </c>
    </row>
    <row r="813" spans="1:34" x14ac:dyDescent="0.2">
      <c r="A813" s="347">
        <f t="shared" ca="1" si="354"/>
        <v>1E-4</v>
      </c>
      <c r="B813" s="304">
        <f t="shared" ca="1" si="355"/>
        <v>35.809100000000498</v>
      </c>
      <c r="D813" s="306">
        <f t="shared" ca="1" si="356"/>
        <v>-0.4273209800743808</v>
      </c>
      <c r="E813" s="307">
        <f t="shared" ca="1" si="357"/>
        <v>-2.3756304378740802</v>
      </c>
      <c r="F813" s="304">
        <f t="shared" ca="1" si="358"/>
        <v>2.4137570709094822</v>
      </c>
      <c r="G813" s="306">
        <f t="shared" ca="1" si="359"/>
        <v>7.2276089233816379</v>
      </c>
      <c r="H813" s="307">
        <f t="shared" ca="1" si="360"/>
        <v>-125.74420048242564</v>
      </c>
      <c r="I813" s="304">
        <f t="shared" ca="1" si="361"/>
        <v>125.95174586211101</v>
      </c>
      <c r="J813" s="306">
        <f t="shared" ca="1" si="362"/>
        <v>468.65916031958193</v>
      </c>
      <c r="K813" s="307">
        <f t="shared" ca="1" si="363"/>
        <v>-7.9257364295806916</v>
      </c>
      <c r="L813" s="304">
        <f t="shared" ca="1" si="348"/>
        <v>468.72617363382511</v>
      </c>
      <c r="M813" s="306">
        <f t="shared" ca="1" si="364"/>
        <v>-1.5133808347180784</v>
      </c>
      <c r="N813" s="304">
        <f t="shared" ca="1" si="365"/>
        <v>-86.710334625331498</v>
      </c>
      <c r="P813" s="310">
        <f t="shared" ca="1" si="366"/>
        <v>23</v>
      </c>
      <c r="Q813" s="304">
        <f t="shared" ca="1" si="367"/>
        <v>0</v>
      </c>
      <c r="R813" s="306">
        <f t="shared" ca="1" si="368"/>
        <v>0</v>
      </c>
      <c r="S813" s="307">
        <f t="shared" ca="1" si="369"/>
        <v>7.9789999999999939</v>
      </c>
      <c r="T813" s="304">
        <f t="shared" ca="1" si="349"/>
        <v>78.273989999999941</v>
      </c>
      <c r="U813" s="311">
        <f t="shared" ca="1" si="350"/>
        <v>0</v>
      </c>
      <c r="V813" s="306">
        <f t="shared" ca="1" si="351"/>
        <v>1.225971287621108</v>
      </c>
      <c r="W813" s="304">
        <f t="shared" ca="1" si="352"/>
        <v>59.417040326509905</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2.3471942164016371</v>
      </c>
      <c r="AH813" s="304">
        <f t="shared" ca="1" si="376"/>
        <v>-7.4466404509870143</v>
      </c>
    </row>
    <row r="814" spans="1:34" x14ac:dyDescent="0.2">
      <c r="A814" s="347">
        <f t="shared" ca="1" si="354"/>
        <v>1E-4</v>
      </c>
      <c r="B814" s="304">
        <f t="shared" ca="1" si="355"/>
        <v>35.809200000000502</v>
      </c>
      <c r="D814" s="306">
        <f t="shared" ca="1" si="356"/>
        <v>-0.42731978728827025</v>
      </c>
      <c r="E814" s="307">
        <f t="shared" ca="1" si="357"/>
        <v>-2.3755931896017408</v>
      </c>
      <c r="F814" s="304">
        <f t="shared" ca="1" si="358"/>
        <v>2.4137201998347417</v>
      </c>
      <c r="G814" s="306">
        <f t="shared" ca="1" si="359"/>
        <v>7.227566191402909</v>
      </c>
      <c r="H814" s="307">
        <f t="shared" ca="1" si="360"/>
        <v>-125.7444380417446</v>
      </c>
      <c r="I814" s="304">
        <f t="shared" ca="1" si="361"/>
        <v>125.95198057785855</v>
      </c>
      <c r="J814" s="306">
        <f t="shared" ca="1" si="362"/>
        <v>468.65916031958193</v>
      </c>
      <c r="K814" s="307">
        <f t="shared" ca="1" si="363"/>
        <v>-7.9383108615069</v>
      </c>
      <c r="L814" s="304">
        <f t="shared" ca="1" si="348"/>
        <v>468.72638642473447</v>
      </c>
      <c r="M814" s="306">
        <f t="shared" ca="1" si="364"/>
        <v>-1.5133812816634662</v>
      </c>
      <c r="N814" s="304">
        <f t="shared" ca="1" si="365"/>
        <v>-86.710360233415898</v>
      </c>
      <c r="P814" s="310">
        <f t="shared" ca="1" si="366"/>
        <v>23</v>
      </c>
      <c r="Q814" s="304">
        <f t="shared" ca="1" si="367"/>
        <v>0</v>
      </c>
      <c r="R814" s="306">
        <f t="shared" ca="1" si="368"/>
        <v>0</v>
      </c>
      <c r="S814" s="307">
        <f t="shared" ca="1" si="369"/>
        <v>7.9789999999999939</v>
      </c>
      <c r="T814" s="304">
        <f t="shared" ca="1" si="349"/>
        <v>78.273989999999941</v>
      </c>
      <c r="U814" s="311">
        <f t="shared" ca="1" si="350"/>
        <v>0</v>
      </c>
      <c r="V814" s="306">
        <f t="shared" ca="1" si="351"/>
        <v>1.2259728292115697</v>
      </c>
      <c r="W814" s="304">
        <f t="shared" ca="1" si="352"/>
        <v>59.417336492320899</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2.3471573495604501</v>
      </c>
      <c r="AH814" s="304">
        <f t="shared" ca="1" si="376"/>
        <v>-7.4466775694335068</v>
      </c>
    </row>
    <row r="815" spans="1:34" x14ac:dyDescent="0.2">
      <c r="A815" s="347">
        <f t="shared" ca="1" si="354"/>
        <v>1E-4</v>
      </c>
      <c r="B815" s="304">
        <f t="shared" ca="1" si="355"/>
        <v>35.809300000000505</v>
      </c>
      <c r="D815" s="306">
        <f t="shared" ca="1" si="356"/>
        <v>-0.42731859448462611</v>
      </c>
      <c r="E815" s="307">
        <f t="shared" ca="1" si="357"/>
        <v>-2.3755559416152989</v>
      </c>
      <c r="F815" s="304">
        <f t="shared" ca="1" si="358"/>
        <v>2.4136833290504507</v>
      </c>
      <c r="G815" s="306">
        <f t="shared" ca="1" si="359"/>
        <v>7.2275234595434608</v>
      </c>
      <c r="H815" s="307">
        <f t="shared" ca="1" si="360"/>
        <v>-125.74467559733877</v>
      </c>
      <c r="I815" s="304">
        <f t="shared" ca="1" si="361"/>
        <v>125.95221528991944</v>
      </c>
      <c r="J815" s="306">
        <f t="shared" ca="1" si="362"/>
        <v>468.65916031958193</v>
      </c>
      <c r="K815" s="307">
        <f t="shared" ca="1" si="363"/>
        <v>-7.9508853171888543</v>
      </c>
      <c r="L815" s="304">
        <f t="shared" ca="1" si="348"/>
        <v>468.72659955328186</v>
      </c>
      <c r="M815" s="306">
        <f t="shared" ca="1" si="364"/>
        <v>-1.5133817286045457</v>
      </c>
      <c r="N815" s="304">
        <f t="shared" ca="1" si="365"/>
        <v>-86.710385841253441</v>
      </c>
      <c r="P815" s="310">
        <f t="shared" ca="1" si="366"/>
        <v>23</v>
      </c>
      <c r="Q815" s="304">
        <f t="shared" ca="1" si="367"/>
        <v>0</v>
      </c>
      <c r="R815" s="306">
        <f t="shared" ca="1" si="368"/>
        <v>0</v>
      </c>
      <c r="S815" s="307">
        <f t="shared" ca="1" si="369"/>
        <v>7.9789999999999939</v>
      </c>
      <c r="T815" s="304">
        <f t="shared" ca="1" si="349"/>
        <v>78.273989999999941</v>
      </c>
      <c r="U815" s="311">
        <f t="shared" ca="1" si="350"/>
        <v>0</v>
      </c>
      <c r="V815" s="306">
        <f t="shared" ca="1" si="351"/>
        <v>1.2259743708068829</v>
      </c>
      <c r="W815" s="304">
        <f t="shared" ca="1" si="352"/>
        <v>59.41763265585827</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2.3471204829998271</v>
      </c>
      <c r="AH815" s="304">
        <f t="shared" ca="1" si="376"/>
        <v>-7.4467146875950547</v>
      </c>
    </row>
    <row r="816" spans="1:34" x14ac:dyDescent="0.2">
      <c r="A816" s="347">
        <f t="shared" ca="1" si="354"/>
        <v>1E-4</v>
      </c>
      <c r="B816" s="304">
        <f t="shared" ca="1" si="355"/>
        <v>35.809400000000508</v>
      </c>
      <c r="D816" s="306">
        <f t="shared" ca="1" si="356"/>
        <v>-0.42731740166345067</v>
      </c>
      <c r="E816" s="307">
        <f t="shared" ca="1" si="357"/>
        <v>-2.375518693914759</v>
      </c>
      <c r="F816" s="304">
        <f t="shared" ca="1" si="358"/>
        <v>2.413646458556614</v>
      </c>
      <c r="G816" s="306">
        <f t="shared" ca="1" si="359"/>
        <v>7.227480727803294</v>
      </c>
      <c r="H816" s="307">
        <f t="shared" ca="1" si="360"/>
        <v>-125.74491314920816</v>
      </c>
      <c r="I816" s="304">
        <f t="shared" ca="1" si="361"/>
        <v>125.95244999829369</v>
      </c>
      <c r="J816" s="306">
        <f t="shared" ca="1" si="362"/>
        <v>468.65916031958193</v>
      </c>
      <c r="K816" s="307">
        <f t="shared" ca="1" si="363"/>
        <v>-7.9634597966261813</v>
      </c>
      <c r="L816" s="304">
        <f t="shared" ca="1" si="348"/>
        <v>468.72681301946881</v>
      </c>
      <c r="M816" s="306">
        <f t="shared" ca="1" si="364"/>
        <v>-1.5133821755413168</v>
      </c>
      <c r="N816" s="304">
        <f t="shared" ca="1" si="365"/>
        <v>-86.710411448844141</v>
      </c>
      <c r="P816" s="310">
        <f t="shared" ca="1" si="366"/>
        <v>23</v>
      </c>
      <c r="Q816" s="304">
        <f t="shared" ca="1" si="367"/>
        <v>0</v>
      </c>
      <c r="R816" s="306">
        <f t="shared" ca="1" si="368"/>
        <v>0</v>
      </c>
      <c r="S816" s="307">
        <f t="shared" ca="1" si="369"/>
        <v>7.9789999999999939</v>
      </c>
      <c r="T816" s="304">
        <f t="shared" ca="1" si="349"/>
        <v>78.273989999999941</v>
      </c>
      <c r="U816" s="311">
        <f t="shared" ca="1" si="350"/>
        <v>0</v>
      </c>
      <c r="V816" s="306">
        <f t="shared" ca="1" si="351"/>
        <v>1.2259759124070477</v>
      </c>
      <c r="W816" s="304">
        <f t="shared" ca="1" si="352"/>
        <v>59.417928817122075</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2.3470836167197717</v>
      </c>
      <c r="AH816" s="304">
        <f t="shared" ca="1" si="376"/>
        <v>-7.4467518054716528</v>
      </c>
    </row>
    <row r="817" spans="1:34" x14ac:dyDescent="0.2">
      <c r="A817" s="347">
        <f t="shared" ca="1" si="354"/>
        <v>1E-4</v>
      </c>
      <c r="B817" s="304">
        <f t="shared" ca="1" si="355"/>
        <v>35.809500000000511</v>
      </c>
      <c r="D817" s="306">
        <f t="shared" ca="1" si="356"/>
        <v>-0.42731620882474497</v>
      </c>
      <c r="E817" s="307">
        <f t="shared" ca="1" si="357"/>
        <v>-2.3754814465001166</v>
      </c>
      <c r="F817" s="304">
        <f t="shared" ca="1" si="358"/>
        <v>2.413609588353228</v>
      </c>
      <c r="G817" s="306">
        <f t="shared" ca="1" si="359"/>
        <v>7.2274379961824113</v>
      </c>
      <c r="H817" s="307">
        <f t="shared" ca="1" si="360"/>
        <v>-125.74515069735281</v>
      </c>
      <c r="I817" s="304">
        <f t="shared" ca="1" si="361"/>
        <v>125.95268470298134</v>
      </c>
      <c r="J817" s="306">
        <f t="shared" ca="1" si="362"/>
        <v>468.65916031958193</v>
      </c>
      <c r="K817" s="307">
        <f t="shared" ca="1" si="363"/>
        <v>-7.976034299818509</v>
      </c>
      <c r="L817" s="304">
        <f t="shared" ca="1" si="348"/>
        <v>468.72702682329663</v>
      </c>
      <c r="M817" s="306">
        <f t="shared" ca="1" si="364"/>
        <v>-1.5133826224737799</v>
      </c>
      <c r="N817" s="304">
        <f t="shared" ca="1" si="365"/>
        <v>-86.710437056187999</v>
      </c>
      <c r="P817" s="310">
        <f t="shared" ca="1" si="366"/>
        <v>23</v>
      </c>
      <c r="Q817" s="304">
        <f t="shared" ca="1" si="367"/>
        <v>0</v>
      </c>
      <c r="R817" s="306">
        <f t="shared" ca="1" si="368"/>
        <v>0</v>
      </c>
      <c r="S817" s="307">
        <f t="shared" ca="1" si="369"/>
        <v>7.9789999999999939</v>
      </c>
      <c r="T817" s="304">
        <f t="shared" ca="1" si="349"/>
        <v>78.273989999999941</v>
      </c>
      <c r="U817" s="311">
        <f t="shared" ca="1" si="350"/>
        <v>0</v>
      </c>
      <c r="V817" s="306">
        <f t="shared" ca="1" si="351"/>
        <v>1.2259774540120643</v>
      </c>
      <c r="W817" s="304">
        <f t="shared" ca="1" si="352"/>
        <v>59.418224976112263</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2.3470467507202786</v>
      </c>
      <c r="AH817" s="304">
        <f t="shared" ca="1" si="376"/>
        <v>-7.4467889230633064</v>
      </c>
    </row>
    <row r="818" spans="1:34" x14ac:dyDescent="0.2">
      <c r="A818" s="347">
        <f t="shared" ca="1" si="354"/>
        <v>1E-4</v>
      </c>
      <c r="B818" s="304">
        <f t="shared" ca="1" si="355"/>
        <v>35.809600000000515</v>
      </c>
      <c r="D818" s="306">
        <f t="shared" ca="1" si="356"/>
        <v>-0.42731501596850807</v>
      </c>
      <c r="E818" s="307">
        <f t="shared" ca="1" si="357"/>
        <v>-2.3754441993713762</v>
      </c>
      <c r="F818" s="304">
        <f t="shared" ca="1" si="358"/>
        <v>2.4135727184402969</v>
      </c>
      <c r="G818" s="306">
        <f t="shared" ca="1" si="359"/>
        <v>7.2273952646808146</v>
      </c>
      <c r="H818" s="307">
        <f t="shared" ca="1" si="360"/>
        <v>-125.74538824177274</v>
      </c>
      <c r="I818" s="304">
        <f t="shared" ca="1" si="361"/>
        <v>125.95291940398241</v>
      </c>
      <c r="J818" s="306">
        <f t="shared" ca="1" si="362"/>
        <v>468.65916031958193</v>
      </c>
      <c r="K818" s="307">
        <f t="shared" ca="1" si="363"/>
        <v>-7.9886088267654651</v>
      </c>
      <c r="L818" s="304">
        <f t="shared" ca="1" si="348"/>
        <v>468.72724096476691</v>
      </c>
      <c r="M818" s="306">
        <f t="shared" ca="1" si="364"/>
        <v>-1.513383069401935</v>
      </c>
      <c r="N818" s="304">
        <f t="shared" ca="1" si="365"/>
        <v>-86.710462663285028</v>
      </c>
      <c r="P818" s="310">
        <f t="shared" ca="1" si="366"/>
        <v>23</v>
      </c>
      <c r="Q818" s="304">
        <f t="shared" ca="1" si="367"/>
        <v>0</v>
      </c>
      <c r="R818" s="306">
        <f t="shared" ca="1" si="368"/>
        <v>0</v>
      </c>
      <c r="S818" s="307">
        <f t="shared" ca="1" si="369"/>
        <v>7.9789999999999939</v>
      </c>
      <c r="T818" s="304">
        <f t="shared" ca="1" si="349"/>
        <v>78.273989999999941</v>
      </c>
      <c r="U818" s="311">
        <f t="shared" ca="1" si="350"/>
        <v>0</v>
      </c>
      <c r="V818" s="306">
        <f t="shared" ca="1" si="351"/>
        <v>1.2259789956219322</v>
      </c>
      <c r="W818" s="304">
        <f t="shared" ca="1" si="352"/>
        <v>59.418521132828829</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2.3470098850013548</v>
      </c>
      <c r="AH818" s="304">
        <f t="shared" ca="1" si="376"/>
        <v>-7.4468260403700102</v>
      </c>
    </row>
    <row r="819" spans="1:34" x14ac:dyDescent="0.2">
      <c r="A819" s="347">
        <f t="shared" ca="1" si="354"/>
        <v>1E-4</v>
      </c>
      <c r="B819" s="304">
        <f t="shared" ca="1" si="355"/>
        <v>35.809700000000518</v>
      </c>
      <c r="D819" s="306">
        <f t="shared" ca="1" si="356"/>
        <v>-0.42731382309473898</v>
      </c>
      <c r="E819" s="307">
        <f t="shared" ca="1" si="357"/>
        <v>-2.3754069525285413</v>
      </c>
      <c r="F819" s="304">
        <f t="shared" ca="1" si="358"/>
        <v>2.413535848817824</v>
      </c>
      <c r="G819" s="306">
        <f t="shared" ca="1" si="359"/>
        <v>7.2273525332985056</v>
      </c>
      <c r="H819" s="307">
        <f t="shared" ca="1" si="360"/>
        <v>-125.745625782468</v>
      </c>
      <c r="I819" s="304">
        <f t="shared" ca="1" si="361"/>
        <v>125.95315410129695</v>
      </c>
      <c r="J819" s="306">
        <f t="shared" ca="1" si="362"/>
        <v>468.65916031958193</v>
      </c>
      <c r="K819" s="307">
        <f t="shared" ca="1" si="363"/>
        <v>-8.0011833774666776</v>
      </c>
      <c r="L819" s="304">
        <f t="shared" ca="1" si="348"/>
        <v>468.72745544388101</v>
      </c>
      <c r="M819" s="306">
        <f t="shared" ca="1" si="364"/>
        <v>-1.5133835163257821</v>
      </c>
      <c r="N819" s="304">
        <f t="shared" ca="1" si="365"/>
        <v>-86.71048827013523</v>
      </c>
      <c r="P819" s="310">
        <f t="shared" ca="1" si="366"/>
        <v>23</v>
      </c>
      <c r="Q819" s="304">
        <f t="shared" ca="1" si="367"/>
        <v>0</v>
      </c>
      <c r="R819" s="306">
        <f t="shared" ca="1" si="368"/>
        <v>0</v>
      </c>
      <c r="S819" s="307">
        <f t="shared" ca="1" si="369"/>
        <v>7.9789999999999939</v>
      </c>
      <c r="T819" s="304">
        <f t="shared" ca="1" si="349"/>
        <v>78.273989999999941</v>
      </c>
      <c r="U819" s="311">
        <f t="shared" ca="1" si="350"/>
        <v>0</v>
      </c>
      <c r="V819" s="306">
        <f t="shared" ca="1" si="351"/>
        <v>1.2259805372366517</v>
      </c>
      <c r="W819" s="304">
        <f t="shared" ca="1" si="352"/>
        <v>59.418817287271807</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2.3469730195630021</v>
      </c>
      <c r="AH819" s="304">
        <f t="shared" ca="1" si="376"/>
        <v>-7.4468631573917623</v>
      </c>
    </row>
    <row r="820" spans="1:34" x14ac:dyDescent="0.2">
      <c r="A820" s="347">
        <f t="shared" ca="1" si="354"/>
        <v>1E-4</v>
      </c>
      <c r="B820" s="304">
        <f t="shared" ca="1" si="355"/>
        <v>35.809800000000521</v>
      </c>
      <c r="D820" s="306">
        <f t="shared" ca="1" si="356"/>
        <v>-0.42731263020344051</v>
      </c>
      <c r="E820" s="307">
        <f t="shared" ca="1" si="357"/>
        <v>-2.375369705971603</v>
      </c>
      <c r="F820" s="304">
        <f t="shared" ca="1" si="358"/>
        <v>2.4134989794858006</v>
      </c>
      <c r="G820" s="306">
        <f t="shared" ca="1" si="359"/>
        <v>7.2273098020354851</v>
      </c>
      <c r="H820" s="307">
        <f t="shared" ca="1" si="360"/>
        <v>-125.7458633194386</v>
      </c>
      <c r="I820" s="304">
        <f t="shared" ca="1" si="361"/>
        <v>125.95338879492498</v>
      </c>
      <c r="J820" s="306">
        <f t="shared" ca="1" si="362"/>
        <v>468.65916031958193</v>
      </c>
      <c r="K820" s="307">
        <f t="shared" ca="1" si="363"/>
        <v>-8.0137579519217734</v>
      </c>
      <c r="L820" s="304">
        <f t="shared" ca="1" si="348"/>
        <v>468.72767026064037</v>
      </c>
      <c r="M820" s="306">
        <f t="shared" ca="1" si="364"/>
        <v>-1.5133839632453212</v>
      </c>
      <c r="N820" s="304">
        <f t="shared" ca="1" si="365"/>
        <v>-86.710513876738602</v>
      </c>
      <c r="P820" s="310">
        <f t="shared" ca="1" si="366"/>
        <v>23</v>
      </c>
      <c r="Q820" s="304">
        <f t="shared" ca="1" si="367"/>
        <v>0</v>
      </c>
      <c r="R820" s="306">
        <f t="shared" ca="1" si="368"/>
        <v>0</v>
      </c>
      <c r="S820" s="307">
        <f t="shared" ca="1" si="369"/>
        <v>7.9789999999999939</v>
      </c>
      <c r="T820" s="304">
        <f t="shared" ca="1" si="349"/>
        <v>78.273989999999941</v>
      </c>
      <c r="U820" s="311">
        <f t="shared" ca="1" si="350"/>
        <v>0</v>
      </c>
      <c r="V820" s="306">
        <f t="shared" ca="1" si="351"/>
        <v>1.2259820788562226</v>
      </c>
      <c r="W820" s="304">
        <f t="shared" ca="1" si="352"/>
        <v>59.41911343944119</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2.3469361544052125</v>
      </c>
      <c r="AH820" s="304">
        <f t="shared" ca="1" si="376"/>
        <v>-7.446900274128569</v>
      </c>
    </row>
    <row r="821" spans="1:34" x14ac:dyDescent="0.2">
      <c r="A821" s="347">
        <f t="shared" ca="1" si="354"/>
        <v>1E-4</v>
      </c>
      <c r="B821" s="304">
        <f t="shared" ca="1" si="355"/>
        <v>35.809900000000525</v>
      </c>
      <c r="D821" s="306">
        <f t="shared" ca="1" si="356"/>
        <v>-0.42731143729461185</v>
      </c>
      <c r="E821" s="307">
        <f t="shared" ca="1" si="357"/>
        <v>-2.3753324597005658</v>
      </c>
      <c r="F821" s="304">
        <f t="shared" ca="1" si="358"/>
        <v>2.413462110444232</v>
      </c>
      <c r="G821" s="306">
        <f t="shared" ca="1" si="359"/>
        <v>7.2272670708917559</v>
      </c>
      <c r="H821" s="307">
        <f t="shared" ca="1" si="360"/>
        <v>-125.74610085268456</v>
      </c>
      <c r="I821" s="304">
        <f t="shared" ca="1" si="361"/>
        <v>125.9536234848665</v>
      </c>
      <c r="J821" s="306">
        <f t="shared" ca="1" si="362"/>
        <v>468.65916031958193</v>
      </c>
      <c r="K821" s="307">
        <f t="shared" ca="1" si="363"/>
        <v>-8.0263325501303804</v>
      </c>
      <c r="L821" s="304">
        <f t="shared" ca="1" si="348"/>
        <v>468.72788541504639</v>
      </c>
      <c r="M821" s="306">
        <f t="shared" ca="1" si="364"/>
        <v>-1.5133844101605525</v>
      </c>
      <c r="N821" s="304">
        <f t="shared" ca="1" si="365"/>
        <v>-86.710539483095161</v>
      </c>
      <c r="P821" s="310">
        <f t="shared" ca="1" si="366"/>
        <v>23</v>
      </c>
      <c r="Q821" s="304">
        <f t="shared" ca="1" si="367"/>
        <v>0</v>
      </c>
      <c r="R821" s="306">
        <f t="shared" ca="1" si="368"/>
        <v>0</v>
      </c>
      <c r="S821" s="307">
        <f t="shared" ca="1" si="369"/>
        <v>7.9789999999999939</v>
      </c>
      <c r="T821" s="304">
        <f t="shared" ca="1" si="349"/>
        <v>78.273989999999941</v>
      </c>
      <c r="U821" s="311">
        <f t="shared" ca="1" si="350"/>
        <v>0</v>
      </c>
      <c r="V821" s="306">
        <f t="shared" ca="1" si="351"/>
        <v>1.2259836204806449</v>
      </c>
      <c r="W821" s="304">
        <f t="shared" ca="1" si="352"/>
        <v>59.419409589336937</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2.3468992895279888</v>
      </c>
      <c r="AH821" s="304">
        <f t="shared" ca="1" si="376"/>
        <v>-7.4469373905804277</v>
      </c>
    </row>
    <row r="822" spans="1:34" x14ac:dyDescent="0.2">
      <c r="A822" s="347">
        <f t="shared" ca="1" si="354"/>
        <v>1E-4</v>
      </c>
      <c r="B822" s="304">
        <f t="shared" ca="1" si="355"/>
        <v>35.810000000000528</v>
      </c>
      <c r="D822" s="306">
        <f t="shared" ca="1" si="356"/>
        <v>-0.4273102443682536</v>
      </c>
      <c r="E822" s="307">
        <f t="shared" ca="1" si="357"/>
        <v>-2.3752952137154333</v>
      </c>
      <c r="F822" s="304">
        <f t="shared" ca="1" si="358"/>
        <v>2.4134252416931217</v>
      </c>
      <c r="G822" s="306">
        <f t="shared" ca="1" si="359"/>
        <v>7.2272243398673188</v>
      </c>
      <c r="H822" s="307">
        <f t="shared" ca="1" si="360"/>
        <v>-125.74633838220593</v>
      </c>
      <c r="I822" s="304">
        <f t="shared" ca="1" si="361"/>
        <v>125.95385817112157</v>
      </c>
      <c r="J822" s="306">
        <f t="shared" ca="1" si="362"/>
        <v>468.65916031958193</v>
      </c>
      <c r="K822" s="307">
        <f t="shared" ca="1" si="363"/>
        <v>-8.0389071720921255</v>
      </c>
      <c r="L822" s="304">
        <f t="shared" ca="1" si="348"/>
        <v>468.72810090710061</v>
      </c>
      <c r="M822" s="306">
        <f t="shared" ca="1" si="364"/>
        <v>-1.5133848570714759</v>
      </c>
      <c r="N822" s="304">
        <f t="shared" ca="1" si="365"/>
        <v>-86.710565089204891</v>
      </c>
      <c r="P822" s="310">
        <f t="shared" ca="1" si="366"/>
        <v>23</v>
      </c>
      <c r="Q822" s="304">
        <f t="shared" ca="1" si="367"/>
        <v>0</v>
      </c>
      <c r="R822" s="306">
        <f t="shared" ca="1" si="368"/>
        <v>0</v>
      </c>
      <c r="S822" s="307">
        <f t="shared" ca="1" si="369"/>
        <v>7.9789999999999939</v>
      </c>
      <c r="T822" s="304">
        <f t="shared" ca="1" si="349"/>
        <v>78.273989999999941</v>
      </c>
      <c r="U822" s="311">
        <f t="shared" ca="1" si="350"/>
        <v>0</v>
      </c>
      <c r="V822" s="306">
        <f t="shared" ca="1" si="351"/>
        <v>1.2259851621099189</v>
      </c>
      <c r="W822" s="304">
        <f t="shared" ca="1" si="352"/>
        <v>59.419705736959081</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2.3468624249313361</v>
      </c>
      <c r="AH822" s="304">
        <f t="shared" ca="1" si="376"/>
        <v>-7.4469745067473347</v>
      </c>
    </row>
    <row r="823" spans="1:34" x14ac:dyDescent="0.2">
      <c r="A823" s="347">
        <f t="shared" ca="1" si="354"/>
        <v>1E-4</v>
      </c>
      <c r="B823" s="304">
        <f t="shared" ca="1" si="355"/>
        <v>35.810100000000531</v>
      </c>
      <c r="D823" s="306">
        <f t="shared" ca="1" si="356"/>
        <v>-0.42730905142436676</v>
      </c>
      <c r="E823" s="307">
        <f t="shared" ca="1" si="357"/>
        <v>-2.3752579680162018</v>
      </c>
      <c r="F823" s="304">
        <f t="shared" ca="1" si="358"/>
        <v>2.4133883732324661</v>
      </c>
      <c r="G823" s="306">
        <f t="shared" ca="1" si="359"/>
        <v>7.2271816089621765</v>
      </c>
      <c r="H823" s="307">
        <f t="shared" ca="1" si="360"/>
        <v>-125.74657590800274</v>
      </c>
      <c r="I823" s="304">
        <f t="shared" ca="1" si="361"/>
        <v>125.95409285369021</v>
      </c>
      <c r="J823" s="306">
        <f t="shared" ca="1" si="362"/>
        <v>468.65916031958193</v>
      </c>
      <c r="K823" s="307">
        <f t="shared" ca="1" si="363"/>
        <v>-8.0514818178066356</v>
      </c>
      <c r="L823" s="304">
        <f t="shared" ca="1" si="348"/>
        <v>468.7283167368044</v>
      </c>
      <c r="M823" s="306">
        <f t="shared" ca="1" si="364"/>
        <v>-1.5133853039780913</v>
      </c>
      <c r="N823" s="304">
        <f t="shared" ca="1" si="365"/>
        <v>-86.710590695067793</v>
      </c>
      <c r="P823" s="310">
        <f t="shared" ca="1" si="366"/>
        <v>23</v>
      </c>
      <c r="Q823" s="304">
        <f t="shared" ca="1" si="367"/>
        <v>0</v>
      </c>
      <c r="R823" s="306">
        <f t="shared" ca="1" si="368"/>
        <v>0</v>
      </c>
      <c r="S823" s="307">
        <f t="shared" ca="1" si="369"/>
        <v>7.9789999999999939</v>
      </c>
      <c r="T823" s="304">
        <f t="shared" ca="1" si="349"/>
        <v>78.273989999999941</v>
      </c>
      <c r="U823" s="311">
        <f t="shared" ca="1" si="350"/>
        <v>0</v>
      </c>
      <c r="V823" s="306">
        <f t="shared" ca="1" si="351"/>
        <v>1.2259867037440439</v>
      </c>
      <c r="W823" s="304">
        <f t="shared" ca="1" si="352"/>
        <v>59.420001882307602</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2.3468255606152519</v>
      </c>
      <c r="AH823" s="304">
        <f t="shared" ca="1" si="376"/>
        <v>-7.4470116226292928</v>
      </c>
    </row>
    <row r="824" spans="1:34" x14ac:dyDescent="0.2">
      <c r="A824" s="347">
        <f t="shared" ca="1" si="354"/>
        <v>1E-4</v>
      </c>
      <c r="B824" s="304">
        <f t="shared" ca="1" si="355"/>
        <v>35.810200000000535</v>
      </c>
      <c r="D824" s="306">
        <f t="shared" ca="1" si="356"/>
        <v>-0.42730785846295216</v>
      </c>
      <c r="E824" s="307">
        <f t="shared" ca="1" si="357"/>
        <v>-2.3752207226028741</v>
      </c>
      <c r="F824" s="304">
        <f t="shared" ca="1" si="358"/>
        <v>2.4133515050622676</v>
      </c>
      <c r="G824" s="306">
        <f t="shared" ca="1" si="359"/>
        <v>7.2271388781763299</v>
      </c>
      <c r="H824" s="307">
        <f t="shared" ca="1" si="360"/>
        <v>-125.74681343007499</v>
      </c>
      <c r="I824" s="304">
        <f t="shared" ca="1" si="361"/>
        <v>125.95432753257245</v>
      </c>
      <c r="J824" s="306">
        <f t="shared" ca="1" si="362"/>
        <v>468.65916031958193</v>
      </c>
      <c r="K824" s="307">
        <f t="shared" ca="1" si="363"/>
        <v>-8.0640564872735396</v>
      </c>
      <c r="L824" s="304">
        <f t="shared" ca="1" si="348"/>
        <v>468.72853290415929</v>
      </c>
      <c r="M824" s="306">
        <f t="shared" ca="1" si="364"/>
        <v>-1.5133857508803994</v>
      </c>
      <c r="N824" s="304">
        <f t="shared" ca="1" si="365"/>
        <v>-86.710616300683895</v>
      </c>
      <c r="P824" s="310">
        <f t="shared" ca="1" si="366"/>
        <v>23</v>
      </c>
      <c r="Q824" s="304">
        <f t="shared" ca="1" si="367"/>
        <v>0</v>
      </c>
      <c r="R824" s="306">
        <f t="shared" ca="1" si="368"/>
        <v>0</v>
      </c>
      <c r="S824" s="307">
        <f t="shared" ca="1" si="369"/>
        <v>7.9789999999999939</v>
      </c>
      <c r="T824" s="304">
        <f t="shared" ca="1" si="349"/>
        <v>78.273989999999941</v>
      </c>
      <c r="U824" s="311">
        <f t="shared" ca="1" si="350"/>
        <v>0</v>
      </c>
      <c r="V824" s="306">
        <f t="shared" ca="1" si="351"/>
        <v>1.2259882453830206</v>
      </c>
      <c r="W824" s="304">
        <f t="shared" ca="1" si="352"/>
        <v>59.4202980253825</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2.3467886965797398</v>
      </c>
      <c r="AH824" s="304">
        <f t="shared" ca="1" si="376"/>
        <v>-7.4470487382263002</v>
      </c>
    </row>
    <row r="825" spans="1:34" x14ac:dyDescent="0.2">
      <c r="A825" s="347">
        <f t="shared" ca="1" si="354"/>
        <v>1E-4</v>
      </c>
      <c r="B825" s="304">
        <f t="shared" ca="1" si="355"/>
        <v>35.810300000000538</v>
      </c>
      <c r="D825" s="306">
        <f t="shared" ca="1" si="356"/>
        <v>-0.42730666548400731</v>
      </c>
      <c r="E825" s="307">
        <f t="shared" ca="1" si="357"/>
        <v>-2.3751834774754492</v>
      </c>
      <c r="F825" s="304">
        <f t="shared" ca="1" si="358"/>
        <v>2.4133146371825265</v>
      </c>
      <c r="G825" s="306">
        <f t="shared" ca="1" si="359"/>
        <v>7.2270961475097817</v>
      </c>
      <c r="H825" s="307">
        <f t="shared" ca="1" si="360"/>
        <v>-125.74705094842274</v>
      </c>
      <c r="I825" s="304">
        <f t="shared" ca="1" si="361"/>
        <v>125.95456220776829</v>
      </c>
      <c r="J825" s="306">
        <f t="shared" ca="1" si="362"/>
        <v>468.65916031958193</v>
      </c>
      <c r="K825" s="307">
        <f t="shared" ca="1" si="363"/>
        <v>-8.0766311804924644</v>
      </c>
      <c r="L825" s="304">
        <f t="shared" ca="1" si="348"/>
        <v>468.7287494091666</v>
      </c>
      <c r="M825" s="306">
        <f t="shared" ca="1" si="364"/>
        <v>-1.5133861977783998</v>
      </c>
      <c r="N825" s="304">
        <f t="shared" ca="1" si="365"/>
        <v>-86.710641906053183</v>
      </c>
      <c r="P825" s="310">
        <f t="shared" ca="1" si="366"/>
        <v>23</v>
      </c>
      <c r="Q825" s="304">
        <f t="shared" ca="1" si="367"/>
        <v>0</v>
      </c>
      <c r="R825" s="306">
        <f t="shared" ca="1" si="368"/>
        <v>0</v>
      </c>
      <c r="S825" s="307">
        <f t="shared" ca="1" si="369"/>
        <v>7.9789999999999939</v>
      </c>
      <c r="T825" s="304">
        <f t="shared" ca="1" si="349"/>
        <v>78.273989999999941</v>
      </c>
      <c r="U825" s="311">
        <f t="shared" ca="1" si="350"/>
        <v>0</v>
      </c>
      <c r="V825" s="306">
        <f t="shared" ca="1" si="351"/>
        <v>1.2259897870268484</v>
      </c>
      <c r="W825" s="304">
        <f t="shared" ca="1" si="352"/>
        <v>59.420594166183747</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2.3467518328247943</v>
      </c>
      <c r="AH825" s="304">
        <f t="shared" ca="1" si="376"/>
        <v>-7.4470858535383568</v>
      </c>
    </row>
    <row r="826" spans="1:34" x14ac:dyDescent="0.2">
      <c r="A826" s="347">
        <f t="shared" ca="1" si="354"/>
        <v>1E-4</v>
      </c>
      <c r="B826" s="304">
        <f t="shared" ca="1" si="355"/>
        <v>35.810400000000541</v>
      </c>
      <c r="D826" s="306">
        <f t="shared" ca="1" si="356"/>
        <v>-0.42730547248753442</v>
      </c>
      <c r="E826" s="307">
        <f t="shared" ca="1" si="357"/>
        <v>-2.3751462326339325</v>
      </c>
      <c r="F826" s="304">
        <f t="shared" ca="1" si="358"/>
        <v>2.4132777695932472</v>
      </c>
      <c r="G826" s="306">
        <f t="shared" ca="1" si="359"/>
        <v>7.2270534169625327</v>
      </c>
      <c r="H826" s="307">
        <f t="shared" ca="1" si="360"/>
        <v>-125.747288463046</v>
      </c>
      <c r="I826" s="304">
        <f t="shared" ca="1" si="361"/>
        <v>125.95479687927781</v>
      </c>
      <c r="J826" s="306">
        <f t="shared" ca="1" si="362"/>
        <v>468.65916031958193</v>
      </c>
      <c r="K826" s="307">
        <f t="shared" ca="1" si="363"/>
        <v>-8.089205897463037</v>
      </c>
      <c r="L826" s="304">
        <f t="shared" ca="1" si="348"/>
        <v>468.72896625182779</v>
      </c>
      <c r="M826" s="306">
        <f t="shared" ca="1" si="364"/>
        <v>-1.5133866446720925</v>
      </c>
      <c r="N826" s="304">
        <f t="shared" ca="1" si="365"/>
        <v>-86.710667511175672</v>
      </c>
      <c r="P826" s="310">
        <f t="shared" ca="1" si="366"/>
        <v>23</v>
      </c>
      <c r="Q826" s="304">
        <f t="shared" ca="1" si="367"/>
        <v>0</v>
      </c>
      <c r="R826" s="306">
        <f t="shared" ca="1" si="368"/>
        <v>0</v>
      </c>
      <c r="S826" s="307">
        <f t="shared" ca="1" si="369"/>
        <v>7.9789999999999939</v>
      </c>
      <c r="T826" s="304">
        <f t="shared" ca="1" si="349"/>
        <v>78.273989999999941</v>
      </c>
      <c r="U826" s="311">
        <f t="shared" ca="1" si="350"/>
        <v>0</v>
      </c>
      <c r="V826" s="306">
        <f t="shared" ca="1" si="351"/>
        <v>1.225991328675528</v>
      </c>
      <c r="W826" s="304">
        <f t="shared" ca="1" si="352"/>
        <v>59.420890304711413</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2.3467149693504235</v>
      </c>
      <c r="AH826" s="304">
        <f t="shared" ca="1" si="376"/>
        <v>-7.4471229685654583</v>
      </c>
    </row>
    <row r="827" spans="1:34" x14ac:dyDescent="0.2">
      <c r="A827" s="347">
        <f t="shared" ca="1" si="354"/>
        <v>1E-4</v>
      </c>
      <c r="B827" s="304">
        <f t="shared" ca="1" si="355"/>
        <v>35.810500000000545</v>
      </c>
      <c r="D827" s="306">
        <f t="shared" ca="1" si="356"/>
        <v>-0.42730427947353505</v>
      </c>
      <c r="E827" s="307">
        <f t="shared" ca="1" si="357"/>
        <v>-2.3751089880783134</v>
      </c>
      <c r="F827" s="304">
        <f t="shared" ca="1" si="358"/>
        <v>2.4132409022944201</v>
      </c>
      <c r="G827" s="306">
        <f t="shared" ca="1" si="359"/>
        <v>7.2270106865345856</v>
      </c>
      <c r="H827" s="307">
        <f t="shared" ca="1" si="360"/>
        <v>-125.74752597394482</v>
      </c>
      <c r="I827" s="304">
        <f t="shared" ca="1" si="361"/>
        <v>125.95503154710102</v>
      </c>
      <c r="J827" s="306">
        <f t="shared" ca="1" si="362"/>
        <v>468.65916031958193</v>
      </c>
      <c r="K827" s="307">
        <f t="shared" ca="1" si="363"/>
        <v>-8.101780638184886</v>
      </c>
      <c r="L827" s="304">
        <f t="shared" ca="1" si="348"/>
        <v>468.7291834321444</v>
      </c>
      <c r="M827" s="306">
        <f t="shared" ca="1" si="364"/>
        <v>-1.5133870915614778</v>
      </c>
      <c r="N827" s="304">
        <f t="shared" ca="1" si="365"/>
        <v>-86.71069311605136</v>
      </c>
      <c r="P827" s="310">
        <f t="shared" ca="1" si="366"/>
        <v>23</v>
      </c>
      <c r="Q827" s="304">
        <f t="shared" ca="1" si="367"/>
        <v>0</v>
      </c>
      <c r="R827" s="306">
        <f t="shared" ca="1" si="368"/>
        <v>0</v>
      </c>
      <c r="S827" s="307">
        <f t="shared" ca="1" si="369"/>
        <v>7.9789999999999939</v>
      </c>
      <c r="T827" s="304">
        <f t="shared" ca="1" si="349"/>
        <v>78.273989999999941</v>
      </c>
      <c r="U827" s="311">
        <f t="shared" ca="1" si="350"/>
        <v>0</v>
      </c>
      <c r="V827" s="306">
        <f t="shared" ca="1" si="351"/>
        <v>1.2259928703290583</v>
      </c>
      <c r="W827" s="304">
        <f t="shared" ca="1" si="352"/>
        <v>59.421186440965435</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2.3466781061566166</v>
      </c>
      <c r="AH827" s="304">
        <f t="shared" ca="1" si="376"/>
        <v>-7.4471600833076153</v>
      </c>
    </row>
    <row r="828" spans="1:34" x14ac:dyDescent="0.2">
      <c r="A828" s="347">
        <f t="shared" ca="1" si="354"/>
        <v>1E-4</v>
      </c>
      <c r="B828" s="304">
        <f t="shared" ca="1" si="355"/>
        <v>35.810600000000548</v>
      </c>
      <c r="D828" s="306">
        <f t="shared" ca="1" si="356"/>
        <v>-0.42730308644200787</v>
      </c>
      <c r="E828" s="307">
        <f t="shared" ca="1" si="357"/>
        <v>-2.3750717438086006</v>
      </c>
      <c r="F828" s="304">
        <f t="shared" ca="1" si="358"/>
        <v>2.413204035286054</v>
      </c>
      <c r="G828" s="306">
        <f t="shared" ca="1" si="359"/>
        <v>7.2269679562259412</v>
      </c>
      <c r="H828" s="307">
        <f t="shared" ca="1" si="360"/>
        <v>-125.74776348111919</v>
      </c>
      <c r="I828" s="304">
        <f t="shared" ca="1" si="361"/>
        <v>125.95526621123791</v>
      </c>
      <c r="J828" s="306">
        <f t="shared" ca="1" si="362"/>
        <v>468.65916031958193</v>
      </c>
      <c r="K828" s="307">
        <f t="shared" ca="1" si="363"/>
        <v>-8.1143554026576385</v>
      </c>
      <c r="L828" s="304">
        <f t="shared" ca="1" si="348"/>
        <v>468.72940095011774</v>
      </c>
      <c r="M828" s="306">
        <f t="shared" ca="1" si="364"/>
        <v>-1.5133875384465556</v>
      </c>
      <c r="N828" s="304">
        <f t="shared" ca="1" si="365"/>
        <v>-86.710718720680248</v>
      </c>
      <c r="P828" s="310">
        <f t="shared" ca="1" si="366"/>
        <v>23</v>
      </c>
      <c r="Q828" s="304">
        <f t="shared" ca="1" si="367"/>
        <v>0</v>
      </c>
      <c r="R828" s="306">
        <f t="shared" ca="1" si="368"/>
        <v>0</v>
      </c>
      <c r="S828" s="307">
        <f t="shared" ca="1" si="369"/>
        <v>7.9789999999999939</v>
      </c>
      <c r="T828" s="304">
        <f t="shared" ca="1" si="349"/>
        <v>78.273989999999941</v>
      </c>
      <c r="U828" s="311">
        <f t="shared" ca="1" si="350"/>
        <v>0</v>
      </c>
      <c r="V828" s="306">
        <f t="shared" ca="1" si="351"/>
        <v>1.2259944119874397</v>
      </c>
      <c r="W828" s="304">
        <f t="shared" ca="1" si="352"/>
        <v>59.421482574945792</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2.3466412432433819</v>
      </c>
      <c r="AH828" s="304">
        <f t="shared" ca="1" si="376"/>
        <v>-7.4471971977648179</v>
      </c>
    </row>
    <row r="829" spans="1:34" x14ac:dyDescent="0.2">
      <c r="A829" s="347">
        <f t="shared" ca="1" si="354"/>
        <v>1E-4</v>
      </c>
      <c r="B829" s="304">
        <f t="shared" ca="1" si="355"/>
        <v>35.810700000000551</v>
      </c>
      <c r="D829" s="306">
        <f t="shared" ca="1" si="356"/>
        <v>-0.42730189339295349</v>
      </c>
      <c r="E829" s="307">
        <f t="shared" ca="1" si="357"/>
        <v>-2.375034499824797</v>
      </c>
      <c r="F829" s="304">
        <f t="shared" ca="1" si="358"/>
        <v>2.4131671685681511</v>
      </c>
      <c r="G829" s="306">
        <f t="shared" ca="1" si="359"/>
        <v>7.2269252260366024</v>
      </c>
      <c r="H829" s="307">
        <f t="shared" ca="1" si="360"/>
        <v>-125.74800098456917</v>
      </c>
      <c r="I829" s="304">
        <f t="shared" ca="1" si="361"/>
        <v>125.95550087168854</v>
      </c>
      <c r="J829" s="306">
        <f t="shared" ca="1" si="362"/>
        <v>468.65916031958193</v>
      </c>
      <c r="K829" s="307">
        <f t="shared" ca="1" si="363"/>
        <v>-8.1269301908809233</v>
      </c>
      <c r="L829" s="304">
        <f t="shared" ca="1" si="348"/>
        <v>468.72961880574928</v>
      </c>
      <c r="M829" s="306">
        <f t="shared" ca="1" si="364"/>
        <v>-1.513387985327326</v>
      </c>
      <c r="N829" s="304">
        <f t="shared" ca="1" si="365"/>
        <v>-86.710744325062336</v>
      </c>
      <c r="P829" s="310">
        <f t="shared" ca="1" si="366"/>
        <v>23</v>
      </c>
      <c r="Q829" s="304">
        <f t="shared" ca="1" si="367"/>
        <v>0</v>
      </c>
      <c r="R829" s="306">
        <f t="shared" ca="1" si="368"/>
        <v>0</v>
      </c>
      <c r="S829" s="307">
        <f t="shared" ca="1" si="369"/>
        <v>7.9789999999999939</v>
      </c>
      <c r="T829" s="304">
        <f t="shared" ca="1" si="349"/>
        <v>78.273989999999941</v>
      </c>
      <c r="U829" s="311">
        <f t="shared" ca="1" si="350"/>
        <v>0</v>
      </c>
      <c r="V829" s="306">
        <f t="shared" ca="1" si="351"/>
        <v>1.2259959536506724</v>
      </c>
      <c r="W829" s="304">
        <f t="shared" ca="1" si="352"/>
        <v>59.421778706652496</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2.3466043806107262</v>
      </c>
      <c r="AH829" s="304">
        <f t="shared" ca="1" si="376"/>
        <v>-7.4472343119370645</v>
      </c>
    </row>
    <row r="830" spans="1:34" x14ac:dyDescent="0.2">
      <c r="A830" s="347">
        <f t="shared" ca="1" si="354"/>
        <v>1E-4</v>
      </c>
      <c r="B830" s="304">
        <f t="shared" ca="1" si="355"/>
        <v>35.810800000000555</v>
      </c>
      <c r="D830" s="306">
        <f t="shared" ca="1" si="356"/>
        <v>-0.42730070032637302</v>
      </c>
      <c r="E830" s="307">
        <f t="shared" ca="1" si="357"/>
        <v>-2.3749972561268997</v>
      </c>
      <c r="F830" s="304">
        <f t="shared" ca="1" si="358"/>
        <v>2.4131303021407096</v>
      </c>
      <c r="G830" s="306">
        <f t="shared" ca="1" si="359"/>
        <v>7.2268824959665698</v>
      </c>
      <c r="H830" s="307">
        <f t="shared" ca="1" si="360"/>
        <v>-125.74823848429479</v>
      </c>
      <c r="I830" s="304">
        <f t="shared" ca="1" si="361"/>
        <v>125.95573552845295</v>
      </c>
      <c r="J830" s="306">
        <f t="shared" ca="1" si="362"/>
        <v>468.65916031958193</v>
      </c>
      <c r="K830" s="307">
        <f t="shared" ca="1" si="363"/>
        <v>-8.1395050028543672</v>
      </c>
      <c r="L830" s="304">
        <f t="shared" ca="1" si="348"/>
        <v>468.72983699904051</v>
      </c>
      <c r="M830" s="306">
        <f t="shared" ca="1" si="364"/>
        <v>-1.5133884322037892</v>
      </c>
      <c r="N830" s="304">
        <f t="shared" ca="1" si="365"/>
        <v>-86.710769929197639</v>
      </c>
      <c r="P830" s="310">
        <f t="shared" ca="1" si="366"/>
        <v>23</v>
      </c>
      <c r="Q830" s="304">
        <f t="shared" ca="1" si="367"/>
        <v>0</v>
      </c>
      <c r="R830" s="306">
        <f t="shared" ca="1" si="368"/>
        <v>0</v>
      </c>
      <c r="S830" s="307">
        <f t="shared" ca="1" si="369"/>
        <v>7.9789999999999939</v>
      </c>
      <c r="T830" s="304">
        <f t="shared" ca="1" si="349"/>
        <v>78.273989999999941</v>
      </c>
      <c r="U830" s="311">
        <f t="shared" ca="1" si="350"/>
        <v>0</v>
      </c>
      <c r="V830" s="306">
        <f t="shared" ca="1" si="351"/>
        <v>1.2259974953187567</v>
      </c>
      <c r="W830" s="304">
        <f t="shared" ca="1" si="352"/>
        <v>59.422074836085606</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2.3465675182586443</v>
      </c>
      <c r="AH830" s="304">
        <f t="shared" ca="1" si="376"/>
        <v>-7.4472714258243569</v>
      </c>
    </row>
    <row r="831" spans="1:34" x14ac:dyDescent="0.2">
      <c r="A831" s="347">
        <f t="shared" ca="1" si="354"/>
        <v>1E-4</v>
      </c>
      <c r="B831" s="304">
        <f t="shared" ca="1" si="355"/>
        <v>35.810900000000558</v>
      </c>
      <c r="D831" s="306">
        <f t="shared" ca="1" si="356"/>
        <v>-0.42729950724226595</v>
      </c>
      <c r="E831" s="307">
        <f t="shared" ca="1" si="357"/>
        <v>-2.3749600127149026</v>
      </c>
      <c r="F831" s="304">
        <f t="shared" ca="1" si="358"/>
        <v>2.4130934360037228</v>
      </c>
      <c r="G831" s="306">
        <f t="shared" ca="1" si="359"/>
        <v>7.2268397660158454</v>
      </c>
      <c r="H831" s="307">
        <f t="shared" ca="1" si="360"/>
        <v>-125.74847598029606</v>
      </c>
      <c r="I831" s="304">
        <f t="shared" ca="1" si="361"/>
        <v>125.95597018153114</v>
      </c>
      <c r="J831" s="306">
        <f t="shared" ca="1" si="362"/>
        <v>468.65916031958193</v>
      </c>
      <c r="K831" s="307">
        <f t="shared" ca="1" si="363"/>
        <v>-8.1520798385775972</v>
      </c>
      <c r="L831" s="304">
        <f t="shared" ca="1" si="348"/>
        <v>468.7300555299928</v>
      </c>
      <c r="M831" s="306">
        <f t="shared" ca="1" si="364"/>
        <v>-1.5133888790759449</v>
      </c>
      <c r="N831" s="304">
        <f t="shared" ca="1" si="365"/>
        <v>-86.710795533086142</v>
      </c>
      <c r="P831" s="310">
        <f t="shared" ca="1" si="366"/>
        <v>23</v>
      </c>
      <c r="Q831" s="304">
        <f t="shared" ca="1" si="367"/>
        <v>0</v>
      </c>
      <c r="R831" s="306">
        <f t="shared" ca="1" si="368"/>
        <v>0</v>
      </c>
      <c r="S831" s="307">
        <f t="shared" ca="1" si="369"/>
        <v>7.9789999999999939</v>
      </c>
      <c r="T831" s="304">
        <f t="shared" ca="1" si="349"/>
        <v>78.273989999999941</v>
      </c>
      <c r="U831" s="311">
        <f t="shared" ca="1" si="350"/>
        <v>0</v>
      </c>
      <c r="V831" s="306">
        <f t="shared" ca="1" si="351"/>
        <v>1.225999036991692</v>
      </c>
      <c r="W831" s="304">
        <f t="shared" ca="1" si="352"/>
        <v>59.422370963245058</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2.3465306561871273</v>
      </c>
      <c r="AH831" s="304">
        <f t="shared" ca="1" si="376"/>
        <v>-7.447308539426702</v>
      </c>
    </row>
    <row r="832" spans="1:34" x14ac:dyDescent="0.2">
      <c r="A832" s="347">
        <f t="shared" ca="1" si="354"/>
        <v>1E-4</v>
      </c>
      <c r="B832" s="304">
        <f t="shared" ca="1" si="355"/>
        <v>35.811000000000561</v>
      </c>
      <c r="D832" s="306">
        <f t="shared" ca="1" si="356"/>
        <v>-0.42729831414063446</v>
      </c>
      <c r="E832" s="307">
        <f t="shared" ca="1" si="357"/>
        <v>-2.3749227695888138</v>
      </c>
      <c r="F832" s="304">
        <f t="shared" ca="1" si="358"/>
        <v>2.4130565701572002</v>
      </c>
      <c r="G832" s="306">
        <f t="shared" ca="1" si="359"/>
        <v>7.2267970361844318</v>
      </c>
      <c r="H832" s="307">
        <f t="shared" ca="1" si="360"/>
        <v>-125.74871347257302</v>
      </c>
      <c r="I832" s="304">
        <f t="shared" ca="1" si="361"/>
        <v>125.95620483092316</v>
      </c>
      <c r="J832" s="306">
        <f t="shared" ca="1" si="362"/>
        <v>468.65916031958193</v>
      </c>
      <c r="K832" s="307">
        <f t="shared" ca="1" si="363"/>
        <v>-8.1646546980502404</v>
      </c>
      <c r="L832" s="304">
        <f t="shared" ca="1" si="348"/>
        <v>468.73027439860761</v>
      </c>
      <c r="M832" s="306">
        <f t="shared" ca="1" si="364"/>
        <v>-1.5133893259437936</v>
      </c>
      <c r="N832" s="304">
        <f t="shared" ca="1" si="365"/>
        <v>-86.710821136727873</v>
      </c>
      <c r="P832" s="310">
        <f t="shared" ca="1" si="366"/>
        <v>23</v>
      </c>
      <c r="Q832" s="304">
        <f t="shared" ca="1" si="367"/>
        <v>0</v>
      </c>
      <c r="R832" s="306">
        <f t="shared" ca="1" si="368"/>
        <v>0</v>
      </c>
      <c r="S832" s="307">
        <f t="shared" ca="1" si="369"/>
        <v>7.9789999999999939</v>
      </c>
      <c r="T832" s="304">
        <f t="shared" ca="1" si="349"/>
        <v>78.273989999999941</v>
      </c>
      <c r="U832" s="311">
        <f t="shared" ca="1" si="350"/>
        <v>0</v>
      </c>
      <c r="V832" s="306">
        <f t="shared" ca="1" si="351"/>
        <v>1.2260005786694783</v>
      </c>
      <c r="W832" s="304">
        <f t="shared" ca="1" si="352"/>
        <v>59.422667088130858</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2.3464937943961877</v>
      </c>
      <c r="AH832" s="304">
        <f t="shared" ca="1" si="376"/>
        <v>-7.4473456527440911</v>
      </c>
    </row>
    <row r="833" spans="1:34" x14ac:dyDescent="0.2">
      <c r="A833" s="347">
        <f t="shared" ca="1" si="354"/>
        <v>1E-4</v>
      </c>
      <c r="B833" s="304">
        <f t="shared" ca="1" si="355"/>
        <v>35.811100000000565</v>
      </c>
      <c r="D833" s="306">
        <f t="shared" ca="1" si="356"/>
        <v>-0.42729712102147605</v>
      </c>
      <c r="E833" s="307">
        <f t="shared" ca="1" si="357"/>
        <v>-2.3748855267486322</v>
      </c>
      <c r="F833" s="304">
        <f t="shared" ca="1" si="358"/>
        <v>2.4130197046011395</v>
      </c>
      <c r="G833" s="306">
        <f t="shared" ca="1" si="359"/>
        <v>7.2267543064723299</v>
      </c>
      <c r="H833" s="307">
        <f t="shared" ca="1" si="360"/>
        <v>-125.74895096112569</v>
      </c>
      <c r="I833" s="304">
        <f t="shared" ca="1" si="361"/>
        <v>125.95643947662901</v>
      </c>
      <c r="J833" s="306">
        <f t="shared" ca="1" si="362"/>
        <v>468.65916031958193</v>
      </c>
      <c r="K833" s="307">
        <f t="shared" ca="1" si="363"/>
        <v>-8.1772295812719253</v>
      </c>
      <c r="L833" s="304">
        <f t="shared" ca="1" si="348"/>
        <v>468.73049360488636</v>
      </c>
      <c r="M833" s="306">
        <f t="shared" ca="1" si="364"/>
        <v>-1.5133897728073351</v>
      </c>
      <c r="N833" s="304">
        <f t="shared" ca="1" si="365"/>
        <v>-86.710846740122818</v>
      </c>
      <c r="P833" s="310">
        <f t="shared" ca="1" si="366"/>
        <v>23</v>
      </c>
      <c r="Q833" s="304">
        <f t="shared" ca="1" si="367"/>
        <v>0</v>
      </c>
      <c r="R833" s="306">
        <f t="shared" ca="1" si="368"/>
        <v>0</v>
      </c>
      <c r="S833" s="307">
        <f t="shared" ca="1" si="369"/>
        <v>7.9789999999999939</v>
      </c>
      <c r="T833" s="304">
        <f t="shared" ca="1" si="349"/>
        <v>78.273989999999941</v>
      </c>
      <c r="U833" s="311">
        <f t="shared" ca="1" si="350"/>
        <v>0</v>
      </c>
      <c r="V833" s="306">
        <f t="shared" ca="1" si="351"/>
        <v>1.2260021203521154</v>
      </c>
      <c r="W833" s="304">
        <f t="shared" ca="1" si="352"/>
        <v>59.422963210742978</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2.3464569328858218</v>
      </c>
      <c r="AH833" s="304">
        <f t="shared" ca="1" si="376"/>
        <v>-7.4473827657765259</v>
      </c>
    </row>
    <row r="834" spans="1:34" x14ac:dyDescent="0.2">
      <c r="A834" s="347">
        <f t="shared" ca="1" si="354"/>
        <v>1E-4</v>
      </c>
      <c r="B834" s="304">
        <f t="shared" ca="1" si="355"/>
        <v>35.811200000000568</v>
      </c>
      <c r="D834" s="306">
        <f t="shared" ca="1" si="356"/>
        <v>-0.42729592788479315</v>
      </c>
      <c r="E834" s="307">
        <f t="shared" ca="1" si="357"/>
        <v>-2.3748482841943597</v>
      </c>
      <c r="F834" s="304">
        <f t="shared" ca="1" si="358"/>
        <v>2.4129828393355433</v>
      </c>
      <c r="G834" s="306">
        <f t="shared" ca="1" si="359"/>
        <v>7.2267115768795414</v>
      </c>
      <c r="H834" s="307">
        <f t="shared" ca="1" si="360"/>
        <v>-125.7491884459541</v>
      </c>
      <c r="I834" s="304">
        <f t="shared" ca="1" si="361"/>
        <v>125.95667411864876</v>
      </c>
      <c r="J834" s="306">
        <f t="shared" ca="1" si="362"/>
        <v>468.65916031958193</v>
      </c>
      <c r="K834" s="307">
        <f t="shared" ca="1" si="363"/>
        <v>-8.1898044882422791</v>
      </c>
      <c r="L834" s="304">
        <f t="shared" ca="1" si="348"/>
        <v>468.73071314883049</v>
      </c>
      <c r="M834" s="306">
        <f t="shared" ca="1" si="364"/>
        <v>-1.5133902196665696</v>
      </c>
      <c r="N834" s="304">
        <f t="shared" ca="1" si="365"/>
        <v>-86.710872343270992</v>
      </c>
      <c r="P834" s="310">
        <f t="shared" ca="1" si="366"/>
        <v>23</v>
      </c>
      <c r="Q834" s="304">
        <f t="shared" ca="1" si="367"/>
        <v>0</v>
      </c>
      <c r="R834" s="306">
        <f t="shared" ca="1" si="368"/>
        <v>0</v>
      </c>
      <c r="S834" s="307">
        <f t="shared" ca="1" si="369"/>
        <v>7.9789999999999939</v>
      </c>
      <c r="T834" s="304">
        <f t="shared" ca="1" si="349"/>
        <v>78.273989999999941</v>
      </c>
      <c r="U834" s="311">
        <f t="shared" ca="1" si="350"/>
        <v>0</v>
      </c>
      <c r="V834" s="306">
        <f t="shared" ca="1" si="351"/>
        <v>1.2260036620396038</v>
      </c>
      <c r="W834" s="304">
        <f t="shared" ca="1" si="352"/>
        <v>59.423259331081454</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2.3464200716560324</v>
      </c>
      <c r="AH834" s="304">
        <f t="shared" ca="1" si="376"/>
        <v>-7.4474198785240038</v>
      </c>
    </row>
    <row r="835" spans="1:34" x14ac:dyDescent="0.2">
      <c r="A835" s="347">
        <f t="shared" ca="1" si="354"/>
        <v>1E-4</v>
      </c>
      <c r="B835" s="304">
        <f t="shared" ca="1" si="355"/>
        <v>35.811300000000571</v>
      </c>
      <c r="D835" s="306">
        <f t="shared" ca="1" si="356"/>
        <v>-0.4272947347305851</v>
      </c>
      <c r="E835" s="307">
        <f t="shared" ca="1" si="357"/>
        <v>-2.3748110419259945</v>
      </c>
      <c r="F835" s="304">
        <f t="shared" ca="1" si="358"/>
        <v>2.4129459743604103</v>
      </c>
      <c r="G835" s="306">
        <f t="shared" ca="1" si="359"/>
        <v>7.2266688474060681</v>
      </c>
      <c r="H835" s="307">
        <f t="shared" ca="1" si="360"/>
        <v>-125.7494259270583</v>
      </c>
      <c r="I835" s="304">
        <f t="shared" ca="1" si="361"/>
        <v>125.9569087569824</v>
      </c>
      <c r="J835" s="306">
        <f t="shared" ca="1" si="362"/>
        <v>468.65916031958193</v>
      </c>
      <c r="K835" s="307">
        <f t="shared" ca="1" si="363"/>
        <v>-8.2023794189609305</v>
      </c>
      <c r="L835" s="304">
        <f t="shared" ca="1" si="348"/>
        <v>468.73093303044146</v>
      </c>
      <c r="M835" s="306">
        <f t="shared" ca="1" si="364"/>
        <v>-1.5133906665214971</v>
      </c>
      <c r="N835" s="304">
        <f t="shared" ca="1" si="365"/>
        <v>-86.710897946172395</v>
      </c>
      <c r="P835" s="310">
        <f t="shared" ca="1" si="366"/>
        <v>23</v>
      </c>
      <c r="Q835" s="304">
        <f t="shared" ca="1" si="367"/>
        <v>0</v>
      </c>
      <c r="R835" s="306">
        <f t="shared" ca="1" si="368"/>
        <v>0</v>
      </c>
      <c r="S835" s="307">
        <f t="shared" ca="1" si="369"/>
        <v>7.9789999999999939</v>
      </c>
      <c r="T835" s="304">
        <f t="shared" ca="1" si="349"/>
        <v>78.273989999999941</v>
      </c>
      <c r="U835" s="311">
        <f t="shared" ca="1" si="350"/>
        <v>0</v>
      </c>
      <c r="V835" s="306">
        <f t="shared" ca="1" si="351"/>
        <v>1.2260052037319433</v>
      </c>
      <c r="W835" s="304">
        <f t="shared" ca="1" si="352"/>
        <v>59.423555449146278</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2.3463832107068185</v>
      </c>
      <c r="AH835" s="304">
        <f t="shared" ca="1" si="376"/>
        <v>-7.4474569909865274</v>
      </c>
    </row>
    <row r="836" spans="1:34" x14ac:dyDescent="0.2">
      <c r="A836" s="347">
        <f t="shared" ca="1" si="354"/>
        <v>1E-4</v>
      </c>
      <c r="B836" s="304">
        <f t="shared" ca="1" si="355"/>
        <v>35.811400000000575</v>
      </c>
      <c r="D836" s="306">
        <f t="shared" ca="1" si="356"/>
        <v>-0.4272935415588528</v>
      </c>
      <c r="E836" s="307">
        <f t="shared" ca="1" si="357"/>
        <v>-2.3747737999435374</v>
      </c>
      <c r="F836" s="304">
        <f t="shared" ca="1" si="358"/>
        <v>2.4129091096757409</v>
      </c>
      <c r="G836" s="306">
        <f t="shared" ca="1" si="359"/>
        <v>7.2266261180519118</v>
      </c>
      <c r="H836" s="307">
        <f t="shared" ca="1" si="360"/>
        <v>-125.74966340443829</v>
      </c>
      <c r="I836" s="304">
        <f t="shared" ca="1" si="361"/>
        <v>125.95714339162998</v>
      </c>
      <c r="J836" s="306">
        <f t="shared" ca="1" si="362"/>
        <v>468.65916031958193</v>
      </c>
      <c r="K836" s="307">
        <f t="shared" ca="1" si="363"/>
        <v>-8.2149543734275046</v>
      </c>
      <c r="L836" s="304">
        <f t="shared" ref="L836:L899" ca="1" si="377">SQRT(pos_x^2+pos_z^2)</f>
        <v>468.73115324972065</v>
      </c>
      <c r="M836" s="306">
        <f t="shared" ca="1" si="364"/>
        <v>-1.5133911133721176</v>
      </c>
      <c r="N836" s="304">
        <f t="shared" ca="1" si="365"/>
        <v>-86.710923548827026</v>
      </c>
      <c r="P836" s="310">
        <f t="shared" ca="1" si="366"/>
        <v>23</v>
      </c>
      <c r="Q836" s="304">
        <f t="shared" ca="1" si="367"/>
        <v>0</v>
      </c>
      <c r="R836" s="306">
        <f t="shared" ca="1" si="368"/>
        <v>0</v>
      </c>
      <c r="S836" s="307">
        <f t="shared" ca="1" si="369"/>
        <v>7.9789999999999939</v>
      </c>
      <c r="T836" s="304">
        <f t="shared" ref="T836:T899" ca="1" si="378">m*g</f>
        <v>78.273989999999941</v>
      </c>
      <c r="U836" s="311">
        <f t="shared" ref="U836:U899" ca="1" si="379">IF(pos_xz&lt;L_rampe,Poids*COS(Beta),0)</f>
        <v>0</v>
      </c>
      <c r="V836" s="306">
        <f t="shared" ref="V836:V899" ca="1" si="380">Rho_moyen*(20000-Alt_rampe-pos_z)/(20000+Alt_rampe+pos_z)</f>
        <v>1.226006745429133</v>
      </c>
      <c r="W836" s="304">
        <f t="shared" ref="W836:W899" ca="1" si="381">1/2*Rho*Sref*Cx*vit_xz^2</f>
        <v>59.423851564937401</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2.3463463500381776</v>
      </c>
      <c r="AH836" s="304">
        <f t="shared" ca="1" si="376"/>
        <v>-7.4474941031640958</v>
      </c>
    </row>
    <row r="837" spans="1:34" x14ac:dyDescent="0.2">
      <c r="A837" s="347">
        <f t="shared" ref="A837:A900" ca="1" si="383">IF(B836+0.01&lt;=T_ini+ROUNDUP(Temps_fin_propu,0), 0.01, IF(K836&gt;0, 0.1, 0.0001))</f>
        <v>1E-4</v>
      </c>
      <c r="B837" s="304">
        <f t="shared" ref="B837:B900" ca="1" si="384">B836+pas</f>
        <v>35.811500000000578</v>
      </c>
      <c r="D837" s="306">
        <f t="shared" ref="D837:D900" ca="1" si="385">IF(AND(L836&lt;L_rampe,Poussee&lt;Poids*SIN(M836)),0,(-W836+Poussee)/m*COS(M836)-U836/m*SIN(M836))</f>
        <v>-0.42729234836959668</v>
      </c>
      <c r="E837" s="307">
        <f t="shared" ref="E837:E900" ca="1" si="386">IF(AND(L836&lt;L_rampe,Poussee&lt;Poids*SIN(M836)),0,(-W836+Poussee)/m*SIN(M836)+U836/m*COS(M836)-Poids/m)</f>
        <v>-2.3747365582469921</v>
      </c>
      <c r="F837" s="304">
        <f t="shared" ref="F837:F900" ca="1" si="387">SQRT(acc_x^2+acc_z^2)</f>
        <v>2.4128722452815388</v>
      </c>
      <c r="G837" s="306">
        <f t="shared" ref="G837:G900" ca="1" si="388">G836+acc_x*pas</f>
        <v>7.2265833888170752</v>
      </c>
      <c r="H837" s="307">
        <f t="shared" ref="H837:H900" ca="1" si="389">H836+acc_z*pas</f>
        <v>-125.74990087809412</v>
      </c>
      <c r="I837" s="304">
        <f t="shared" ref="I837:I900" ca="1" si="390">SQRT(vit_x^2+vit_z^2)</f>
        <v>125.95737802259153</v>
      </c>
      <c r="J837" s="306">
        <f t="shared" ref="J837:J900" ca="1" si="391">J836+0.5*(vit_x+G836)*pas*(K836&gt;=0)</f>
        <v>468.65916031958193</v>
      </c>
      <c r="K837" s="307">
        <f t="shared" ref="K837:K900" ca="1" si="392">K836+0.5*(vit_z+H836)*pas</f>
        <v>-8.2275293516416319</v>
      </c>
      <c r="L837" s="304">
        <f t="shared" ca="1" si="377"/>
        <v>468.73137380666947</v>
      </c>
      <c r="M837" s="306">
        <f t="shared" ref="M837:M900" ca="1" si="393">IF(AND(L836&gt;L_rampe,G837&gt;0),ATAN2(G837,H837),$M$4)</f>
        <v>-1.5133915602184311</v>
      </c>
      <c r="N837" s="304">
        <f t="shared" ref="N837:N900" ca="1" si="394">DEGREES(Beta)</f>
        <v>-86.710949151234885</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7.9789999999999939</v>
      </c>
      <c r="T837" s="304">
        <f t="shared" ca="1" si="378"/>
        <v>78.273989999999941</v>
      </c>
      <c r="U837" s="311">
        <f t="shared" ca="1" si="379"/>
        <v>0</v>
      </c>
      <c r="V837" s="306">
        <f t="shared" ca="1" si="380"/>
        <v>1.2260082871311746</v>
      </c>
      <c r="W837" s="304">
        <f t="shared" ca="1" si="381"/>
        <v>59.424147678454901</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2.3463094896501193</v>
      </c>
      <c r="AH837" s="304">
        <f t="shared" ref="AH837:AH900" ca="1" si="405">IF(AND(L836&lt;L_rampe,Poussee&lt;Poids*SIN(M836)), g*SIN(M836), (-W836+Poussee)/m)</f>
        <v>-7.4475312150567046</v>
      </c>
    </row>
    <row r="838" spans="1:34" x14ac:dyDescent="0.2">
      <c r="A838" s="347">
        <f t="shared" ca="1" si="383"/>
        <v>1E-4</v>
      </c>
      <c r="B838" s="304">
        <f t="shared" ca="1" si="384"/>
        <v>35.811600000000581</v>
      </c>
      <c r="D838" s="306">
        <f t="shared" ca="1" si="385"/>
        <v>-0.42729115516281829</v>
      </c>
      <c r="E838" s="307">
        <f t="shared" ca="1" si="386"/>
        <v>-2.3746993168363506</v>
      </c>
      <c r="F838" s="304">
        <f t="shared" ca="1" si="387"/>
        <v>2.4128353811777972</v>
      </c>
      <c r="G838" s="306">
        <f t="shared" ca="1" si="388"/>
        <v>7.2265406597015591</v>
      </c>
      <c r="H838" s="307">
        <f t="shared" ca="1" si="389"/>
        <v>-125.75013834802581</v>
      </c>
      <c r="I838" s="304">
        <f t="shared" ca="1" si="390"/>
        <v>125.95761264986707</v>
      </c>
      <c r="J838" s="306">
        <f t="shared" ca="1" si="391"/>
        <v>468.65916031958193</v>
      </c>
      <c r="K838" s="307">
        <f t="shared" ca="1" si="392"/>
        <v>-8.2401043536029377</v>
      </c>
      <c r="L838" s="304">
        <f t="shared" ca="1" si="377"/>
        <v>468.7315947012894</v>
      </c>
      <c r="M838" s="306">
        <f t="shared" ca="1" si="393"/>
        <v>-1.5133920070604381</v>
      </c>
      <c r="N838" s="304">
        <f t="shared" ca="1" si="394"/>
        <v>-86.710974753395988</v>
      </c>
      <c r="P838" s="310">
        <f t="shared" ca="1" si="395"/>
        <v>23</v>
      </c>
      <c r="Q838" s="304">
        <f t="shared" ca="1" si="396"/>
        <v>0</v>
      </c>
      <c r="R838" s="306">
        <f t="shared" ca="1" si="397"/>
        <v>0</v>
      </c>
      <c r="S838" s="307">
        <f t="shared" ca="1" si="398"/>
        <v>7.9789999999999939</v>
      </c>
      <c r="T838" s="304">
        <f t="shared" ca="1" si="378"/>
        <v>78.273989999999941</v>
      </c>
      <c r="U838" s="311">
        <f t="shared" ca="1" si="379"/>
        <v>0</v>
      </c>
      <c r="V838" s="306">
        <f t="shared" ca="1" si="380"/>
        <v>1.226009828838067</v>
      </c>
      <c r="W838" s="304">
        <f t="shared" ca="1" si="381"/>
        <v>59.424443789698742</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2.3462726295426277</v>
      </c>
      <c r="AH838" s="304">
        <f t="shared" ca="1" si="405"/>
        <v>-7.4475683266643626</v>
      </c>
    </row>
    <row r="839" spans="1:34" x14ac:dyDescent="0.2">
      <c r="A839" s="347">
        <f t="shared" ca="1" si="383"/>
        <v>1E-4</v>
      </c>
      <c r="B839" s="304">
        <f t="shared" ca="1" si="384"/>
        <v>35.811700000000585</v>
      </c>
      <c r="D839" s="306">
        <f t="shared" ca="1" si="385"/>
        <v>-0.42728996193851482</v>
      </c>
      <c r="E839" s="307">
        <f t="shared" ca="1" si="386"/>
        <v>-2.3746620757116172</v>
      </c>
      <c r="F839" s="304">
        <f t="shared" ca="1" si="387"/>
        <v>2.4127985173645197</v>
      </c>
      <c r="G839" s="306">
        <f t="shared" ca="1" si="388"/>
        <v>7.2264979307053654</v>
      </c>
      <c r="H839" s="307">
        <f t="shared" ca="1" si="389"/>
        <v>-125.75037581423338</v>
      </c>
      <c r="I839" s="304">
        <f t="shared" ca="1" si="390"/>
        <v>125.95784727345661</v>
      </c>
      <c r="J839" s="306">
        <f t="shared" ca="1" si="391"/>
        <v>468.65916031958193</v>
      </c>
      <c r="K839" s="307">
        <f t="shared" ca="1" si="392"/>
        <v>-8.2526793793110507</v>
      </c>
      <c r="L839" s="304">
        <f t="shared" ca="1" si="377"/>
        <v>468.73181593358191</v>
      </c>
      <c r="M839" s="306">
        <f t="shared" ca="1" si="393"/>
        <v>-1.513392453898138</v>
      </c>
      <c r="N839" s="304">
        <f t="shared" ca="1" si="394"/>
        <v>-86.711000355310318</v>
      </c>
      <c r="P839" s="310">
        <f t="shared" ca="1" si="395"/>
        <v>23</v>
      </c>
      <c r="Q839" s="304">
        <f t="shared" ca="1" si="396"/>
        <v>0</v>
      </c>
      <c r="R839" s="306">
        <f t="shared" ca="1" si="397"/>
        <v>0</v>
      </c>
      <c r="S839" s="307">
        <f t="shared" ca="1" si="398"/>
        <v>7.9789999999999939</v>
      </c>
      <c r="T839" s="304">
        <f t="shared" ca="1" si="378"/>
        <v>78.273989999999941</v>
      </c>
      <c r="U839" s="311">
        <f t="shared" ca="1" si="379"/>
        <v>0</v>
      </c>
      <c r="V839" s="306">
        <f t="shared" ca="1" si="380"/>
        <v>1.2260113705498097</v>
      </c>
      <c r="W839" s="304">
        <f t="shared" ca="1" si="381"/>
        <v>59.424739898668861</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2.346235769715717</v>
      </c>
      <c r="AH839" s="304">
        <f t="shared" ca="1" si="405"/>
        <v>-7.4476054379870646</v>
      </c>
    </row>
    <row r="840" spans="1:34" x14ac:dyDescent="0.2">
      <c r="A840" s="347">
        <f t="shared" ca="1" si="383"/>
        <v>1E-4</v>
      </c>
      <c r="B840" s="304">
        <f t="shared" ca="1" si="384"/>
        <v>35.811800000000588</v>
      </c>
      <c r="D840" s="306">
        <f t="shared" ca="1" si="385"/>
        <v>-0.42728876869668991</v>
      </c>
      <c r="E840" s="307">
        <f t="shared" ca="1" si="386"/>
        <v>-2.374624834872801</v>
      </c>
      <c r="F840" s="304">
        <f t="shared" ca="1" si="387"/>
        <v>2.4127616538417156</v>
      </c>
      <c r="G840" s="306">
        <f t="shared" ca="1" si="388"/>
        <v>7.2264552018284958</v>
      </c>
      <c r="H840" s="307">
        <f t="shared" ca="1" si="389"/>
        <v>-125.75061327671686</v>
      </c>
      <c r="I840" s="304">
        <f t="shared" ca="1" si="390"/>
        <v>125.9580818933602</v>
      </c>
      <c r="J840" s="306">
        <f t="shared" ca="1" si="391"/>
        <v>468.65916031958193</v>
      </c>
      <c r="K840" s="307">
        <f t="shared" ca="1" si="392"/>
        <v>-8.2652544287655978</v>
      </c>
      <c r="L840" s="304">
        <f t="shared" ca="1" si="377"/>
        <v>468.73203750354833</v>
      </c>
      <c r="M840" s="306">
        <f t="shared" ca="1" si="393"/>
        <v>-1.5133929007315314</v>
      </c>
      <c r="N840" s="304">
        <f t="shared" ca="1" si="394"/>
        <v>-86.711025956977906</v>
      </c>
      <c r="P840" s="310">
        <f t="shared" ca="1" si="395"/>
        <v>23</v>
      </c>
      <c r="Q840" s="304">
        <f t="shared" ca="1" si="396"/>
        <v>0</v>
      </c>
      <c r="R840" s="306">
        <f t="shared" ca="1" si="397"/>
        <v>0</v>
      </c>
      <c r="S840" s="307">
        <f t="shared" ca="1" si="398"/>
        <v>7.9789999999999939</v>
      </c>
      <c r="T840" s="304">
        <f t="shared" ca="1" si="378"/>
        <v>78.273989999999941</v>
      </c>
      <c r="U840" s="311">
        <f t="shared" ca="1" si="379"/>
        <v>0</v>
      </c>
      <c r="V840" s="306">
        <f t="shared" ca="1" si="380"/>
        <v>1.2260129122664039</v>
      </c>
      <c r="W840" s="304">
        <f t="shared" ca="1" si="381"/>
        <v>59.425036005365335</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2.346198910169389</v>
      </c>
      <c r="AH840" s="304">
        <f t="shared" ca="1" si="405"/>
        <v>-7.4476425490248035</v>
      </c>
    </row>
    <row r="841" spans="1:34" x14ac:dyDescent="0.2">
      <c r="A841" s="347">
        <f t="shared" ca="1" si="383"/>
        <v>1E-4</v>
      </c>
      <c r="B841" s="304">
        <f t="shared" ca="1" si="384"/>
        <v>35.811900000000591</v>
      </c>
      <c r="D841" s="306">
        <f t="shared" ca="1" si="385"/>
        <v>-0.42728757543734192</v>
      </c>
      <c r="E841" s="307">
        <f t="shared" ca="1" si="386"/>
        <v>-2.3745875943198893</v>
      </c>
      <c r="F841" s="304">
        <f t="shared" ca="1" si="387"/>
        <v>2.4127247906093729</v>
      </c>
      <c r="G841" s="306">
        <f t="shared" ca="1" si="388"/>
        <v>7.226412473070952</v>
      </c>
      <c r="H841" s="307">
        <f t="shared" ca="1" si="389"/>
        <v>-125.75085073547629</v>
      </c>
      <c r="I841" s="304">
        <f t="shared" ca="1" si="390"/>
        <v>125.95831650957786</v>
      </c>
      <c r="J841" s="306">
        <f t="shared" ca="1" si="391"/>
        <v>468.65916031958193</v>
      </c>
      <c r="K841" s="307">
        <f t="shared" ca="1" si="392"/>
        <v>-8.2778295019662078</v>
      </c>
      <c r="L841" s="304">
        <f t="shared" ca="1" si="377"/>
        <v>468.73225941119011</v>
      </c>
      <c r="M841" s="306">
        <f t="shared" ca="1" si="393"/>
        <v>-1.5133933475606183</v>
      </c>
      <c r="N841" s="304">
        <f t="shared" ca="1" si="394"/>
        <v>-86.711051558398751</v>
      </c>
      <c r="P841" s="310">
        <f t="shared" ca="1" si="395"/>
        <v>23</v>
      </c>
      <c r="Q841" s="304">
        <f t="shared" ca="1" si="396"/>
        <v>0</v>
      </c>
      <c r="R841" s="306">
        <f t="shared" ca="1" si="397"/>
        <v>0</v>
      </c>
      <c r="S841" s="307">
        <f t="shared" ca="1" si="398"/>
        <v>7.9789999999999939</v>
      </c>
      <c r="T841" s="304">
        <f t="shared" ca="1" si="378"/>
        <v>78.273989999999941</v>
      </c>
      <c r="U841" s="311">
        <f t="shared" ca="1" si="379"/>
        <v>0</v>
      </c>
      <c r="V841" s="306">
        <f t="shared" ca="1" si="380"/>
        <v>1.2260144539878486</v>
      </c>
      <c r="W841" s="304">
        <f t="shared" ca="1" si="381"/>
        <v>59.425332109788116</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2.3461620509036356</v>
      </c>
      <c r="AH841" s="304">
        <f t="shared" ca="1" si="405"/>
        <v>-7.4476796597775889</v>
      </c>
    </row>
    <row r="842" spans="1:34" x14ac:dyDescent="0.2">
      <c r="A842" s="347">
        <f t="shared" ca="1" si="383"/>
        <v>1E-4</v>
      </c>
      <c r="B842" s="304">
        <f t="shared" ca="1" si="384"/>
        <v>35.812000000000594</v>
      </c>
      <c r="D842" s="306">
        <f t="shared" ca="1" si="385"/>
        <v>-0.42728638216047116</v>
      </c>
      <c r="E842" s="307">
        <f t="shared" ca="1" si="386"/>
        <v>-2.3745503540528903</v>
      </c>
      <c r="F842" s="304">
        <f t="shared" ca="1" si="387"/>
        <v>2.4126879276674993</v>
      </c>
      <c r="G842" s="306">
        <f t="shared" ca="1" si="388"/>
        <v>7.2263697444327359</v>
      </c>
      <c r="H842" s="307">
        <f t="shared" ca="1" si="389"/>
        <v>-125.75108819051169</v>
      </c>
      <c r="I842" s="304">
        <f t="shared" ca="1" si="390"/>
        <v>125.95855112210963</v>
      </c>
      <c r="J842" s="306">
        <f t="shared" ca="1" si="391"/>
        <v>468.65916031958193</v>
      </c>
      <c r="K842" s="307">
        <f t="shared" ca="1" si="392"/>
        <v>-8.2904045989125077</v>
      </c>
      <c r="L842" s="304">
        <f t="shared" ca="1" si="377"/>
        <v>468.7324816565087</v>
      </c>
      <c r="M842" s="306">
        <f t="shared" ca="1" si="393"/>
        <v>-1.5133937943853983</v>
      </c>
      <c r="N842" s="304">
        <f t="shared" ca="1" si="394"/>
        <v>-86.711077159572824</v>
      </c>
      <c r="P842" s="310">
        <f t="shared" ca="1" si="395"/>
        <v>23</v>
      </c>
      <c r="Q842" s="304">
        <f t="shared" ca="1" si="396"/>
        <v>0</v>
      </c>
      <c r="R842" s="306">
        <f t="shared" ca="1" si="397"/>
        <v>0</v>
      </c>
      <c r="S842" s="307">
        <f t="shared" ca="1" si="398"/>
        <v>7.9789999999999939</v>
      </c>
      <c r="T842" s="304">
        <f t="shared" ca="1" si="378"/>
        <v>78.273989999999941</v>
      </c>
      <c r="U842" s="311">
        <f t="shared" ca="1" si="379"/>
        <v>0</v>
      </c>
      <c r="V842" s="306">
        <f t="shared" ca="1" si="380"/>
        <v>1.2260159957141439</v>
      </c>
      <c r="W842" s="304">
        <f t="shared" ca="1" si="381"/>
        <v>59.425628211937195</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2.3461251919184596</v>
      </c>
      <c r="AH842" s="304">
        <f t="shared" ca="1" si="405"/>
        <v>-7.4477167702454148</v>
      </c>
    </row>
    <row r="843" spans="1:34" x14ac:dyDescent="0.2">
      <c r="A843" s="347">
        <f t="shared" ca="1" si="383"/>
        <v>1E-4</v>
      </c>
      <c r="B843" s="304">
        <f t="shared" ca="1" si="384"/>
        <v>35.812100000000598</v>
      </c>
      <c r="D843" s="306">
        <f t="shared" ca="1" si="385"/>
        <v>-0.42728518886608008</v>
      </c>
      <c r="E843" s="307">
        <f t="shared" ca="1" si="386"/>
        <v>-2.3745131140718057</v>
      </c>
      <c r="F843" s="304">
        <f t="shared" ca="1" si="387"/>
        <v>2.4126510650160968</v>
      </c>
      <c r="G843" s="306">
        <f t="shared" ca="1" si="388"/>
        <v>7.2263270159138493</v>
      </c>
      <c r="H843" s="307">
        <f t="shared" ca="1" si="389"/>
        <v>-125.7513256418231</v>
      </c>
      <c r="I843" s="304">
        <f t="shared" ca="1" si="390"/>
        <v>125.95878573095551</v>
      </c>
      <c r="J843" s="306">
        <f t="shared" ca="1" si="391"/>
        <v>468.65916031958193</v>
      </c>
      <c r="K843" s="307">
        <f t="shared" ca="1" si="392"/>
        <v>-8.3029797196041244</v>
      </c>
      <c r="L843" s="304">
        <f t="shared" ca="1" si="377"/>
        <v>468.73270423950549</v>
      </c>
      <c r="M843" s="306">
        <f t="shared" ca="1" si="393"/>
        <v>-1.5133942412058721</v>
      </c>
      <c r="N843" s="304">
        <f t="shared" ca="1" si="394"/>
        <v>-86.711102760500168</v>
      </c>
      <c r="P843" s="310">
        <f t="shared" ca="1" si="395"/>
        <v>23</v>
      </c>
      <c r="Q843" s="304">
        <f t="shared" ca="1" si="396"/>
        <v>0</v>
      </c>
      <c r="R843" s="306">
        <f t="shared" ca="1" si="397"/>
        <v>0</v>
      </c>
      <c r="S843" s="307">
        <f t="shared" ca="1" si="398"/>
        <v>7.9789999999999939</v>
      </c>
      <c r="T843" s="304">
        <f t="shared" ca="1" si="378"/>
        <v>78.273989999999941</v>
      </c>
      <c r="U843" s="311">
        <f t="shared" ca="1" si="379"/>
        <v>0</v>
      </c>
      <c r="V843" s="306">
        <f t="shared" ca="1" si="380"/>
        <v>1.22601753744529</v>
      </c>
      <c r="W843" s="304">
        <f t="shared" ca="1" si="381"/>
        <v>59.425924311812587</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2.346088333213868</v>
      </c>
      <c r="AH843" s="304">
        <f t="shared" ca="1" si="405"/>
        <v>-7.4477538804282792</v>
      </c>
    </row>
    <row r="844" spans="1:34" x14ac:dyDescent="0.2">
      <c r="A844" s="347">
        <f t="shared" ca="1" si="383"/>
        <v>1E-4</v>
      </c>
      <c r="B844" s="304">
        <f t="shared" ca="1" si="384"/>
        <v>35.812200000000601</v>
      </c>
      <c r="D844" s="306">
        <f t="shared" ca="1" si="385"/>
        <v>-0.42728399555416646</v>
      </c>
      <c r="E844" s="307">
        <f t="shared" ca="1" si="386"/>
        <v>-2.3744758743766319</v>
      </c>
      <c r="F844" s="304">
        <f t="shared" ca="1" si="387"/>
        <v>2.412614202655162</v>
      </c>
      <c r="G844" s="306">
        <f t="shared" ca="1" si="388"/>
        <v>7.2262842875142939</v>
      </c>
      <c r="H844" s="307">
        <f t="shared" ca="1" si="389"/>
        <v>-125.75156308941054</v>
      </c>
      <c r="I844" s="304">
        <f t="shared" ca="1" si="390"/>
        <v>125.95902033611557</v>
      </c>
      <c r="J844" s="306">
        <f t="shared" ca="1" si="391"/>
        <v>468.65916031958193</v>
      </c>
      <c r="K844" s="307">
        <f t="shared" ca="1" si="392"/>
        <v>-8.3155548640406867</v>
      </c>
      <c r="L844" s="304">
        <f t="shared" ca="1" si="377"/>
        <v>468.73292716018199</v>
      </c>
      <c r="M844" s="306">
        <f t="shared" ca="1" si="393"/>
        <v>-1.5133946880220392</v>
      </c>
      <c r="N844" s="304">
        <f t="shared" ca="1" si="394"/>
        <v>-86.711128361180769</v>
      </c>
      <c r="P844" s="310">
        <f t="shared" ca="1" si="395"/>
        <v>23</v>
      </c>
      <c r="Q844" s="304">
        <f t="shared" ca="1" si="396"/>
        <v>0</v>
      </c>
      <c r="R844" s="306">
        <f t="shared" ca="1" si="397"/>
        <v>0</v>
      </c>
      <c r="S844" s="307">
        <f t="shared" ca="1" si="398"/>
        <v>7.9789999999999939</v>
      </c>
      <c r="T844" s="304">
        <f t="shared" ca="1" si="378"/>
        <v>78.273989999999941</v>
      </c>
      <c r="U844" s="311">
        <f t="shared" ca="1" si="379"/>
        <v>0</v>
      </c>
      <c r="V844" s="306">
        <f t="shared" ca="1" si="380"/>
        <v>1.2260190791812873</v>
      </c>
      <c r="W844" s="304">
        <f t="shared" ca="1" si="381"/>
        <v>59.42622040941432</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2.3460514747898564</v>
      </c>
      <c r="AH844" s="304">
        <f t="shared" ca="1" si="405"/>
        <v>-7.447790990326185</v>
      </c>
    </row>
    <row r="845" spans="1:34" x14ac:dyDescent="0.2">
      <c r="A845" s="347">
        <f t="shared" ca="1" si="383"/>
        <v>1E-4</v>
      </c>
      <c r="B845" s="304">
        <f t="shared" ca="1" si="384"/>
        <v>35.812300000000604</v>
      </c>
      <c r="D845" s="306">
        <f t="shared" ca="1" si="385"/>
        <v>-0.42728280222473292</v>
      </c>
      <c r="E845" s="307">
        <f t="shared" ca="1" si="386"/>
        <v>-2.3744386349673654</v>
      </c>
      <c r="F845" s="304">
        <f t="shared" ca="1" si="387"/>
        <v>2.4125773405846922</v>
      </c>
      <c r="G845" s="306">
        <f t="shared" ca="1" si="388"/>
        <v>7.2262415592340714</v>
      </c>
      <c r="H845" s="307">
        <f t="shared" ca="1" si="389"/>
        <v>-125.75180053327404</v>
      </c>
      <c r="I845" s="304">
        <f t="shared" ca="1" si="390"/>
        <v>125.9592549375898</v>
      </c>
      <c r="J845" s="306">
        <f t="shared" ca="1" si="391"/>
        <v>468.65916031958193</v>
      </c>
      <c r="K845" s="307">
        <f t="shared" ca="1" si="392"/>
        <v>-8.3281300322218215</v>
      </c>
      <c r="L845" s="304">
        <f t="shared" ca="1" si="377"/>
        <v>468.73315041853954</v>
      </c>
      <c r="M845" s="306">
        <f t="shared" ca="1" si="393"/>
        <v>-1.5133951348339001</v>
      </c>
      <c r="N845" s="304">
        <f t="shared" ca="1" si="394"/>
        <v>-86.711153961614627</v>
      </c>
      <c r="P845" s="310">
        <f t="shared" ca="1" si="395"/>
        <v>23</v>
      </c>
      <c r="Q845" s="304">
        <f t="shared" ca="1" si="396"/>
        <v>0</v>
      </c>
      <c r="R845" s="306">
        <f t="shared" ca="1" si="397"/>
        <v>0</v>
      </c>
      <c r="S845" s="307">
        <f t="shared" ca="1" si="398"/>
        <v>7.9789999999999939</v>
      </c>
      <c r="T845" s="304">
        <f t="shared" ca="1" si="378"/>
        <v>78.273989999999941</v>
      </c>
      <c r="U845" s="311">
        <f t="shared" ca="1" si="379"/>
        <v>0</v>
      </c>
      <c r="V845" s="306">
        <f t="shared" ca="1" si="380"/>
        <v>1.2260206209221352</v>
      </c>
      <c r="W845" s="304">
        <f t="shared" ca="1" si="381"/>
        <v>59.426516504742352</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2.3460146166464213</v>
      </c>
      <c r="AH845" s="304">
        <f t="shared" ca="1" si="405"/>
        <v>-7.4478280999391355</v>
      </c>
    </row>
    <row r="846" spans="1:34" x14ac:dyDescent="0.2">
      <c r="A846" s="347">
        <f t="shared" ca="1" si="383"/>
        <v>1E-4</v>
      </c>
      <c r="B846" s="304">
        <f t="shared" ca="1" si="384"/>
        <v>35.812400000000608</v>
      </c>
      <c r="D846" s="306">
        <f t="shared" ca="1" si="385"/>
        <v>-0.42728160887777844</v>
      </c>
      <c r="E846" s="307">
        <f t="shared" ca="1" si="386"/>
        <v>-2.3744013958440142</v>
      </c>
      <c r="F846" s="304">
        <f t="shared" ca="1" si="387"/>
        <v>2.4125404788046949</v>
      </c>
      <c r="G846" s="306">
        <f t="shared" ca="1" si="388"/>
        <v>7.2261988310731837</v>
      </c>
      <c r="H846" s="307">
        <f t="shared" ca="1" si="389"/>
        <v>-125.75203797341362</v>
      </c>
      <c r="I846" s="304">
        <f t="shared" ca="1" si="390"/>
        <v>125.95948953537825</v>
      </c>
      <c r="J846" s="306">
        <f t="shared" ca="1" si="391"/>
        <v>468.65916031958193</v>
      </c>
      <c r="K846" s="307">
        <f t="shared" ca="1" si="392"/>
        <v>-8.3407052241471558</v>
      </c>
      <c r="L846" s="304">
        <f t="shared" ca="1" si="377"/>
        <v>468.73337401457951</v>
      </c>
      <c r="M846" s="306">
        <f t="shared" ca="1" si="393"/>
        <v>-1.5133955816414546</v>
      </c>
      <c r="N846" s="304">
        <f t="shared" ca="1" si="394"/>
        <v>-86.711179561801757</v>
      </c>
      <c r="P846" s="310">
        <f t="shared" ca="1" si="395"/>
        <v>23</v>
      </c>
      <c r="Q846" s="304">
        <f t="shared" ca="1" si="396"/>
        <v>0</v>
      </c>
      <c r="R846" s="306">
        <f t="shared" ca="1" si="397"/>
        <v>0</v>
      </c>
      <c r="S846" s="307">
        <f t="shared" ca="1" si="398"/>
        <v>7.9789999999999939</v>
      </c>
      <c r="T846" s="304">
        <f t="shared" ca="1" si="378"/>
        <v>78.273989999999941</v>
      </c>
      <c r="U846" s="311">
        <f t="shared" ca="1" si="379"/>
        <v>0</v>
      </c>
      <c r="V846" s="306">
        <f t="shared" ca="1" si="380"/>
        <v>1.2260221626678331</v>
      </c>
      <c r="W846" s="304">
        <f t="shared" ca="1" si="381"/>
        <v>59.426812597796655</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2.3459777587835662</v>
      </c>
      <c r="AH846" s="304">
        <f t="shared" ca="1" si="405"/>
        <v>-7.4478652092671256</v>
      </c>
    </row>
    <row r="847" spans="1:34" x14ac:dyDescent="0.2">
      <c r="A847" s="347">
        <f t="shared" ca="1" si="383"/>
        <v>1E-4</v>
      </c>
      <c r="B847" s="304">
        <f t="shared" ca="1" si="384"/>
        <v>35.812500000000611</v>
      </c>
      <c r="D847" s="306">
        <f t="shared" ca="1" si="385"/>
        <v>-0.4272804155133037</v>
      </c>
      <c r="E847" s="307">
        <f t="shared" ca="1" si="386"/>
        <v>-2.3743641570065774</v>
      </c>
      <c r="F847" s="304">
        <f t="shared" ca="1" si="387"/>
        <v>2.4125036173151693</v>
      </c>
      <c r="G847" s="306">
        <f t="shared" ca="1" si="388"/>
        <v>7.2261561030316326</v>
      </c>
      <c r="H847" s="307">
        <f t="shared" ca="1" si="389"/>
        <v>-125.75227540982932</v>
      </c>
      <c r="I847" s="304">
        <f t="shared" ca="1" si="390"/>
        <v>125.95972412948095</v>
      </c>
      <c r="J847" s="306">
        <f t="shared" ca="1" si="391"/>
        <v>468.65916031958193</v>
      </c>
      <c r="K847" s="307">
        <f t="shared" ca="1" si="392"/>
        <v>-8.3532804398163183</v>
      </c>
      <c r="L847" s="304">
        <f t="shared" ca="1" si="377"/>
        <v>468.7335979483035</v>
      </c>
      <c r="M847" s="306">
        <f t="shared" ca="1" si="393"/>
        <v>-1.5133960284447028</v>
      </c>
      <c r="N847" s="304">
        <f t="shared" ca="1" si="394"/>
        <v>-86.711205161742157</v>
      </c>
      <c r="P847" s="310">
        <f t="shared" ca="1" si="395"/>
        <v>23</v>
      </c>
      <c r="Q847" s="304">
        <f t="shared" ca="1" si="396"/>
        <v>0</v>
      </c>
      <c r="R847" s="306">
        <f t="shared" ca="1" si="397"/>
        <v>0</v>
      </c>
      <c r="S847" s="307">
        <f t="shared" ca="1" si="398"/>
        <v>7.9789999999999939</v>
      </c>
      <c r="T847" s="304">
        <f t="shared" ca="1" si="378"/>
        <v>78.273989999999941</v>
      </c>
      <c r="U847" s="311">
        <f t="shared" ca="1" si="379"/>
        <v>0</v>
      </c>
      <c r="V847" s="306">
        <f t="shared" ca="1" si="380"/>
        <v>1.2260237044183822</v>
      </c>
      <c r="W847" s="304">
        <f t="shared" ca="1" si="381"/>
        <v>59.427108688577285</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2.3459409012012964</v>
      </c>
      <c r="AH847" s="304">
        <f t="shared" ca="1" si="405"/>
        <v>-7.4479023183101516</v>
      </c>
    </row>
    <row r="848" spans="1:34" x14ac:dyDescent="0.2">
      <c r="A848" s="347">
        <f t="shared" ca="1" si="383"/>
        <v>1E-4</v>
      </c>
      <c r="B848" s="304">
        <f t="shared" ca="1" si="384"/>
        <v>35.812600000000614</v>
      </c>
      <c r="D848" s="306">
        <f t="shared" ca="1" si="385"/>
        <v>-0.42727922213130987</v>
      </c>
      <c r="E848" s="307">
        <f t="shared" ca="1" si="386"/>
        <v>-2.3743269184550515</v>
      </c>
      <c r="F848" s="304">
        <f t="shared" ca="1" si="387"/>
        <v>2.4124667561161122</v>
      </c>
      <c r="G848" s="306">
        <f t="shared" ca="1" si="388"/>
        <v>7.2261133751094198</v>
      </c>
      <c r="H848" s="307">
        <f t="shared" ca="1" si="389"/>
        <v>-125.75251284252117</v>
      </c>
      <c r="I848" s="304">
        <f t="shared" ca="1" si="390"/>
        <v>125.95995871989791</v>
      </c>
      <c r="J848" s="306">
        <f t="shared" ca="1" si="391"/>
        <v>468.65916031958193</v>
      </c>
      <c r="K848" s="307">
        <f t="shared" ca="1" si="392"/>
        <v>-8.365855679228936</v>
      </c>
      <c r="L848" s="304">
        <f t="shared" ca="1" si="377"/>
        <v>468.73382221971275</v>
      </c>
      <c r="M848" s="306">
        <f t="shared" ca="1" si="393"/>
        <v>-1.5133964752436448</v>
      </c>
      <c r="N848" s="304">
        <f t="shared" ca="1" si="394"/>
        <v>-86.711230761435829</v>
      </c>
      <c r="P848" s="310">
        <f t="shared" ca="1" si="395"/>
        <v>23</v>
      </c>
      <c r="Q848" s="304">
        <f t="shared" ca="1" si="396"/>
        <v>0</v>
      </c>
      <c r="R848" s="306">
        <f t="shared" ca="1" si="397"/>
        <v>0</v>
      </c>
      <c r="S848" s="307">
        <f t="shared" ca="1" si="398"/>
        <v>7.9789999999999939</v>
      </c>
      <c r="T848" s="304">
        <f t="shared" ca="1" si="378"/>
        <v>78.273989999999941</v>
      </c>
      <c r="U848" s="311">
        <f t="shared" ca="1" si="379"/>
        <v>0</v>
      </c>
      <c r="V848" s="306">
        <f t="shared" ca="1" si="380"/>
        <v>1.2260252461737817</v>
      </c>
      <c r="W848" s="304">
        <f t="shared" ca="1" si="381"/>
        <v>59.427404777084199</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2.3459040438996066</v>
      </c>
      <c r="AH848" s="304">
        <f t="shared" ca="1" si="405"/>
        <v>-7.4479394270682207</v>
      </c>
    </row>
    <row r="849" spans="1:34" x14ac:dyDescent="0.2">
      <c r="A849" s="347">
        <f t="shared" ca="1" si="383"/>
        <v>1E-4</v>
      </c>
      <c r="B849" s="304">
        <f t="shared" ca="1" si="384"/>
        <v>35.812700000000618</v>
      </c>
      <c r="D849" s="306">
        <f t="shared" ca="1" si="385"/>
        <v>-0.42727802873179588</v>
      </c>
      <c r="E849" s="307">
        <f t="shared" ca="1" si="386"/>
        <v>-2.3742896801894418</v>
      </c>
      <c r="F849" s="304">
        <f t="shared" ca="1" si="387"/>
        <v>2.4124298952075294</v>
      </c>
      <c r="G849" s="306">
        <f t="shared" ca="1" si="388"/>
        <v>7.2260706473065461</v>
      </c>
      <c r="H849" s="307">
        <f t="shared" ca="1" si="389"/>
        <v>-125.75275027148919</v>
      </c>
      <c r="I849" s="304">
        <f t="shared" ca="1" si="390"/>
        <v>125.96019330662918</v>
      </c>
      <c r="J849" s="306">
        <f t="shared" ca="1" si="391"/>
        <v>468.65916031958193</v>
      </c>
      <c r="K849" s="307">
        <f t="shared" ca="1" si="392"/>
        <v>-8.3784309423846359</v>
      </c>
      <c r="L849" s="304">
        <f t="shared" ca="1" si="377"/>
        <v>468.7340468288088</v>
      </c>
      <c r="M849" s="306">
        <f t="shared" ca="1" si="393"/>
        <v>-1.5133969220382808</v>
      </c>
      <c r="N849" s="304">
        <f t="shared" ca="1" si="394"/>
        <v>-86.711256360882771</v>
      </c>
      <c r="P849" s="310">
        <f t="shared" ca="1" si="395"/>
        <v>23</v>
      </c>
      <c r="Q849" s="304">
        <f t="shared" ca="1" si="396"/>
        <v>0</v>
      </c>
      <c r="R849" s="306">
        <f t="shared" ca="1" si="397"/>
        <v>0</v>
      </c>
      <c r="S849" s="307">
        <f t="shared" ca="1" si="398"/>
        <v>7.9789999999999939</v>
      </c>
      <c r="T849" s="304">
        <f t="shared" ca="1" si="378"/>
        <v>78.273989999999941</v>
      </c>
      <c r="U849" s="311">
        <f t="shared" ca="1" si="379"/>
        <v>0</v>
      </c>
      <c r="V849" s="306">
        <f t="shared" ca="1" si="380"/>
        <v>1.2260267879340323</v>
      </c>
      <c r="W849" s="304">
        <f t="shared" ca="1" si="381"/>
        <v>59.427700863317426</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2.3458671868784995</v>
      </c>
      <c r="AH849" s="304">
        <f t="shared" ca="1" si="405"/>
        <v>-7.4479765355413265</v>
      </c>
    </row>
    <row r="850" spans="1:34" x14ac:dyDescent="0.2">
      <c r="A850" s="347">
        <f t="shared" ca="1" si="383"/>
        <v>1E-4</v>
      </c>
      <c r="B850" s="304">
        <f t="shared" ca="1" si="384"/>
        <v>35.812800000000621</v>
      </c>
      <c r="D850" s="306">
        <f t="shared" ca="1" si="385"/>
        <v>-0.42727683531476285</v>
      </c>
      <c r="E850" s="307">
        <f t="shared" ca="1" si="386"/>
        <v>-2.374252442209742</v>
      </c>
      <c r="F850" s="304">
        <f t="shared" ca="1" si="387"/>
        <v>2.4123930345894142</v>
      </c>
      <c r="G850" s="306">
        <f t="shared" ca="1" si="388"/>
        <v>7.2260279196230144</v>
      </c>
      <c r="H850" s="307">
        <f t="shared" ca="1" si="389"/>
        <v>-125.75298769673341</v>
      </c>
      <c r="I850" s="304">
        <f t="shared" ca="1" si="390"/>
        <v>125.96042788967476</v>
      </c>
      <c r="J850" s="306">
        <f t="shared" ca="1" si="391"/>
        <v>468.65916031958193</v>
      </c>
      <c r="K850" s="307">
        <f t="shared" ca="1" si="392"/>
        <v>-8.3910062292830467</v>
      </c>
      <c r="L850" s="304">
        <f t="shared" ca="1" si="377"/>
        <v>468.73427177559296</v>
      </c>
      <c r="M850" s="306">
        <f t="shared" ca="1" si="393"/>
        <v>-1.5133973688286106</v>
      </c>
      <c r="N850" s="304">
        <f t="shared" ca="1" si="394"/>
        <v>-86.711281960082999</v>
      </c>
      <c r="P850" s="310">
        <f t="shared" ca="1" si="395"/>
        <v>23</v>
      </c>
      <c r="Q850" s="304">
        <f t="shared" ca="1" si="396"/>
        <v>0</v>
      </c>
      <c r="R850" s="306">
        <f t="shared" ca="1" si="397"/>
        <v>0</v>
      </c>
      <c r="S850" s="307">
        <f t="shared" ca="1" si="398"/>
        <v>7.9789999999999939</v>
      </c>
      <c r="T850" s="304">
        <f t="shared" ca="1" si="378"/>
        <v>78.273989999999941</v>
      </c>
      <c r="U850" s="311">
        <f t="shared" ca="1" si="379"/>
        <v>0</v>
      </c>
      <c r="V850" s="306">
        <f t="shared" ca="1" si="380"/>
        <v>1.2260283296991328</v>
      </c>
      <c r="W850" s="304">
        <f t="shared" ca="1" si="381"/>
        <v>59.42799694727691</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2.3458303301379742</v>
      </c>
      <c r="AH850" s="304">
        <f t="shared" ca="1" si="405"/>
        <v>-7.4480136437294737</v>
      </c>
    </row>
    <row r="851" spans="1:34" x14ac:dyDescent="0.2">
      <c r="A851" s="347">
        <f t="shared" ca="1" si="383"/>
        <v>1E-4</v>
      </c>
      <c r="B851" s="304">
        <f t="shared" ca="1" si="384"/>
        <v>35.812900000000624</v>
      </c>
      <c r="D851" s="306">
        <f t="shared" ca="1" si="385"/>
        <v>-0.42727564188021117</v>
      </c>
      <c r="E851" s="307">
        <f t="shared" ca="1" si="386"/>
        <v>-2.3742152045159619</v>
      </c>
      <c r="F851" s="304">
        <f t="shared" ca="1" si="387"/>
        <v>2.412356174261777</v>
      </c>
      <c r="G851" s="306">
        <f t="shared" ca="1" si="388"/>
        <v>7.2259851920588263</v>
      </c>
      <c r="H851" s="307">
        <f t="shared" ca="1" si="389"/>
        <v>-125.75322511825387</v>
      </c>
      <c r="I851" s="304">
        <f t="shared" ca="1" si="390"/>
        <v>125.9606624690347</v>
      </c>
      <c r="J851" s="306">
        <f t="shared" ca="1" si="391"/>
        <v>468.65916031958193</v>
      </c>
      <c r="K851" s="307">
        <f t="shared" ca="1" si="392"/>
        <v>-8.4035815399237954</v>
      </c>
      <c r="L851" s="304">
        <f t="shared" ca="1" si="377"/>
        <v>468.73449706006676</v>
      </c>
      <c r="M851" s="306">
        <f t="shared" ca="1" si="393"/>
        <v>-1.5133978156146346</v>
      </c>
      <c r="N851" s="304">
        <f t="shared" ca="1" si="394"/>
        <v>-86.711307559036527</v>
      </c>
      <c r="P851" s="310">
        <f t="shared" ca="1" si="395"/>
        <v>23</v>
      </c>
      <c r="Q851" s="304">
        <f t="shared" ca="1" si="396"/>
        <v>0</v>
      </c>
      <c r="R851" s="306">
        <f t="shared" ca="1" si="397"/>
        <v>0</v>
      </c>
      <c r="S851" s="307">
        <f t="shared" ca="1" si="398"/>
        <v>7.9789999999999939</v>
      </c>
      <c r="T851" s="304">
        <f t="shared" ca="1" si="378"/>
        <v>78.273989999999941</v>
      </c>
      <c r="U851" s="311">
        <f t="shared" ca="1" si="379"/>
        <v>0</v>
      </c>
      <c r="V851" s="306">
        <f t="shared" ca="1" si="380"/>
        <v>1.2260298714690838</v>
      </c>
      <c r="W851" s="304">
        <f t="shared" ca="1" si="381"/>
        <v>59.428293028962685</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2.3457934736780359</v>
      </c>
      <c r="AH851" s="304">
        <f t="shared" ca="1" si="405"/>
        <v>-7.4480507516326551</v>
      </c>
    </row>
    <row r="852" spans="1:34" x14ac:dyDescent="0.2">
      <c r="A852" s="347">
        <f t="shared" ca="1" si="383"/>
        <v>1E-4</v>
      </c>
      <c r="B852" s="304">
        <f t="shared" ca="1" si="384"/>
        <v>35.813000000000628</v>
      </c>
      <c r="D852" s="306">
        <f t="shared" ca="1" si="385"/>
        <v>-0.42727444842814033</v>
      </c>
      <c r="E852" s="307">
        <f t="shared" ca="1" si="386"/>
        <v>-2.3741779671080954</v>
      </c>
      <c r="F852" s="304">
        <f t="shared" ca="1" si="387"/>
        <v>2.4123193142246113</v>
      </c>
      <c r="G852" s="306">
        <f t="shared" ca="1" si="388"/>
        <v>7.2259424646139836</v>
      </c>
      <c r="H852" s="307">
        <f t="shared" ca="1" si="389"/>
        <v>-125.75346253605058</v>
      </c>
      <c r="I852" s="304">
        <f t="shared" ca="1" si="390"/>
        <v>125.96089704470903</v>
      </c>
      <c r="J852" s="306">
        <f t="shared" ca="1" si="391"/>
        <v>468.65916031958193</v>
      </c>
      <c r="K852" s="307">
        <f t="shared" ca="1" si="392"/>
        <v>-8.4161568743065107</v>
      </c>
      <c r="L852" s="304">
        <f t="shared" ca="1" si="377"/>
        <v>468.73472268223156</v>
      </c>
      <c r="M852" s="306">
        <f t="shared" ca="1" si="393"/>
        <v>-1.5133982623963524</v>
      </c>
      <c r="N852" s="304">
        <f t="shared" ca="1" si="394"/>
        <v>-86.711333157743312</v>
      </c>
      <c r="P852" s="310">
        <f t="shared" ca="1" si="395"/>
        <v>23</v>
      </c>
      <c r="Q852" s="304">
        <f t="shared" ca="1" si="396"/>
        <v>0</v>
      </c>
      <c r="R852" s="306">
        <f t="shared" ca="1" si="397"/>
        <v>0</v>
      </c>
      <c r="S852" s="307">
        <f t="shared" ca="1" si="398"/>
        <v>7.9789999999999939</v>
      </c>
      <c r="T852" s="304">
        <f t="shared" ca="1" si="378"/>
        <v>78.273989999999941</v>
      </c>
      <c r="U852" s="311">
        <f t="shared" ca="1" si="379"/>
        <v>0</v>
      </c>
      <c r="V852" s="306">
        <f t="shared" ca="1" si="380"/>
        <v>1.2260314132438859</v>
      </c>
      <c r="W852" s="304">
        <f t="shared" ca="1" si="381"/>
        <v>59.428589108374773</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2.3457566174986786</v>
      </c>
      <c r="AH852" s="304">
        <f t="shared" ca="1" si="405"/>
        <v>-7.448087859250875</v>
      </c>
    </row>
    <row r="853" spans="1:34" x14ac:dyDescent="0.2">
      <c r="A853" s="347">
        <f t="shared" ca="1" si="383"/>
        <v>1E-4</v>
      </c>
      <c r="B853" s="304">
        <f t="shared" ca="1" si="384"/>
        <v>35.813100000000631</v>
      </c>
      <c r="D853" s="306">
        <f t="shared" ca="1" si="385"/>
        <v>-0.42727325495855301</v>
      </c>
      <c r="E853" s="307">
        <f t="shared" ca="1" si="386"/>
        <v>-2.3741407299861406</v>
      </c>
      <c r="F853" s="304">
        <f t="shared" ca="1" si="387"/>
        <v>2.4122824544779164</v>
      </c>
      <c r="G853" s="306">
        <f t="shared" ca="1" si="388"/>
        <v>7.2258997372884881</v>
      </c>
      <c r="H853" s="307">
        <f t="shared" ca="1" si="389"/>
        <v>-125.75369995012358</v>
      </c>
      <c r="I853" s="304">
        <f t="shared" ca="1" si="390"/>
        <v>125.96113161669776</v>
      </c>
      <c r="J853" s="306">
        <f t="shared" ca="1" si="391"/>
        <v>468.65916031958193</v>
      </c>
      <c r="K853" s="307">
        <f t="shared" ca="1" si="392"/>
        <v>-8.4287322324308196</v>
      </c>
      <c r="L853" s="304">
        <f t="shared" ca="1" si="377"/>
        <v>468.7349486420888</v>
      </c>
      <c r="M853" s="306">
        <f t="shared" ca="1" si="393"/>
        <v>-1.5133987091737646</v>
      </c>
      <c r="N853" s="304">
        <f t="shared" ca="1" si="394"/>
        <v>-86.71135875620341</v>
      </c>
      <c r="P853" s="310">
        <f t="shared" ca="1" si="395"/>
        <v>23</v>
      </c>
      <c r="Q853" s="304">
        <f t="shared" ca="1" si="396"/>
        <v>0</v>
      </c>
      <c r="R853" s="306">
        <f t="shared" ca="1" si="397"/>
        <v>0</v>
      </c>
      <c r="S853" s="307">
        <f t="shared" ca="1" si="398"/>
        <v>7.9789999999999939</v>
      </c>
      <c r="T853" s="304">
        <f t="shared" ca="1" si="378"/>
        <v>78.273989999999941</v>
      </c>
      <c r="U853" s="311">
        <f t="shared" ca="1" si="379"/>
        <v>0</v>
      </c>
      <c r="V853" s="306">
        <f t="shared" ca="1" si="380"/>
        <v>1.226032955023538</v>
      </c>
      <c r="W853" s="304">
        <f t="shared" ca="1" si="381"/>
        <v>59.42888518551311</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2.3457197615999039</v>
      </c>
      <c r="AH853" s="304">
        <f t="shared" ca="1" si="405"/>
        <v>-7.4481249665841354</v>
      </c>
    </row>
    <row r="854" spans="1:34" x14ac:dyDescent="0.2">
      <c r="A854" s="347">
        <f t="shared" ca="1" si="383"/>
        <v>1E-4</v>
      </c>
      <c r="B854" s="304">
        <f t="shared" ca="1" si="384"/>
        <v>35.813200000000634</v>
      </c>
      <c r="D854" s="306">
        <f t="shared" ca="1" si="385"/>
        <v>-0.42727206147144636</v>
      </c>
      <c r="E854" s="307">
        <f t="shared" ca="1" si="386"/>
        <v>-2.3741034931501046</v>
      </c>
      <c r="F854" s="304">
        <f t="shared" ca="1" si="387"/>
        <v>2.4122455950216986</v>
      </c>
      <c r="G854" s="306">
        <f t="shared" ca="1" si="388"/>
        <v>7.2258570100823407</v>
      </c>
      <c r="H854" s="307">
        <f t="shared" ca="1" si="389"/>
        <v>-125.75393736047289</v>
      </c>
      <c r="I854" s="304">
        <f t="shared" ca="1" si="390"/>
        <v>125.96136618500093</v>
      </c>
      <c r="J854" s="306">
        <f t="shared" ca="1" si="391"/>
        <v>468.65916031958193</v>
      </c>
      <c r="K854" s="307">
        <f t="shared" ca="1" si="392"/>
        <v>-8.441307614296349</v>
      </c>
      <c r="L854" s="304">
        <f t="shared" ca="1" si="377"/>
        <v>468.73517493963988</v>
      </c>
      <c r="M854" s="306">
        <f t="shared" ca="1" si="393"/>
        <v>-1.5133991559468709</v>
      </c>
      <c r="N854" s="304">
        <f t="shared" ca="1" si="394"/>
        <v>-86.711384354416808</v>
      </c>
      <c r="P854" s="310">
        <f t="shared" ca="1" si="395"/>
        <v>23</v>
      </c>
      <c r="Q854" s="304">
        <f t="shared" ca="1" si="396"/>
        <v>0</v>
      </c>
      <c r="R854" s="306">
        <f t="shared" ca="1" si="397"/>
        <v>0</v>
      </c>
      <c r="S854" s="307">
        <f t="shared" ca="1" si="398"/>
        <v>7.9789999999999939</v>
      </c>
      <c r="T854" s="304">
        <f t="shared" ca="1" si="378"/>
        <v>78.273989999999941</v>
      </c>
      <c r="U854" s="311">
        <f t="shared" ca="1" si="379"/>
        <v>0</v>
      </c>
      <c r="V854" s="306">
        <f t="shared" ca="1" si="380"/>
        <v>1.2260344968080403</v>
      </c>
      <c r="W854" s="304">
        <f t="shared" ca="1" si="381"/>
        <v>59.429181260377725</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2.3456829059817181</v>
      </c>
      <c r="AH854" s="304">
        <f t="shared" ca="1" si="405"/>
        <v>-7.4481620736324299</v>
      </c>
    </row>
    <row r="855" spans="1:34" x14ac:dyDescent="0.2">
      <c r="A855" s="347">
        <f t="shared" ca="1" si="383"/>
        <v>1E-4</v>
      </c>
      <c r="B855" s="304">
        <f t="shared" ca="1" si="384"/>
        <v>35.813300000000638</v>
      </c>
      <c r="D855" s="306">
        <f t="shared" ca="1" si="385"/>
        <v>-0.42727086796682295</v>
      </c>
      <c r="E855" s="307">
        <f t="shared" ca="1" si="386"/>
        <v>-2.3740662565999857</v>
      </c>
      <c r="F855" s="304">
        <f t="shared" ca="1" si="387"/>
        <v>2.4122087358559563</v>
      </c>
      <c r="G855" s="306">
        <f t="shared" ca="1" si="388"/>
        <v>7.2258142829955441</v>
      </c>
      <c r="H855" s="307">
        <f t="shared" ca="1" si="389"/>
        <v>-125.75417476709855</v>
      </c>
      <c r="I855" s="304">
        <f t="shared" ca="1" si="390"/>
        <v>125.96160074961857</v>
      </c>
      <c r="J855" s="306">
        <f t="shared" ca="1" si="391"/>
        <v>468.65916031958193</v>
      </c>
      <c r="K855" s="307">
        <f t="shared" ca="1" si="392"/>
        <v>-8.4538830199027277</v>
      </c>
      <c r="L855" s="304">
        <f t="shared" ca="1" si="377"/>
        <v>468.73540157488617</v>
      </c>
      <c r="M855" s="306">
        <f t="shared" ca="1" si="393"/>
        <v>-1.5133996027156713</v>
      </c>
      <c r="N855" s="304">
        <f t="shared" ca="1" si="394"/>
        <v>-86.711409952383491</v>
      </c>
      <c r="P855" s="310">
        <f t="shared" ca="1" si="395"/>
        <v>23</v>
      </c>
      <c r="Q855" s="304">
        <f t="shared" ca="1" si="396"/>
        <v>0</v>
      </c>
      <c r="R855" s="306">
        <f t="shared" ca="1" si="397"/>
        <v>0</v>
      </c>
      <c r="S855" s="307">
        <f t="shared" ca="1" si="398"/>
        <v>7.9789999999999939</v>
      </c>
      <c r="T855" s="304">
        <f t="shared" ca="1" si="378"/>
        <v>78.273989999999941</v>
      </c>
      <c r="U855" s="311">
        <f t="shared" ca="1" si="379"/>
        <v>0</v>
      </c>
      <c r="V855" s="306">
        <f t="shared" ca="1" si="380"/>
        <v>1.2260360385973934</v>
      </c>
      <c r="W855" s="304">
        <f t="shared" ca="1" si="381"/>
        <v>59.429477332968617</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2.3456460506441177</v>
      </c>
      <c r="AH855" s="304">
        <f t="shared" ca="1" si="405"/>
        <v>-7.4481991803957603</v>
      </c>
    </row>
    <row r="856" spans="1:34" x14ac:dyDescent="0.2">
      <c r="A856" s="347">
        <f t="shared" ca="1" si="383"/>
        <v>1E-4</v>
      </c>
      <c r="B856" s="304">
        <f t="shared" ca="1" si="384"/>
        <v>35.813400000000641</v>
      </c>
      <c r="D856" s="306">
        <f t="shared" ca="1" si="385"/>
        <v>-0.42726967444468378</v>
      </c>
      <c r="E856" s="307">
        <f t="shared" ca="1" si="386"/>
        <v>-2.3740290203357821</v>
      </c>
      <c r="F856" s="304">
        <f t="shared" ca="1" si="387"/>
        <v>2.4121718769806888</v>
      </c>
      <c r="G856" s="306">
        <f t="shared" ca="1" si="388"/>
        <v>7.2257715560281</v>
      </c>
      <c r="H856" s="307">
        <f t="shared" ca="1" si="389"/>
        <v>-125.75441217000058</v>
      </c>
      <c r="I856" s="304">
        <f t="shared" ca="1" si="390"/>
        <v>125.96183531055068</v>
      </c>
      <c r="J856" s="306">
        <f t="shared" ca="1" si="391"/>
        <v>468.65916031958193</v>
      </c>
      <c r="K856" s="307">
        <f t="shared" ca="1" si="392"/>
        <v>-8.4664584492495827</v>
      </c>
      <c r="L856" s="304">
        <f t="shared" ca="1" si="377"/>
        <v>468.73562854782915</v>
      </c>
      <c r="M856" s="306">
        <f t="shared" ca="1" si="393"/>
        <v>-1.513400049480166</v>
      </c>
      <c r="N856" s="304">
        <f t="shared" ca="1" si="394"/>
        <v>-86.711435550103474</v>
      </c>
      <c r="P856" s="310">
        <f t="shared" ca="1" si="395"/>
        <v>23</v>
      </c>
      <c r="Q856" s="304">
        <f t="shared" ca="1" si="396"/>
        <v>0</v>
      </c>
      <c r="R856" s="306">
        <f t="shared" ca="1" si="397"/>
        <v>0</v>
      </c>
      <c r="S856" s="307">
        <f t="shared" ca="1" si="398"/>
        <v>7.9789999999999939</v>
      </c>
      <c r="T856" s="304">
        <f t="shared" ca="1" si="378"/>
        <v>78.273989999999941</v>
      </c>
      <c r="U856" s="311">
        <f t="shared" ca="1" si="379"/>
        <v>0</v>
      </c>
      <c r="V856" s="306">
        <f t="shared" ca="1" si="380"/>
        <v>1.2260375803915968</v>
      </c>
      <c r="W856" s="304">
        <f t="shared" ca="1" si="381"/>
        <v>59.429773403285765</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2.3456091955871035</v>
      </c>
      <c r="AH856" s="304">
        <f t="shared" ca="1" si="405"/>
        <v>-7.4482362868741276</v>
      </c>
    </row>
    <row r="857" spans="1:34" x14ac:dyDescent="0.2">
      <c r="A857" s="347">
        <f t="shared" ca="1" si="383"/>
        <v>1E-4</v>
      </c>
      <c r="B857" s="304">
        <f t="shared" ca="1" si="384"/>
        <v>35.813500000000644</v>
      </c>
      <c r="D857" s="306">
        <f t="shared" ca="1" si="385"/>
        <v>-0.42726848090502784</v>
      </c>
      <c r="E857" s="307">
        <f t="shared" ca="1" si="386"/>
        <v>-2.3739917843574991</v>
      </c>
      <c r="F857" s="304">
        <f t="shared" ca="1" si="387"/>
        <v>2.4121350183959009</v>
      </c>
      <c r="G857" s="306">
        <f t="shared" ca="1" si="388"/>
        <v>7.2257288291800092</v>
      </c>
      <c r="H857" s="307">
        <f t="shared" ca="1" si="389"/>
        <v>-125.75464956917901</v>
      </c>
      <c r="I857" s="304">
        <f t="shared" ca="1" si="390"/>
        <v>125.96206986779733</v>
      </c>
      <c r="J857" s="306">
        <f t="shared" ca="1" si="391"/>
        <v>468.65916031958193</v>
      </c>
      <c r="K857" s="307">
        <f t="shared" ca="1" si="392"/>
        <v>-8.4790339023365409</v>
      </c>
      <c r="L857" s="304">
        <f t="shared" ca="1" si="377"/>
        <v>468.73585585847019</v>
      </c>
      <c r="M857" s="306">
        <f t="shared" ca="1" si="393"/>
        <v>-1.5134004962403553</v>
      </c>
      <c r="N857" s="304">
        <f t="shared" ca="1" si="394"/>
        <v>-86.71146114757677</v>
      </c>
      <c r="P857" s="310">
        <f t="shared" ca="1" si="395"/>
        <v>23</v>
      </c>
      <c r="Q857" s="304">
        <f t="shared" ca="1" si="396"/>
        <v>0</v>
      </c>
      <c r="R857" s="306">
        <f t="shared" ca="1" si="397"/>
        <v>0</v>
      </c>
      <c r="S857" s="307">
        <f t="shared" ca="1" si="398"/>
        <v>7.9789999999999939</v>
      </c>
      <c r="T857" s="304">
        <f t="shared" ca="1" si="378"/>
        <v>78.273989999999941</v>
      </c>
      <c r="U857" s="311">
        <f t="shared" ca="1" si="379"/>
        <v>0</v>
      </c>
      <c r="V857" s="306">
        <f t="shared" ca="1" si="380"/>
        <v>1.2260391221906501</v>
      </c>
      <c r="W857" s="304">
        <f t="shared" ca="1" si="381"/>
        <v>59.430069471329155</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2.3455723408106754</v>
      </c>
      <c r="AH857" s="304">
        <f t="shared" ca="1" si="405"/>
        <v>-7.4482733930675282</v>
      </c>
    </row>
    <row r="858" spans="1:34" x14ac:dyDescent="0.2">
      <c r="A858" s="347">
        <f t="shared" ca="1" si="383"/>
        <v>1E-4</v>
      </c>
      <c r="B858" s="304">
        <f t="shared" ca="1" si="384"/>
        <v>35.813600000000648</v>
      </c>
      <c r="D858" s="306">
        <f t="shared" ca="1" si="385"/>
        <v>-0.42726728734785424</v>
      </c>
      <c r="E858" s="307">
        <f t="shared" ca="1" si="386"/>
        <v>-2.3739545486651341</v>
      </c>
      <c r="F858" s="304">
        <f t="shared" ca="1" si="387"/>
        <v>2.4120981601015901</v>
      </c>
      <c r="G858" s="306">
        <f t="shared" ca="1" si="388"/>
        <v>7.2256861024512746</v>
      </c>
      <c r="H858" s="307">
        <f t="shared" ca="1" si="389"/>
        <v>-125.75488696463387</v>
      </c>
      <c r="I858" s="304">
        <f t="shared" ca="1" si="390"/>
        <v>125.96230442135852</v>
      </c>
      <c r="J858" s="306">
        <f t="shared" ca="1" si="391"/>
        <v>468.65916031958193</v>
      </c>
      <c r="K858" s="307">
        <f t="shared" ca="1" si="392"/>
        <v>-8.491609379163231</v>
      </c>
      <c r="L858" s="304">
        <f t="shared" ca="1" si="377"/>
        <v>468.73608350681076</v>
      </c>
      <c r="M858" s="306">
        <f t="shared" ca="1" si="393"/>
        <v>-1.5134009429962387</v>
      </c>
      <c r="N858" s="304">
        <f t="shared" ca="1" si="394"/>
        <v>-86.711486744803366</v>
      </c>
      <c r="P858" s="310">
        <f t="shared" ca="1" si="395"/>
        <v>23</v>
      </c>
      <c r="Q858" s="304">
        <f t="shared" ca="1" si="396"/>
        <v>0</v>
      </c>
      <c r="R858" s="306">
        <f t="shared" ca="1" si="397"/>
        <v>0</v>
      </c>
      <c r="S858" s="307">
        <f t="shared" ca="1" si="398"/>
        <v>7.9789999999999939</v>
      </c>
      <c r="T858" s="304">
        <f t="shared" ca="1" si="378"/>
        <v>78.273989999999941</v>
      </c>
      <c r="U858" s="311">
        <f t="shared" ca="1" si="379"/>
        <v>0</v>
      </c>
      <c r="V858" s="306">
        <f t="shared" ca="1" si="380"/>
        <v>1.2260406639945542</v>
      </c>
      <c r="W858" s="304">
        <f t="shared" ca="1" si="381"/>
        <v>59.430365537098844</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2.3455354863148372</v>
      </c>
      <c r="AH858" s="304">
        <f t="shared" ca="1" si="405"/>
        <v>-7.4483104989759621</v>
      </c>
    </row>
    <row r="859" spans="1:34" x14ac:dyDescent="0.2">
      <c r="A859" s="347">
        <f t="shared" ca="1" si="383"/>
        <v>1E-4</v>
      </c>
      <c r="B859" s="304">
        <f t="shared" ca="1" si="384"/>
        <v>35.813700000000651</v>
      </c>
      <c r="D859" s="306">
        <f t="shared" ca="1" si="385"/>
        <v>-0.42726609377316754</v>
      </c>
      <c r="E859" s="307">
        <f t="shared" ca="1" si="386"/>
        <v>-2.3739173132586844</v>
      </c>
      <c r="F859" s="304">
        <f t="shared" ca="1" si="387"/>
        <v>2.4120613020977539</v>
      </c>
      <c r="G859" s="306">
        <f t="shared" ca="1" si="388"/>
        <v>7.225643375841897</v>
      </c>
      <c r="H859" s="307">
        <f t="shared" ca="1" si="389"/>
        <v>-125.7551243563652</v>
      </c>
      <c r="I859" s="304">
        <f t="shared" ca="1" si="390"/>
        <v>125.96253897123431</v>
      </c>
      <c r="J859" s="306">
        <f t="shared" ca="1" si="391"/>
        <v>468.65916031958193</v>
      </c>
      <c r="K859" s="307">
        <f t="shared" ca="1" si="392"/>
        <v>-8.5041848797292818</v>
      </c>
      <c r="L859" s="304">
        <f t="shared" ca="1" si="377"/>
        <v>468.73631149285222</v>
      </c>
      <c r="M859" s="306">
        <f t="shared" ca="1" si="393"/>
        <v>-1.5134013897478169</v>
      </c>
      <c r="N859" s="304">
        <f t="shared" ca="1" si="394"/>
        <v>-86.71151234178329</v>
      </c>
      <c r="P859" s="310">
        <f t="shared" ca="1" si="395"/>
        <v>23</v>
      </c>
      <c r="Q859" s="304">
        <f t="shared" ca="1" si="396"/>
        <v>0</v>
      </c>
      <c r="R859" s="306">
        <f t="shared" ca="1" si="397"/>
        <v>0</v>
      </c>
      <c r="S859" s="307">
        <f t="shared" ca="1" si="398"/>
        <v>7.9789999999999939</v>
      </c>
      <c r="T859" s="304">
        <f t="shared" ca="1" si="378"/>
        <v>78.273989999999941</v>
      </c>
      <c r="U859" s="311">
        <f t="shared" ca="1" si="379"/>
        <v>0</v>
      </c>
      <c r="V859" s="306">
        <f t="shared" ca="1" si="380"/>
        <v>1.2260422058033087</v>
      </c>
      <c r="W859" s="304">
        <f t="shared" ca="1" si="381"/>
        <v>59.430661600594796</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2.3454986320995834</v>
      </c>
      <c r="AH859" s="304">
        <f t="shared" ca="1" si="405"/>
        <v>-7.4483476045994346</v>
      </c>
    </row>
    <row r="860" spans="1:34" x14ac:dyDescent="0.2">
      <c r="A860" s="347">
        <f t="shared" ca="1" si="383"/>
        <v>1E-4</v>
      </c>
      <c r="B860" s="304">
        <f t="shared" ca="1" si="384"/>
        <v>35.813800000000654</v>
      </c>
      <c r="D860" s="306">
        <f t="shared" ca="1" si="385"/>
        <v>-0.42726490018096347</v>
      </c>
      <c r="E860" s="307">
        <f t="shared" ca="1" si="386"/>
        <v>-2.3738800781381508</v>
      </c>
      <c r="F860" s="304">
        <f t="shared" ca="1" si="387"/>
        <v>2.4120244443843935</v>
      </c>
      <c r="G860" s="306">
        <f t="shared" ca="1" si="388"/>
        <v>7.225600649351879</v>
      </c>
      <c r="H860" s="307">
        <f t="shared" ca="1" si="389"/>
        <v>-125.75536174437302</v>
      </c>
      <c r="I860" s="304">
        <f t="shared" ca="1" si="390"/>
        <v>125.96277351742471</v>
      </c>
      <c r="J860" s="306">
        <f t="shared" ca="1" si="391"/>
        <v>468.65916031958193</v>
      </c>
      <c r="K860" s="307">
        <f t="shared" ca="1" si="392"/>
        <v>-8.5167604040343186</v>
      </c>
      <c r="L860" s="304">
        <f t="shared" ca="1" si="377"/>
        <v>468.73653981659601</v>
      </c>
      <c r="M860" s="306">
        <f t="shared" ca="1" si="393"/>
        <v>-1.5134018364950896</v>
      </c>
      <c r="N860" s="304">
        <f t="shared" ca="1" si="394"/>
        <v>-86.711537938516514</v>
      </c>
      <c r="P860" s="310">
        <f t="shared" ca="1" si="395"/>
        <v>23</v>
      </c>
      <c r="Q860" s="304">
        <f t="shared" ca="1" si="396"/>
        <v>0</v>
      </c>
      <c r="R860" s="306">
        <f t="shared" ca="1" si="397"/>
        <v>0</v>
      </c>
      <c r="S860" s="307">
        <f t="shared" ca="1" si="398"/>
        <v>7.9789999999999939</v>
      </c>
      <c r="T860" s="304">
        <f t="shared" ca="1" si="378"/>
        <v>78.273989999999941</v>
      </c>
      <c r="U860" s="311">
        <f t="shared" ca="1" si="379"/>
        <v>0</v>
      </c>
      <c r="V860" s="306">
        <f t="shared" ca="1" si="380"/>
        <v>1.2260437476169128</v>
      </c>
      <c r="W860" s="304">
        <f t="shared" ca="1" si="381"/>
        <v>59.430957661816983</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2.3454617781649159</v>
      </c>
      <c r="AH860" s="304">
        <f t="shared" ca="1" si="405"/>
        <v>-7.4483847099379421</v>
      </c>
    </row>
    <row r="861" spans="1:34" x14ac:dyDescent="0.2">
      <c r="A861" s="347">
        <f t="shared" ca="1" si="383"/>
        <v>1E-4</v>
      </c>
      <c r="B861" s="304">
        <f t="shared" ca="1" si="384"/>
        <v>35.813900000000658</v>
      </c>
      <c r="D861" s="306">
        <f t="shared" ca="1" si="385"/>
        <v>-0.42726370657124424</v>
      </c>
      <c r="E861" s="307">
        <f t="shared" ca="1" si="386"/>
        <v>-2.3738428433035397</v>
      </c>
      <c r="F861" s="304">
        <f t="shared" ca="1" si="387"/>
        <v>2.4119875869615153</v>
      </c>
      <c r="G861" s="306">
        <f t="shared" ca="1" si="388"/>
        <v>7.2255579229812215</v>
      </c>
      <c r="H861" s="307">
        <f t="shared" ca="1" si="389"/>
        <v>-125.75559912865735</v>
      </c>
      <c r="I861" s="304">
        <f t="shared" ca="1" si="390"/>
        <v>125.96300805992973</v>
      </c>
      <c r="J861" s="306">
        <f t="shared" ca="1" si="391"/>
        <v>468.65916031958193</v>
      </c>
      <c r="K861" s="307">
        <f t="shared" ca="1" si="392"/>
        <v>-8.5293359520779699</v>
      </c>
      <c r="L861" s="304">
        <f t="shared" ca="1" si="377"/>
        <v>468.73676847804353</v>
      </c>
      <c r="M861" s="306">
        <f t="shared" ca="1" si="393"/>
        <v>-1.5134022832380567</v>
      </c>
      <c r="N861" s="304">
        <f t="shared" ca="1" si="394"/>
        <v>-86.711563535003066</v>
      </c>
      <c r="P861" s="310">
        <f t="shared" ca="1" si="395"/>
        <v>23</v>
      </c>
      <c r="Q861" s="304">
        <f t="shared" ca="1" si="396"/>
        <v>0</v>
      </c>
      <c r="R861" s="306">
        <f t="shared" ca="1" si="397"/>
        <v>0</v>
      </c>
      <c r="S861" s="307">
        <f t="shared" ca="1" si="398"/>
        <v>7.9789999999999939</v>
      </c>
      <c r="T861" s="304">
        <f t="shared" ca="1" si="378"/>
        <v>78.273989999999941</v>
      </c>
      <c r="U861" s="311">
        <f t="shared" ca="1" si="379"/>
        <v>0</v>
      </c>
      <c r="V861" s="306">
        <f t="shared" ca="1" si="380"/>
        <v>1.2260452894353677</v>
      </c>
      <c r="W861" s="304">
        <f t="shared" ca="1" si="381"/>
        <v>59.431253720765447</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2.3454249245108398</v>
      </c>
      <c r="AH861" s="304">
        <f t="shared" ca="1" si="405"/>
        <v>-7.4484218149914811</v>
      </c>
    </row>
    <row r="862" spans="1:34" x14ac:dyDescent="0.2">
      <c r="A862" s="347">
        <f t="shared" ca="1" si="383"/>
        <v>1E-4</v>
      </c>
      <c r="B862" s="304">
        <f t="shared" ca="1" si="384"/>
        <v>35.814000000000661</v>
      </c>
      <c r="D862" s="306">
        <f t="shared" ca="1" si="385"/>
        <v>-0.42726251294401285</v>
      </c>
      <c r="E862" s="307">
        <f t="shared" ca="1" si="386"/>
        <v>-2.3738056087548438</v>
      </c>
      <c r="F862" s="304">
        <f t="shared" ca="1" si="387"/>
        <v>2.4119507298291123</v>
      </c>
      <c r="G862" s="306">
        <f t="shared" ca="1" si="388"/>
        <v>7.2255151967299271</v>
      </c>
      <c r="H862" s="307">
        <f t="shared" ca="1" si="389"/>
        <v>-125.75583650921823</v>
      </c>
      <c r="I862" s="304">
        <f t="shared" ca="1" si="390"/>
        <v>125.96324259874942</v>
      </c>
      <c r="J862" s="306">
        <f t="shared" ca="1" si="391"/>
        <v>468.65916031958193</v>
      </c>
      <c r="K862" s="307">
        <f t="shared" ca="1" si="392"/>
        <v>-8.5419115238598629</v>
      </c>
      <c r="L862" s="304">
        <f t="shared" ca="1" si="377"/>
        <v>468.73699747719621</v>
      </c>
      <c r="M862" s="306">
        <f t="shared" ca="1" si="393"/>
        <v>-1.5134027299767188</v>
      </c>
      <c r="N862" s="304">
        <f t="shared" ca="1" si="394"/>
        <v>-86.711589131242945</v>
      </c>
      <c r="P862" s="310">
        <f t="shared" ca="1" si="395"/>
        <v>23</v>
      </c>
      <c r="Q862" s="304">
        <f t="shared" ca="1" si="396"/>
        <v>0</v>
      </c>
      <c r="R862" s="306">
        <f t="shared" ca="1" si="397"/>
        <v>0</v>
      </c>
      <c r="S862" s="307">
        <f t="shared" ca="1" si="398"/>
        <v>7.9789999999999939</v>
      </c>
      <c r="T862" s="304">
        <f t="shared" ca="1" si="378"/>
        <v>78.273989999999941</v>
      </c>
      <c r="U862" s="311">
        <f t="shared" ca="1" si="379"/>
        <v>0</v>
      </c>
      <c r="V862" s="306">
        <f t="shared" ca="1" si="380"/>
        <v>1.2260468312586723</v>
      </c>
      <c r="W862" s="304">
        <f t="shared" ca="1" si="381"/>
        <v>59.431549777440132</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2.3453880711373518</v>
      </c>
      <c r="AH862" s="304">
        <f t="shared" ca="1" si="405"/>
        <v>-7.448458919760057</v>
      </c>
    </row>
    <row r="863" spans="1:34" x14ac:dyDescent="0.2">
      <c r="A863" s="347">
        <f t="shared" ca="1" si="383"/>
        <v>1E-4</v>
      </c>
      <c r="B863" s="304">
        <f t="shared" ca="1" si="384"/>
        <v>35.814100000000664</v>
      </c>
      <c r="D863" s="306">
        <f t="shared" ca="1" si="385"/>
        <v>-0.42726131929926453</v>
      </c>
      <c r="E863" s="307">
        <f t="shared" ca="1" si="386"/>
        <v>-2.3737683744920721</v>
      </c>
      <c r="F863" s="304">
        <f t="shared" ca="1" si="387"/>
        <v>2.4119138729871934</v>
      </c>
      <c r="G863" s="306">
        <f t="shared" ca="1" si="388"/>
        <v>7.2254724705979969</v>
      </c>
      <c r="H863" s="307">
        <f t="shared" ca="1" si="389"/>
        <v>-125.75607388605567</v>
      </c>
      <c r="I863" s="304">
        <f t="shared" ca="1" si="390"/>
        <v>125.96347713388379</v>
      </c>
      <c r="J863" s="306">
        <f t="shared" ca="1" si="391"/>
        <v>468.65916031958193</v>
      </c>
      <c r="K863" s="307">
        <f t="shared" ca="1" si="392"/>
        <v>-8.5544871193796261</v>
      </c>
      <c r="L863" s="304">
        <f t="shared" ca="1" si="377"/>
        <v>468.73722681405542</v>
      </c>
      <c r="M863" s="306">
        <f t="shared" ca="1" si="393"/>
        <v>-1.5134031767110754</v>
      </c>
      <c r="N863" s="304">
        <f t="shared" ca="1" si="394"/>
        <v>-86.711614727236139</v>
      </c>
      <c r="P863" s="310">
        <f t="shared" ca="1" si="395"/>
        <v>23</v>
      </c>
      <c r="Q863" s="304">
        <f t="shared" ca="1" si="396"/>
        <v>0</v>
      </c>
      <c r="R863" s="306">
        <f t="shared" ca="1" si="397"/>
        <v>0</v>
      </c>
      <c r="S863" s="307">
        <f t="shared" ca="1" si="398"/>
        <v>7.9789999999999939</v>
      </c>
      <c r="T863" s="304">
        <f t="shared" ca="1" si="378"/>
        <v>78.273989999999941</v>
      </c>
      <c r="U863" s="311">
        <f t="shared" ca="1" si="379"/>
        <v>0</v>
      </c>
      <c r="V863" s="306">
        <f t="shared" ca="1" si="380"/>
        <v>1.2260483730868272</v>
      </c>
      <c r="W863" s="304">
        <f t="shared" ca="1" si="381"/>
        <v>59.431845831841059</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2.3453512180444545</v>
      </c>
      <c r="AH863" s="304">
        <f t="shared" ca="1" si="405"/>
        <v>-7.4484960242436618</v>
      </c>
    </row>
    <row r="864" spans="1:34" x14ac:dyDescent="0.2">
      <c r="A864" s="347">
        <f t="shared" ca="1" si="383"/>
        <v>1E-4</v>
      </c>
      <c r="B864" s="304">
        <f t="shared" ca="1" si="384"/>
        <v>35.814200000000668</v>
      </c>
      <c r="D864" s="306">
        <f t="shared" ca="1" si="385"/>
        <v>-0.42726012563700377</v>
      </c>
      <c r="E864" s="307">
        <f t="shared" ca="1" si="386"/>
        <v>-2.3737311405152202</v>
      </c>
      <c r="F864" s="304">
        <f t="shared" ca="1" si="387"/>
        <v>2.4118770164357546</v>
      </c>
      <c r="G864" s="306">
        <f t="shared" ca="1" si="388"/>
        <v>7.2254297445854334</v>
      </c>
      <c r="H864" s="307">
        <f t="shared" ca="1" si="389"/>
        <v>-125.75631125916972</v>
      </c>
      <c r="I864" s="304">
        <f t="shared" ca="1" si="390"/>
        <v>125.96371166533288</v>
      </c>
      <c r="J864" s="306">
        <f t="shared" ca="1" si="391"/>
        <v>468.65916031958193</v>
      </c>
      <c r="K864" s="307">
        <f t="shared" ca="1" si="392"/>
        <v>-8.5670627386368867</v>
      </c>
      <c r="L864" s="304">
        <f t="shared" ca="1" si="377"/>
        <v>468.73745648862257</v>
      </c>
      <c r="M864" s="306">
        <f t="shared" ca="1" si="393"/>
        <v>-1.513403623441127</v>
      </c>
      <c r="N864" s="304">
        <f t="shared" ca="1" si="394"/>
        <v>-86.711640322982674</v>
      </c>
      <c r="P864" s="310">
        <f t="shared" ca="1" si="395"/>
        <v>23</v>
      </c>
      <c r="Q864" s="304">
        <f t="shared" ca="1" si="396"/>
        <v>0</v>
      </c>
      <c r="R864" s="306">
        <f t="shared" ca="1" si="397"/>
        <v>0</v>
      </c>
      <c r="S864" s="307">
        <f t="shared" ca="1" si="398"/>
        <v>7.9789999999999939</v>
      </c>
      <c r="T864" s="304">
        <f t="shared" ca="1" si="378"/>
        <v>78.273989999999941</v>
      </c>
      <c r="U864" s="311">
        <f t="shared" ca="1" si="379"/>
        <v>0</v>
      </c>
      <c r="V864" s="306">
        <f t="shared" ca="1" si="380"/>
        <v>1.2260499149198325</v>
      </c>
      <c r="W864" s="304">
        <f t="shared" ca="1" si="381"/>
        <v>59.432141883968249</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2.3453143652321478</v>
      </c>
      <c r="AH864" s="304">
        <f t="shared" ca="1" si="405"/>
        <v>-7.4485331284422989</v>
      </c>
    </row>
    <row r="865" spans="1:34" x14ac:dyDescent="0.2">
      <c r="A865" s="347">
        <f t="shared" ca="1" si="383"/>
        <v>1E-4</v>
      </c>
      <c r="B865" s="304">
        <f t="shared" ca="1" si="384"/>
        <v>35.814300000000671</v>
      </c>
      <c r="D865" s="306">
        <f t="shared" ca="1" si="385"/>
        <v>-0.42725893195722825</v>
      </c>
      <c r="E865" s="307">
        <f t="shared" ca="1" si="386"/>
        <v>-2.373693906824287</v>
      </c>
      <c r="F865" s="304">
        <f t="shared" ca="1" si="387"/>
        <v>2.4118401601747945</v>
      </c>
      <c r="G865" s="306">
        <f t="shared" ca="1" si="388"/>
        <v>7.2253870186922375</v>
      </c>
      <c r="H865" s="307">
        <f t="shared" ca="1" si="389"/>
        <v>-125.75654862856041</v>
      </c>
      <c r="I865" s="304">
        <f t="shared" ca="1" si="390"/>
        <v>125.96394619309672</v>
      </c>
      <c r="J865" s="306">
        <f t="shared" ca="1" si="391"/>
        <v>468.65916031958193</v>
      </c>
      <c r="K865" s="307">
        <f t="shared" ca="1" si="392"/>
        <v>-8.5796383816312733</v>
      </c>
      <c r="L865" s="304">
        <f t="shared" ca="1" si="377"/>
        <v>468.73768650089909</v>
      </c>
      <c r="M865" s="306">
        <f t="shared" ca="1" si="393"/>
        <v>-1.5134040701668732</v>
      </c>
      <c r="N865" s="304">
        <f t="shared" ca="1" si="394"/>
        <v>-86.711665918482538</v>
      </c>
      <c r="P865" s="310">
        <f t="shared" ca="1" si="395"/>
        <v>23</v>
      </c>
      <c r="Q865" s="304">
        <f t="shared" ca="1" si="396"/>
        <v>0</v>
      </c>
      <c r="R865" s="306">
        <f t="shared" ca="1" si="397"/>
        <v>0</v>
      </c>
      <c r="S865" s="307">
        <f t="shared" ca="1" si="398"/>
        <v>7.9789999999999939</v>
      </c>
      <c r="T865" s="304">
        <f t="shared" ca="1" si="378"/>
        <v>78.273989999999941</v>
      </c>
      <c r="U865" s="311">
        <f t="shared" ca="1" si="379"/>
        <v>0</v>
      </c>
      <c r="V865" s="306">
        <f t="shared" ca="1" si="380"/>
        <v>1.2260514567576875</v>
      </c>
      <c r="W865" s="304">
        <f t="shared" ca="1" si="381"/>
        <v>59.432437933821646</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2.3452775127004291</v>
      </c>
      <c r="AH865" s="304">
        <f t="shared" ca="1" si="405"/>
        <v>-7.448570232355971</v>
      </c>
    </row>
    <row r="866" spans="1:34" x14ac:dyDescent="0.2">
      <c r="A866" s="347">
        <f t="shared" ca="1" si="383"/>
        <v>1E-4</v>
      </c>
      <c r="B866" s="304">
        <f t="shared" ca="1" si="384"/>
        <v>35.814400000000674</v>
      </c>
      <c r="D866" s="306">
        <f t="shared" ca="1" si="385"/>
        <v>-0.42725773825994179</v>
      </c>
      <c r="E866" s="307">
        <f t="shared" ca="1" si="386"/>
        <v>-2.3736566734192772</v>
      </c>
      <c r="F866" s="304">
        <f t="shared" ca="1" si="387"/>
        <v>2.411803304204319</v>
      </c>
      <c r="G866" s="306">
        <f t="shared" ca="1" si="388"/>
        <v>7.225344292918412</v>
      </c>
      <c r="H866" s="307">
        <f t="shared" ca="1" si="389"/>
        <v>-125.75678599422776</v>
      </c>
      <c r="I866" s="304">
        <f t="shared" ca="1" si="390"/>
        <v>125.96418071717534</v>
      </c>
      <c r="J866" s="306">
        <f t="shared" ca="1" si="391"/>
        <v>468.65916031958193</v>
      </c>
      <c r="K866" s="307">
        <f t="shared" ca="1" si="392"/>
        <v>-8.592214048362413</v>
      </c>
      <c r="L866" s="304">
        <f t="shared" ca="1" si="377"/>
        <v>468.73791685088639</v>
      </c>
      <c r="M866" s="306">
        <f t="shared" ca="1" si="393"/>
        <v>-1.5134045168883146</v>
      </c>
      <c r="N866" s="304">
        <f t="shared" ca="1" si="394"/>
        <v>-86.711691513735744</v>
      </c>
      <c r="P866" s="310">
        <f t="shared" ca="1" si="395"/>
        <v>23</v>
      </c>
      <c r="Q866" s="304">
        <f t="shared" ca="1" si="396"/>
        <v>0</v>
      </c>
      <c r="R866" s="306">
        <f t="shared" ca="1" si="397"/>
        <v>0</v>
      </c>
      <c r="S866" s="307">
        <f t="shared" ca="1" si="398"/>
        <v>7.9789999999999939</v>
      </c>
      <c r="T866" s="304">
        <f t="shared" ca="1" si="378"/>
        <v>78.273989999999941</v>
      </c>
      <c r="U866" s="311">
        <f t="shared" ca="1" si="379"/>
        <v>0</v>
      </c>
      <c r="V866" s="306">
        <f t="shared" ca="1" si="380"/>
        <v>1.226052998600393</v>
      </c>
      <c r="W866" s="304">
        <f t="shared" ca="1" si="381"/>
        <v>59.432733981401327</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2.3452406604493072</v>
      </c>
      <c r="AH866" s="304">
        <f t="shared" ca="1" si="405"/>
        <v>-7.4486073359846712</v>
      </c>
    </row>
    <row r="867" spans="1:34" x14ac:dyDescent="0.2">
      <c r="A867" s="347">
        <f t="shared" ca="1" si="383"/>
        <v>1E-4</v>
      </c>
      <c r="B867" s="304">
        <f t="shared" ca="1" si="384"/>
        <v>35.814500000000677</v>
      </c>
      <c r="D867" s="306">
        <f t="shared" ca="1" si="385"/>
        <v>-0.42725654454514073</v>
      </c>
      <c r="E867" s="307">
        <f t="shared" ca="1" si="386"/>
        <v>-2.3736194403001827</v>
      </c>
      <c r="F867" s="304">
        <f t="shared" ca="1" si="387"/>
        <v>2.4117664485243187</v>
      </c>
      <c r="G867" s="306">
        <f t="shared" ca="1" si="388"/>
        <v>7.2253015672639576</v>
      </c>
      <c r="H867" s="307">
        <f t="shared" ca="1" si="389"/>
        <v>-125.75702335617179</v>
      </c>
      <c r="I867" s="304">
        <f t="shared" ca="1" si="390"/>
        <v>125.96441523756874</v>
      </c>
      <c r="J867" s="306">
        <f t="shared" ca="1" si="391"/>
        <v>468.65916031958193</v>
      </c>
      <c r="K867" s="307">
        <f t="shared" ca="1" si="392"/>
        <v>-8.6047897388299326</v>
      </c>
      <c r="L867" s="304">
        <f t="shared" ca="1" si="377"/>
        <v>468.73814753858585</v>
      </c>
      <c r="M867" s="306">
        <f t="shared" ca="1" si="393"/>
        <v>-1.513404963605451</v>
      </c>
      <c r="N867" s="304">
        <f t="shared" ca="1" si="394"/>
        <v>-86.711717108742292</v>
      </c>
      <c r="P867" s="310">
        <f t="shared" ca="1" si="395"/>
        <v>23</v>
      </c>
      <c r="Q867" s="304">
        <f t="shared" ca="1" si="396"/>
        <v>0</v>
      </c>
      <c r="R867" s="306">
        <f t="shared" ca="1" si="397"/>
        <v>0</v>
      </c>
      <c r="S867" s="307">
        <f t="shared" ca="1" si="398"/>
        <v>7.9789999999999939</v>
      </c>
      <c r="T867" s="304">
        <f t="shared" ca="1" si="378"/>
        <v>78.273989999999941</v>
      </c>
      <c r="U867" s="311">
        <f t="shared" ca="1" si="379"/>
        <v>0</v>
      </c>
      <c r="V867" s="306">
        <f t="shared" ca="1" si="380"/>
        <v>1.2260545404479481</v>
      </c>
      <c r="W867" s="304">
        <f t="shared" ca="1" si="381"/>
        <v>59.433030026707193</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2.3452038084787672</v>
      </c>
      <c r="AH867" s="304">
        <f t="shared" ca="1" si="405"/>
        <v>-7.448644439328409</v>
      </c>
    </row>
    <row r="868" spans="1:34" x14ac:dyDescent="0.2">
      <c r="A868" s="347">
        <f t="shared" ca="1" si="383"/>
        <v>1E-4</v>
      </c>
      <c r="B868" s="304">
        <f t="shared" ca="1" si="384"/>
        <v>35.814600000000681</v>
      </c>
      <c r="D868" s="306">
        <f t="shared" ca="1" si="385"/>
        <v>-0.42725535081282695</v>
      </c>
      <c r="E868" s="307">
        <f t="shared" ca="1" si="386"/>
        <v>-2.3735822074670168</v>
      </c>
      <c r="F868" s="304">
        <f t="shared" ca="1" si="387"/>
        <v>2.4117295931348082</v>
      </c>
      <c r="G868" s="306">
        <f t="shared" ca="1" si="388"/>
        <v>7.2252588417288761</v>
      </c>
      <c r="H868" s="307">
        <f t="shared" ca="1" si="389"/>
        <v>-125.75726071439253</v>
      </c>
      <c r="I868" s="304">
        <f t="shared" ca="1" si="390"/>
        <v>125.96464975427699</v>
      </c>
      <c r="J868" s="306">
        <f t="shared" ca="1" si="391"/>
        <v>468.65916031958193</v>
      </c>
      <c r="K868" s="307">
        <f t="shared" ca="1" si="392"/>
        <v>-8.6173654530334609</v>
      </c>
      <c r="L868" s="304">
        <f t="shared" ca="1" si="377"/>
        <v>468.73837856399888</v>
      </c>
      <c r="M868" s="306">
        <f t="shared" ca="1" si="393"/>
        <v>-1.5134054103182821</v>
      </c>
      <c r="N868" s="304">
        <f t="shared" ca="1" si="394"/>
        <v>-86.711742703502182</v>
      </c>
      <c r="P868" s="310">
        <f t="shared" ca="1" si="395"/>
        <v>23</v>
      </c>
      <c r="Q868" s="304">
        <f t="shared" ca="1" si="396"/>
        <v>0</v>
      </c>
      <c r="R868" s="306">
        <f t="shared" ca="1" si="397"/>
        <v>0</v>
      </c>
      <c r="S868" s="307">
        <f t="shared" ca="1" si="398"/>
        <v>7.9789999999999939</v>
      </c>
      <c r="T868" s="304">
        <f t="shared" ca="1" si="378"/>
        <v>78.273989999999941</v>
      </c>
      <c r="U868" s="311">
        <f t="shared" ca="1" si="379"/>
        <v>0</v>
      </c>
      <c r="V868" s="306">
        <f t="shared" ca="1" si="380"/>
        <v>1.226056082300353</v>
      </c>
      <c r="W868" s="304">
        <f t="shared" ca="1" si="381"/>
        <v>59.433326069739287</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2.3451669567888294</v>
      </c>
      <c r="AH868" s="304">
        <f t="shared" ca="1" si="405"/>
        <v>-7.4486815423871713</v>
      </c>
    </row>
    <row r="869" spans="1:34" x14ac:dyDescent="0.2">
      <c r="A869" s="347">
        <f t="shared" ca="1" si="383"/>
        <v>1E-4</v>
      </c>
      <c r="B869" s="304">
        <f t="shared" ca="1" si="384"/>
        <v>35.814700000000684</v>
      </c>
      <c r="D869" s="306">
        <f t="shared" ca="1" si="385"/>
        <v>-0.42725415706300318</v>
      </c>
      <c r="E869" s="307">
        <f t="shared" ca="1" si="386"/>
        <v>-2.3735449749197732</v>
      </c>
      <c r="F869" s="304">
        <f t="shared" ca="1" si="387"/>
        <v>2.4116927380357813</v>
      </c>
      <c r="G869" s="306">
        <f t="shared" ca="1" si="388"/>
        <v>7.2252161163131694</v>
      </c>
      <c r="H869" s="307">
        <f t="shared" ca="1" si="389"/>
        <v>-125.75749806889002</v>
      </c>
      <c r="I869" s="304">
        <f t="shared" ca="1" si="390"/>
        <v>125.96488426730009</v>
      </c>
      <c r="J869" s="306">
        <f t="shared" ca="1" si="391"/>
        <v>468.65916031958193</v>
      </c>
      <c r="K869" s="307">
        <f t="shared" ca="1" si="392"/>
        <v>-8.6299411909726249</v>
      </c>
      <c r="L869" s="304">
        <f t="shared" ca="1" si="377"/>
        <v>468.7386099271269</v>
      </c>
      <c r="M869" s="306">
        <f t="shared" ca="1" si="393"/>
        <v>-1.5134058570268087</v>
      </c>
      <c r="N869" s="304">
        <f t="shared" ca="1" si="394"/>
        <v>-86.711768298015429</v>
      </c>
      <c r="P869" s="310">
        <f t="shared" ca="1" si="395"/>
        <v>23</v>
      </c>
      <c r="Q869" s="304">
        <f t="shared" ca="1" si="396"/>
        <v>0</v>
      </c>
      <c r="R869" s="306">
        <f t="shared" ca="1" si="397"/>
        <v>0</v>
      </c>
      <c r="S869" s="307">
        <f t="shared" ca="1" si="398"/>
        <v>7.9789999999999939</v>
      </c>
      <c r="T869" s="304">
        <f t="shared" ca="1" si="378"/>
        <v>78.273989999999941</v>
      </c>
      <c r="U869" s="311">
        <f t="shared" ca="1" si="379"/>
        <v>0</v>
      </c>
      <c r="V869" s="306">
        <f t="shared" ca="1" si="380"/>
        <v>1.2260576241576082</v>
      </c>
      <c r="W869" s="304">
        <f t="shared" ca="1" si="381"/>
        <v>59.433622110497616</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2.3451301053794822</v>
      </c>
      <c r="AH869" s="304">
        <f t="shared" ca="1" si="405"/>
        <v>-7.4487186451609642</v>
      </c>
    </row>
    <row r="870" spans="1:34" x14ac:dyDescent="0.2">
      <c r="A870" s="347">
        <f t="shared" ca="1" si="383"/>
        <v>1E-4</v>
      </c>
      <c r="B870" s="304">
        <f t="shared" ca="1" si="384"/>
        <v>35.814800000000687</v>
      </c>
      <c r="D870" s="306">
        <f t="shared" ca="1" si="385"/>
        <v>-0.42725296329566548</v>
      </c>
      <c r="E870" s="307">
        <f t="shared" ca="1" si="386"/>
        <v>-2.3735077426584494</v>
      </c>
      <c r="F870" s="304">
        <f t="shared" ca="1" si="387"/>
        <v>2.4116558832272355</v>
      </c>
      <c r="G870" s="306">
        <f t="shared" ca="1" si="388"/>
        <v>7.2251733910168401</v>
      </c>
      <c r="H870" s="307">
        <f t="shared" ca="1" si="389"/>
        <v>-125.75773541966429</v>
      </c>
      <c r="I870" s="304">
        <f t="shared" ca="1" si="390"/>
        <v>125.96511877663809</v>
      </c>
      <c r="J870" s="306">
        <f t="shared" ca="1" si="391"/>
        <v>468.65916031958193</v>
      </c>
      <c r="K870" s="307">
        <f t="shared" ca="1" si="392"/>
        <v>-8.6425169526470533</v>
      </c>
      <c r="L870" s="304">
        <f t="shared" ca="1" si="377"/>
        <v>468.73884162797134</v>
      </c>
      <c r="M870" s="306">
        <f t="shared" ca="1" si="393"/>
        <v>-1.5134063037310304</v>
      </c>
      <c r="N870" s="304">
        <f t="shared" ca="1" si="394"/>
        <v>-86.711793892282017</v>
      </c>
      <c r="P870" s="310">
        <f t="shared" ca="1" si="395"/>
        <v>23</v>
      </c>
      <c r="Q870" s="304">
        <f t="shared" ca="1" si="396"/>
        <v>0</v>
      </c>
      <c r="R870" s="306">
        <f t="shared" ca="1" si="397"/>
        <v>0</v>
      </c>
      <c r="S870" s="307">
        <f t="shared" ca="1" si="398"/>
        <v>7.9789999999999939</v>
      </c>
      <c r="T870" s="304">
        <f t="shared" ca="1" si="378"/>
        <v>78.273989999999941</v>
      </c>
      <c r="U870" s="311">
        <f t="shared" ca="1" si="379"/>
        <v>0</v>
      </c>
      <c r="V870" s="306">
        <f t="shared" ca="1" si="380"/>
        <v>1.2260591660197135</v>
      </c>
      <c r="W870" s="304">
        <f t="shared" ca="1" si="381"/>
        <v>59.433918148982187</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2.3450932542507283</v>
      </c>
      <c r="AH870" s="304">
        <f t="shared" ca="1" si="405"/>
        <v>-7.4487557476497885</v>
      </c>
    </row>
    <row r="871" spans="1:34" x14ac:dyDescent="0.2">
      <c r="A871" s="347">
        <f t="shared" ca="1" si="383"/>
        <v>1E-4</v>
      </c>
      <c r="B871" s="304">
        <f t="shared" ca="1" si="384"/>
        <v>35.814900000000691</v>
      </c>
      <c r="D871" s="306">
        <f t="shared" ca="1" si="385"/>
        <v>-0.42725176951081811</v>
      </c>
      <c r="E871" s="307">
        <f t="shared" ca="1" si="386"/>
        <v>-2.3734705106830472</v>
      </c>
      <c r="F871" s="304">
        <f t="shared" ca="1" si="387"/>
        <v>2.4116190287091719</v>
      </c>
      <c r="G871" s="306">
        <f t="shared" ca="1" si="388"/>
        <v>7.2251306658398891</v>
      </c>
      <c r="H871" s="307">
        <f t="shared" ca="1" si="389"/>
        <v>-125.75797276671535</v>
      </c>
      <c r="I871" s="304">
        <f t="shared" ca="1" si="390"/>
        <v>125.96535328229101</v>
      </c>
      <c r="J871" s="306">
        <f t="shared" ca="1" si="391"/>
        <v>468.65916031958193</v>
      </c>
      <c r="K871" s="307">
        <f t="shared" ca="1" si="392"/>
        <v>-8.6550927380563731</v>
      </c>
      <c r="L871" s="304">
        <f t="shared" ca="1" si="377"/>
        <v>468.73907366653356</v>
      </c>
      <c r="M871" s="306">
        <f t="shared" ca="1" si="393"/>
        <v>-1.5134067504309472</v>
      </c>
      <c r="N871" s="304">
        <f t="shared" ca="1" si="394"/>
        <v>-86.711819486301962</v>
      </c>
      <c r="P871" s="310">
        <f t="shared" ca="1" si="395"/>
        <v>23</v>
      </c>
      <c r="Q871" s="304">
        <f t="shared" ca="1" si="396"/>
        <v>0</v>
      </c>
      <c r="R871" s="306">
        <f t="shared" ca="1" si="397"/>
        <v>0</v>
      </c>
      <c r="S871" s="307">
        <f t="shared" ca="1" si="398"/>
        <v>7.9789999999999939</v>
      </c>
      <c r="T871" s="304">
        <f t="shared" ca="1" si="378"/>
        <v>78.273989999999941</v>
      </c>
      <c r="U871" s="311">
        <f t="shared" ca="1" si="379"/>
        <v>0</v>
      </c>
      <c r="V871" s="306">
        <f t="shared" ca="1" si="380"/>
        <v>1.2260607078866683</v>
      </c>
      <c r="W871" s="304">
        <f t="shared" ca="1" si="381"/>
        <v>59.43421418519295</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2.3450564034025634</v>
      </c>
      <c r="AH871" s="304">
        <f t="shared" ca="1" si="405"/>
        <v>-7.4487928498536453</v>
      </c>
    </row>
    <row r="872" spans="1:34" x14ac:dyDescent="0.2">
      <c r="A872" s="347">
        <f t="shared" ca="1" si="383"/>
        <v>1E-4</v>
      </c>
      <c r="B872" s="304">
        <f t="shared" ca="1" si="384"/>
        <v>35.815000000000694</v>
      </c>
      <c r="D872" s="306">
        <f t="shared" ca="1" si="385"/>
        <v>-0.42725057570845976</v>
      </c>
      <c r="E872" s="307">
        <f t="shared" ca="1" si="386"/>
        <v>-2.3734332789935726</v>
      </c>
      <c r="F872" s="304">
        <f t="shared" ca="1" si="387"/>
        <v>2.4115821744815982</v>
      </c>
      <c r="G872" s="306">
        <f t="shared" ca="1" si="388"/>
        <v>7.2250879407823181</v>
      </c>
      <c r="H872" s="307">
        <f t="shared" ca="1" si="389"/>
        <v>-125.75821011004325</v>
      </c>
      <c r="I872" s="304">
        <f t="shared" ca="1" si="390"/>
        <v>125.96558778425884</v>
      </c>
      <c r="J872" s="306">
        <f t="shared" ca="1" si="391"/>
        <v>468.65916031958193</v>
      </c>
      <c r="K872" s="307">
        <f t="shared" ca="1" si="392"/>
        <v>-8.6676685472002113</v>
      </c>
      <c r="L872" s="304">
        <f t="shared" ca="1" si="377"/>
        <v>468.73930604281492</v>
      </c>
      <c r="M872" s="306">
        <f t="shared" ca="1" si="393"/>
        <v>-1.5134071971265595</v>
      </c>
      <c r="N872" s="304">
        <f t="shared" ca="1" si="394"/>
        <v>-86.711845080075264</v>
      </c>
      <c r="P872" s="310">
        <f t="shared" ca="1" si="395"/>
        <v>23</v>
      </c>
      <c r="Q872" s="304">
        <f t="shared" ca="1" si="396"/>
        <v>0</v>
      </c>
      <c r="R872" s="306">
        <f t="shared" ca="1" si="397"/>
        <v>0</v>
      </c>
      <c r="S872" s="307">
        <f t="shared" ca="1" si="398"/>
        <v>7.9789999999999939</v>
      </c>
      <c r="T872" s="304">
        <f t="shared" ca="1" si="378"/>
        <v>78.273989999999941</v>
      </c>
      <c r="U872" s="311">
        <f t="shared" ca="1" si="379"/>
        <v>0</v>
      </c>
      <c r="V872" s="306">
        <f t="shared" ca="1" si="380"/>
        <v>1.2260622497584732</v>
      </c>
      <c r="W872" s="304">
        <f t="shared" ca="1" si="381"/>
        <v>59.434510219129926</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2.345019552834998</v>
      </c>
      <c r="AH872" s="304">
        <f t="shared" ca="1" si="405"/>
        <v>-7.4488299517725274</v>
      </c>
    </row>
    <row r="873" spans="1:34" x14ac:dyDescent="0.2">
      <c r="A873" s="347">
        <f t="shared" ca="1" si="383"/>
        <v>1E-4</v>
      </c>
      <c r="B873" s="304">
        <f t="shared" ca="1" si="384"/>
        <v>35.815100000000697</v>
      </c>
      <c r="D873" s="306">
        <f t="shared" ca="1" si="385"/>
        <v>-0.42724938188858991</v>
      </c>
      <c r="E873" s="307">
        <f t="shared" ca="1" si="386"/>
        <v>-2.3733960475900204</v>
      </c>
      <c r="F873" s="304">
        <f t="shared" ca="1" si="387"/>
        <v>2.4115453205445081</v>
      </c>
      <c r="G873" s="306">
        <f t="shared" ca="1" si="388"/>
        <v>7.225045215844129</v>
      </c>
      <c r="H873" s="307">
        <f t="shared" ca="1" si="389"/>
        <v>-125.75844744964802</v>
      </c>
      <c r="I873" s="304">
        <f t="shared" ca="1" si="390"/>
        <v>125.96582228254168</v>
      </c>
      <c r="J873" s="306">
        <f t="shared" ca="1" si="391"/>
        <v>468.65916031958193</v>
      </c>
      <c r="K873" s="307">
        <f t="shared" ca="1" si="392"/>
        <v>-8.6802443800781965</v>
      </c>
      <c r="L873" s="304">
        <f t="shared" ca="1" si="377"/>
        <v>468.7395387568169</v>
      </c>
      <c r="M873" s="306">
        <f t="shared" ca="1" si="393"/>
        <v>-1.513407643817867</v>
      </c>
      <c r="N873" s="304">
        <f t="shared" ca="1" si="394"/>
        <v>-86.711870673601936</v>
      </c>
      <c r="P873" s="310">
        <f t="shared" ca="1" si="395"/>
        <v>23</v>
      </c>
      <c r="Q873" s="304">
        <f t="shared" ca="1" si="396"/>
        <v>0</v>
      </c>
      <c r="R873" s="306">
        <f t="shared" ca="1" si="397"/>
        <v>0</v>
      </c>
      <c r="S873" s="307">
        <f t="shared" ca="1" si="398"/>
        <v>7.9789999999999939</v>
      </c>
      <c r="T873" s="304">
        <f t="shared" ca="1" si="378"/>
        <v>78.273989999999941</v>
      </c>
      <c r="U873" s="311">
        <f t="shared" ca="1" si="379"/>
        <v>0</v>
      </c>
      <c r="V873" s="306">
        <f t="shared" ca="1" si="380"/>
        <v>1.2260637916351276</v>
      </c>
      <c r="W873" s="304">
        <f t="shared" ca="1" si="381"/>
        <v>59.434806250793109</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2.3449827025480268</v>
      </c>
      <c r="AH873" s="304">
        <f t="shared" ca="1" si="405"/>
        <v>-7.4488670534064383</v>
      </c>
    </row>
    <row r="874" spans="1:34" x14ac:dyDescent="0.2">
      <c r="A874" s="347">
        <f t="shared" ca="1" si="383"/>
        <v>1E-4</v>
      </c>
      <c r="B874" s="304">
        <f t="shared" ca="1" si="384"/>
        <v>35.815200000000701</v>
      </c>
      <c r="D874" s="306">
        <f t="shared" ca="1" si="385"/>
        <v>-0.42724818805121095</v>
      </c>
      <c r="E874" s="307">
        <f t="shared" ca="1" si="386"/>
        <v>-2.3733588164723942</v>
      </c>
      <c r="F874" s="304">
        <f t="shared" ca="1" si="387"/>
        <v>2.4115084668979057</v>
      </c>
      <c r="G874" s="306">
        <f t="shared" ca="1" si="388"/>
        <v>7.2250024910253234</v>
      </c>
      <c r="H874" s="307">
        <f t="shared" ca="1" si="389"/>
        <v>-125.75868478552967</v>
      </c>
      <c r="I874" s="304">
        <f t="shared" ca="1" si="390"/>
        <v>125.9660567771395</v>
      </c>
      <c r="J874" s="306">
        <f t="shared" ca="1" si="391"/>
        <v>468.65916031958193</v>
      </c>
      <c r="K874" s="307">
        <f t="shared" ca="1" si="392"/>
        <v>-8.6928202366899558</v>
      </c>
      <c r="L874" s="304">
        <f t="shared" ca="1" si="377"/>
        <v>468.73977180854092</v>
      </c>
      <c r="M874" s="306">
        <f t="shared" ca="1" si="393"/>
        <v>-1.5134080905048699</v>
      </c>
      <c r="N874" s="304">
        <f t="shared" ca="1" si="394"/>
        <v>-86.711896266881965</v>
      </c>
      <c r="P874" s="310">
        <f t="shared" ca="1" si="395"/>
        <v>23</v>
      </c>
      <c r="Q874" s="304">
        <f t="shared" ca="1" si="396"/>
        <v>0</v>
      </c>
      <c r="R874" s="306">
        <f t="shared" ca="1" si="397"/>
        <v>0</v>
      </c>
      <c r="S874" s="307">
        <f t="shared" ca="1" si="398"/>
        <v>7.9789999999999939</v>
      </c>
      <c r="T874" s="304">
        <f t="shared" ca="1" si="378"/>
        <v>78.273989999999941</v>
      </c>
      <c r="U874" s="311">
        <f t="shared" ca="1" si="379"/>
        <v>0</v>
      </c>
      <c r="V874" s="306">
        <f t="shared" ca="1" si="380"/>
        <v>1.2260653335166323</v>
      </c>
      <c r="W874" s="304">
        <f t="shared" ca="1" si="381"/>
        <v>59.435102280182527</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2.3449458525416507</v>
      </c>
      <c r="AH874" s="304">
        <f t="shared" ca="1" si="405"/>
        <v>-7.4489041547553771</v>
      </c>
    </row>
    <row r="875" spans="1:34" x14ac:dyDescent="0.2">
      <c r="A875" s="347">
        <f t="shared" ca="1" si="383"/>
        <v>1E-4</v>
      </c>
      <c r="B875" s="304">
        <f t="shared" ca="1" si="384"/>
        <v>35.815300000000704</v>
      </c>
      <c r="D875" s="306">
        <f t="shared" ca="1" si="385"/>
        <v>-0.42724699419632245</v>
      </c>
      <c r="E875" s="307">
        <f t="shared" ca="1" si="386"/>
        <v>-2.3733215856406895</v>
      </c>
      <c r="F875" s="304">
        <f t="shared" ca="1" si="387"/>
        <v>2.4114716135417869</v>
      </c>
      <c r="G875" s="306">
        <f t="shared" ca="1" si="388"/>
        <v>7.2249597663259042</v>
      </c>
      <c r="H875" s="307">
        <f t="shared" ca="1" si="389"/>
        <v>-125.75892211768823</v>
      </c>
      <c r="I875" s="304">
        <f t="shared" ca="1" si="390"/>
        <v>125.96629126805234</v>
      </c>
      <c r="J875" s="306">
        <f t="shared" ca="1" si="391"/>
        <v>468.65916031958193</v>
      </c>
      <c r="K875" s="307">
        <f t="shared" ca="1" si="392"/>
        <v>-8.7053961170351162</v>
      </c>
      <c r="L875" s="304">
        <f t="shared" ca="1" si="377"/>
        <v>468.7400051979883</v>
      </c>
      <c r="M875" s="306">
        <f t="shared" ca="1" si="393"/>
        <v>-1.5134085371875685</v>
      </c>
      <c r="N875" s="304">
        <f t="shared" ca="1" si="394"/>
        <v>-86.711921859915378</v>
      </c>
      <c r="P875" s="310">
        <f t="shared" ca="1" si="395"/>
        <v>23</v>
      </c>
      <c r="Q875" s="304">
        <f t="shared" ca="1" si="396"/>
        <v>0</v>
      </c>
      <c r="R875" s="306">
        <f t="shared" ca="1" si="397"/>
        <v>0</v>
      </c>
      <c r="S875" s="307">
        <f t="shared" ca="1" si="398"/>
        <v>7.9789999999999939</v>
      </c>
      <c r="T875" s="304">
        <f t="shared" ca="1" si="378"/>
        <v>78.273989999999941</v>
      </c>
      <c r="U875" s="311">
        <f t="shared" ca="1" si="379"/>
        <v>0</v>
      </c>
      <c r="V875" s="306">
        <f t="shared" ca="1" si="380"/>
        <v>1.2260668754029864</v>
      </c>
      <c r="W875" s="304">
        <f t="shared" ca="1" si="381"/>
        <v>59.435398307298129</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2.3449090028158679</v>
      </c>
      <c r="AH875" s="304">
        <f t="shared" ca="1" si="405"/>
        <v>-7.4489412558193475</v>
      </c>
    </row>
    <row r="876" spans="1:34" x14ac:dyDescent="0.2">
      <c r="A876" s="347">
        <f t="shared" ca="1" si="383"/>
        <v>1E-4</v>
      </c>
      <c r="B876" s="304">
        <f t="shared" ca="1" si="384"/>
        <v>35.815400000000707</v>
      </c>
      <c r="D876" s="306">
        <f t="shared" ca="1" si="385"/>
        <v>-0.42724580032392301</v>
      </c>
      <c r="E876" s="307">
        <f t="shared" ca="1" si="386"/>
        <v>-2.3732843550949116</v>
      </c>
      <c r="F876" s="304">
        <f t="shared" ca="1" si="387"/>
        <v>2.4114347604761566</v>
      </c>
      <c r="G876" s="306">
        <f t="shared" ca="1" si="388"/>
        <v>7.2249170417458721</v>
      </c>
      <c r="H876" s="307">
        <f t="shared" ca="1" si="389"/>
        <v>-125.75915944612373</v>
      </c>
      <c r="I876" s="304">
        <f t="shared" ca="1" si="390"/>
        <v>125.96652575528024</v>
      </c>
      <c r="J876" s="306">
        <f t="shared" ca="1" si="391"/>
        <v>468.65916031958193</v>
      </c>
      <c r="K876" s="307">
        <f t="shared" ca="1" si="392"/>
        <v>-8.7179720211133063</v>
      </c>
      <c r="L876" s="304">
        <f t="shared" ca="1" si="377"/>
        <v>468.74023892516044</v>
      </c>
      <c r="M876" s="306">
        <f t="shared" ca="1" si="393"/>
        <v>-1.5134089838659626</v>
      </c>
      <c r="N876" s="304">
        <f t="shared" ca="1" si="394"/>
        <v>-86.711947452702148</v>
      </c>
      <c r="P876" s="310">
        <f t="shared" ca="1" si="395"/>
        <v>23</v>
      </c>
      <c r="Q876" s="304">
        <f t="shared" ca="1" si="396"/>
        <v>0</v>
      </c>
      <c r="R876" s="306">
        <f t="shared" ca="1" si="397"/>
        <v>0</v>
      </c>
      <c r="S876" s="307">
        <f t="shared" ca="1" si="398"/>
        <v>7.9789999999999939</v>
      </c>
      <c r="T876" s="304">
        <f t="shared" ca="1" si="378"/>
        <v>78.273989999999941</v>
      </c>
      <c r="U876" s="311">
        <f t="shared" ca="1" si="379"/>
        <v>0</v>
      </c>
      <c r="V876" s="306">
        <f t="shared" ca="1" si="380"/>
        <v>1.2260684172941902</v>
      </c>
      <c r="W876" s="304">
        <f t="shared" ca="1" si="381"/>
        <v>59.43569433213991</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2.3448721533706838</v>
      </c>
      <c r="AH876" s="304">
        <f t="shared" ca="1" si="405"/>
        <v>-7.4489783565983423</v>
      </c>
    </row>
    <row r="877" spans="1:34" x14ac:dyDescent="0.2">
      <c r="A877" s="347">
        <f t="shared" ca="1" si="383"/>
        <v>1E-4</v>
      </c>
      <c r="B877" s="304">
        <f t="shared" ca="1" si="384"/>
        <v>35.815500000000711</v>
      </c>
      <c r="D877" s="306">
        <f t="shared" ca="1" si="385"/>
        <v>-0.42724460643401535</v>
      </c>
      <c r="E877" s="307">
        <f t="shared" ca="1" si="386"/>
        <v>-2.3732471248350624</v>
      </c>
      <c r="F877" s="304">
        <f t="shared" ca="1" si="387"/>
        <v>2.4113979077010179</v>
      </c>
      <c r="G877" s="306">
        <f t="shared" ca="1" si="388"/>
        <v>7.224874317285229</v>
      </c>
      <c r="H877" s="307">
        <f t="shared" ca="1" si="389"/>
        <v>-125.75939677083622</v>
      </c>
      <c r="I877" s="304">
        <f t="shared" ca="1" si="390"/>
        <v>125.96676023882324</v>
      </c>
      <c r="J877" s="306">
        <f t="shared" ca="1" si="391"/>
        <v>468.65916031958193</v>
      </c>
      <c r="K877" s="307">
        <f t="shared" ca="1" si="392"/>
        <v>-8.7305479489241549</v>
      </c>
      <c r="L877" s="304">
        <f t="shared" ca="1" si="377"/>
        <v>468.74047299005883</v>
      </c>
      <c r="M877" s="306">
        <f t="shared" ca="1" si="393"/>
        <v>-1.5134094305400521</v>
      </c>
      <c r="N877" s="304">
        <f t="shared" ca="1" si="394"/>
        <v>-86.711973045242303</v>
      </c>
      <c r="P877" s="310">
        <f t="shared" ca="1" si="395"/>
        <v>23</v>
      </c>
      <c r="Q877" s="304">
        <f t="shared" ca="1" si="396"/>
        <v>0</v>
      </c>
      <c r="R877" s="306">
        <f t="shared" ca="1" si="397"/>
        <v>0</v>
      </c>
      <c r="S877" s="307">
        <f t="shared" ca="1" si="398"/>
        <v>7.9789999999999939</v>
      </c>
      <c r="T877" s="304">
        <f t="shared" ca="1" si="378"/>
        <v>78.273989999999941</v>
      </c>
      <c r="U877" s="311">
        <f t="shared" ca="1" si="379"/>
        <v>0</v>
      </c>
      <c r="V877" s="306">
        <f t="shared" ca="1" si="380"/>
        <v>1.2260699591902442</v>
      </c>
      <c r="W877" s="304">
        <f t="shared" ca="1" si="381"/>
        <v>59.43599035470794</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2.344835304206101</v>
      </c>
      <c r="AH877" s="304">
        <f t="shared" ca="1" si="405"/>
        <v>-7.4490154570923623</v>
      </c>
    </row>
    <row r="878" spans="1:34" x14ac:dyDescent="0.2">
      <c r="A878" s="347">
        <f t="shared" ca="1" si="383"/>
        <v>1E-4</v>
      </c>
      <c r="B878" s="304">
        <f t="shared" ca="1" si="384"/>
        <v>35.815600000000714</v>
      </c>
      <c r="D878" s="306">
        <f t="shared" ca="1" si="385"/>
        <v>-0.42724341252660064</v>
      </c>
      <c r="E878" s="307">
        <f t="shared" ca="1" si="386"/>
        <v>-2.3732098948611329</v>
      </c>
      <c r="F878" s="304">
        <f t="shared" ca="1" si="387"/>
        <v>2.4113610552163616</v>
      </c>
      <c r="G878" s="306">
        <f t="shared" ca="1" si="388"/>
        <v>7.2248315929439766</v>
      </c>
      <c r="H878" s="307">
        <f t="shared" ca="1" si="389"/>
        <v>-125.7596340918257</v>
      </c>
      <c r="I878" s="304">
        <f t="shared" ca="1" si="390"/>
        <v>125.96699471868133</v>
      </c>
      <c r="J878" s="306">
        <f t="shared" ca="1" si="391"/>
        <v>468.65916031958193</v>
      </c>
      <c r="K878" s="307">
        <f t="shared" ca="1" si="392"/>
        <v>-8.7431239004672872</v>
      </c>
      <c r="L878" s="304">
        <f t="shared" ca="1" si="377"/>
        <v>468.74070739268478</v>
      </c>
      <c r="M878" s="306">
        <f t="shared" ca="1" si="393"/>
        <v>-1.5134098772098374</v>
      </c>
      <c r="N878" s="304">
        <f t="shared" ca="1" si="394"/>
        <v>-86.711998637535842</v>
      </c>
      <c r="P878" s="310">
        <f t="shared" ca="1" si="395"/>
        <v>23</v>
      </c>
      <c r="Q878" s="304">
        <f t="shared" ca="1" si="396"/>
        <v>0</v>
      </c>
      <c r="R878" s="306">
        <f t="shared" ca="1" si="397"/>
        <v>0</v>
      </c>
      <c r="S878" s="307">
        <f t="shared" ca="1" si="398"/>
        <v>7.9789999999999939</v>
      </c>
      <c r="T878" s="304">
        <f t="shared" ca="1" si="378"/>
        <v>78.273989999999941</v>
      </c>
      <c r="U878" s="311">
        <f t="shared" ca="1" si="379"/>
        <v>0</v>
      </c>
      <c r="V878" s="306">
        <f t="shared" ca="1" si="380"/>
        <v>1.2260715010911476</v>
      </c>
      <c r="W878" s="304">
        <f t="shared" ca="1" si="381"/>
        <v>59.436286375002133</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2.3447984553221071</v>
      </c>
      <c r="AH878" s="304">
        <f t="shared" ca="1" si="405"/>
        <v>-7.4490525573014148</v>
      </c>
    </row>
    <row r="879" spans="1:34" x14ac:dyDescent="0.2">
      <c r="A879" s="347">
        <f t="shared" ca="1" si="383"/>
        <v>1E-4</v>
      </c>
      <c r="B879" s="304">
        <f t="shared" ca="1" si="384"/>
        <v>35.815700000000717</v>
      </c>
      <c r="D879" s="306">
        <f t="shared" ca="1" si="385"/>
        <v>-0.42724221860167588</v>
      </c>
      <c r="E879" s="307">
        <f t="shared" ca="1" si="386"/>
        <v>-2.3731726651731346</v>
      </c>
      <c r="F879" s="304">
        <f t="shared" ca="1" si="387"/>
        <v>2.4113242030221986</v>
      </c>
      <c r="G879" s="306">
        <f t="shared" ca="1" si="388"/>
        <v>7.2247888687221167</v>
      </c>
      <c r="H879" s="307">
        <f t="shared" ca="1" si="389"/>
        <v>-125.75987140909221</v>
      </c>
      <c r="I879" s="304">
        <f t="shared" ca="1" si="390"/>
        <v>125.96722919485457</v>
      </c>
      <c r="J879" s="306">
        <f t="shared" ca="1" si="391"/>
        <v>468.65916031958193</v>
      </c>
      <c r="K879" s="307">
        <f t="shared" ca="1" si="392"/>
        <v>-8.7556998757423337</v>
      </c>
      <c r="L879" s="304">
        <f t="shared" ca="1" si="377"/>
        <v>468.74094213303971</v>
      </c>
      <c r="M879" s="306">
        <f t="shared" ca="1" si="393"/>
        <v>-1.5134103238753187</v>
      </c>
      <c r="N879" s="304">
        <f t="shared" ca="1" si="394"/>
        <v>-86.712024229582767</v>
      </c>
      <c r="P879" s="310">
        <f t="shared" ca="1" si="395"/>
        <v>23</v>
      </c>
      <c r="Q879" s="304">
        <f t="shared" ca="1" si="396"/>
        <v>0</v>
      </c>
      <c r="R879" s="306">
        <f t="shared" ca="1" si="397"/>
        <v>0</v>
      </c>
      <c r="S879" s="307">
        <f t="shared" ca="1" si="398"/>
        <v>7.9789999999999939</v>
      </c>
      <c r="T879" s="304">
        <f t="shared" ca="1" si="378"/>
        <v>78.273989999999941</v>
      </c>
      <c r="U879" s="311">
        <f t="shared" ca="1" si="379"/>
        <v>0</v>
      </c>
      <c r="V879" s="306">
        <f t="shared" ca="1" si="380"/>
        <v>1.2260730429969002</v>
      </c>
      <c r="W879" s="304">
        <f t="shared" ca="1" si="381"/>
        <v>59.436582393022491</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2.3447616067187145</v>
      </c>
      <c r="AH879" s="304">
        <f t="shared" ca="1" si="405"/>
        <v>-7.449089657225489</v>
      </c>
    </row>
    <row r="880" spans="1:34" x14ac:dyDescent="0.2">
      <c r="A880" s="347">
        <f t="shared" ca="1" si="383"/>
        <v>1E-4</v>
      </c>
      <c r="B880" s="304">
        <f t="shared" ca="1" si="384"/>
        <v>35.815800000000721</v>
      </c>
      <c r="D880" s="306">
        <f t="shared" ca="1" si="385"/>
        <v>-0.42724102465924207</v>
      </c>
      <c r="E880" s="307">
        <f t="shared" ca="1" si="386"/>
        <v>-2.373135435771065</v>
      </c>
      <c r="F880" s="304">
        <f t="shared" ca="1" si="387"/>
        <v>2.4112873511185269</v>
      </c>
      <c r="G880" s="306">
        <f t="shared" ca="1" si="388"/>
        <v>7.224746144619651</v>
      </c>
      <c r="H880" s="307">
        <f t="shared" ca="1" si="389"/>
        <v>-125.76010872263579</v>
      </c>
      <c r="I880" s="304">
        <f t="shared" ca="1" si="390"/>
        <v>125.96746366734297</v>
      </c>
      <c r="J880" s="306">
        <f t="shared" ca="1" si="391"/>
        <v>468.65916031958193</v>
      </c>
      <c r="K880" s="307">
        <f t="shared" ca="1" si="392"/>
        <v>-8.7682758747489196</v>
      </c>
      <c r="L880" s="304">
        <f t="shared" ca="1" si="377"/>
        <v>468.74117721112498</v>
      </c>
      <c r="M880" s="306">
        <f t="shared" ca="1" si="393"/>
        <v>-1.5134107705364954</v>
      </c>
      <c r="N880" s="304">
        <f t="shared" ca="1" si="394"/>
        <v>-86.712049821383061</v>
      </c>
      <c r="P880" s="310">
        <f t="shared" ca="1" si="395"/>
        <v>23</v>
      </c>
      <c r="Q880" s="304">
        <f t="shared" ca="1" si="396"/>
        <v>0</v>
      </c>
      <c r="R880" s="306">
        <f t="shared" ca="1" si="397"/>
        <v>0</v>
      </c>
      <c r="S880" s="307">
        <f t="shared" ca="1" si="398"/>
        <v>7.9789999999999939</v>
      </c>
      <c r="T880" s="304">
        <f t="shared" ca="1" si="378"/>
        <v>78.273989999999941</v>
      </c>
      <c r="U880" s="311">
        <f t="shared" ca="1" si="379"/>
        <v>0</v>
      </c>
      <c r="V880" s="306">
        <f t="shared" ca="1" si="380"/>
        <v>1.226074584907503</v>
      </c>
      <c r="W880" s="304">
        <f t="shared" ca="1" si="381"/>
        <v>59.436878408769054</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2.344724758395925</v>
      </c>
      <c r="AH880" s="304">
        <f t="shared" ca="1" si="405"/>
        <v>-7.4491267568645867</v>
      </c>
    </row>
    <row r="881" spans="1:34" x14ac:dyDescent="0.2">
      <c r="A881" s="347">
        <f t="shared" ca="1" si="383"/>
        <v>1E-4</v>
      </c>
      <c r="B881" s="304">
        <f t="shared" ca="1" si="384"/>
        <v>35.815900000000724</v>
      </c>
      <c r="D881" s="306">
        <f t="shared" ca="1" si="385"/>
        <v>-0.42723983069930349</v>
      </c>
      <c r="E881" s="307">
        <f t="shared" ca="1" si="386"/>
        <v>-2.3730982066549213</v>
      </c>
      <c r="F881" s="304">
        <f t="shared" ca="1" si="387"/>
        <v>2.4112504995053445</v>
      </c>
      <c r="G881" s="306">
        <f t="shared" ca="1" si="388"/>
        <v>7.2247034206365814</v>
      </c>
      <c r="H881" s="307">
        <f t="shared" ca="1" si="389"/>
        <v>-125.76034603245645</v>
      </c>
      <c r="I881" s="304">
        <f t="shared" ca="1" si="390"/>
        <v>125.96769813614657</v>
      </c>
      <c r="J881" s="306">
        <f t="shared" ca="1" si="391"/>
        <v>468.65916031958193</v>
      </c>
      <c r="K881" s="307">
        <f t="shared" ca="1" si="392"/>
        <v>-8.7808518974866736</v>
      </c>
      <c r="L881" s="304">
        <f t="shared" ca="1" si="377"/>
        <v>468.74141262694206</v>
      </c>
      <c r="M881" s="306">
        <f t="shared" ca="1" si="393"/>
        <v>-1.5134112171933682</v>
      </c>
      <c r="N881" s="304">
        <f t="shared" ca="1" si="394"/>
        <v>-86.71207541293677</v>
      </c>
      <c r="P881" s="310">
        <f t="shared" ca="1" si="395"/>
        <v>23</v>
      </c>
      <c r="Q881" s="304">
        <f t="shared" ca="1" si="396"/>
        <v>0</v>
      </c>
      <c r="R881" s="306">
        <f t="shared" ca="1" si="397"/>
        <v>0</v>
      </c>
      <c r="S881" s="307">
        <f t="shared" ca="1" si="398"/>
        <v>7.9789999999999939</v>
      </c>
      <c r="T881" s="304">
        <f t="shared" ca="1" si="378"/>
        <v>78.273989999999941</v>
      </c>
      <c r="U881" s="311">
        <f t="shared" ca="1" si="379"/>
        <v>0</v>
      </c>
      <c r="V881" s="306">
        <f t="shared" ca="1" si="380"/>
        <v>1.2260761268229547</v>
      </c>
      <c r="W881" s="304">
        <f t="shared" ca="1" si="381"/>
        <v>59.437174422241796</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2.3446879103537315</v>
      </c>
      <c r="AH881" s="304">
        <f t="shared" ca="1" si="405"/>
        <v>-7.4491638562187115</v>
      </c>
    </row>
    <row r="882" spans="1:34" x14ac:dyDescent="0.2">
      <c r="A882" s="347">
        <f t="shared" ca="1" si="383"/>
        <v>1E-4</v>
      </c>
      <c r="B882" s="304">
        <f t="shared" ca="1" si="384"/>
        <v>35.816000000000727</v>
      </c>
      <c r="D882" s="306">
        <f t="shared" ca="1" si="385"/>
        <v>-0.42723863672185597</v>
      </c>
      <c r="E882" s="307">
        <f t="shared" ca="1" si="386"/>
        <v>-2.3730609778247063</v>
      </c>
      <c r="F882" s="304">
        <f t="shared" ca="1" si="387"/>
        <v>2.4112136481826534</v>
      </c>
      <c r="G882" s="306">
        <f t="shared" ca="1" si="388"/>
        <v>7.2246606967729097</v>
      </c>
      <c r="H882" s="307">
        <f t="shared" ca="1" si="389"/>
        <v>-125.76058333855424</v>
      </c>
      <c r="I882" s="304">
        <f t="shared" ca="1" si="390"/>
        <v>125.96793260126539</v>
      </c>
      <c r="J882" s="306">
        <f t="shared" ca="1" si="391"/>
        <v>468.65916031958193</v>
      </c>
      <c r="K882" s="307">
        <f t="shared" ca="1" si="392"/>
        <v>-8.7934279439552245</v>
      </c>
      <c r="L882" s="304">
        <f t="shared" ca="1" si="377"/>
        <v>468.74164838049234</v>
      </c>
      <c r="M882" s="306">
        <f t="shared" ca="1" si="393"/>
        <v>-1.5134116638459369</v>
      </c>
      <c r="N882" s="304">
        <f t="shared" ca="1" si="394"/>
        <v>-86.712101004243863</v>
      </c>
      <c r="P882" s="310">
        <f t="shared" ca="1" si="395"/>
        <v>23</v>
      </c>
      <c r="Q882" s="304">
        <f t="shared" ca="1" si="396"/>
        <v>0</v>
      </c>
      <c r="R882" s="306">
        <f t="shared" ca="1" si="397"/>
        <v>0</v>
      </c>
      <c r="S882" s="307">
        <f t="shared" ca="1" si="398"/>
        <v>7.9789999999999939</v>
      </c>
      <c r="T882" s="304">
        <f t="shared" ca="1" si="378"/>
        <v>78.273989999999941</v>
      </c>
      <c r="U882" s="311">
        <f t="shared" ca="1" si="379"/>
        <v>0</v>
      </c>
      <c r="V882" s="306">
        <f t="shared" ca="1" si="380"/>
        <v>1.2260776687432564</v>
      </c>
      <c r="W882" s="304">
        <f t="shared" ca="1" si="381"/>
        <v>59.437470433440716</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2.3446510625921384</v>
      </c>
      <c r="AH882" s="304">
        <f t="shared" ca="1" si="405"/>
        <v>-7.4492009552878606</v>
      </c>
    </row>
    <row r="883" spans="1:34" x14ac:dyDescent="0.2">
      <c r="A883" s="347">
        <f t="shared" ca="1" si="383"/>
        <v>1E-4</v>
      </c>
      <c r="B883" s="304">
        <f t="shared" ca="1" si="384"/>
        <v>35.816100000000731</v>
      </c>
      <c r="D883" s="306">
        <f t="shared" ca="1" si="385"/>
        <v>-0.42723744272690189</v>
      </c>
      <c r="E883" s="307">
        <f t="shared" ca="1" si="386"/>
        <v>-2.3730237492804189</v>
      </c>
      <c r="F883" s="304">
        <f t="shared" ca="1" si="387"/>
        <v>2.4111767971504534</v>
      </c>
      <c r="G883" s="306">
        <f t="shared" ca="1" si="388"/>
        <v>7.2246179730286366</v>
      </c>
      <c r="H883" s="307">
        <f t="shared" ca="1" si="389"/>
        <v>-125.76082064092917</v>
      </c>
      <c r="I883" s="304">
        <f t="shared" ca="1" si="390"/>
        <v>125.96816706269946</v>
      </c>
      <c r="J883" s="306">
        <f t="shared" ca="1" si="391"/>
        <v>468.65916031958193</v>
      </c>
      <c r="K883" s="307">
        <f t="shared" ca="1" si="392"/>
        <v>-8.8060040141541993</v>
      </c>
      <c r="L883" s="304">
        <f t="shared" ca="1" si="377"/>
        <v>468.74188447177715</v>
      </c>
      <c r="M883" s="306">
        <f t="shared" ca="1" si="393"/>
        <v>-1.5134121104942018</v>
      </c>
      <c r="N883" s="304">
        <f t="shared" ca="1" si="394"/>
        <v>-86.712126595304369</v>
      </c>
      <c r="P883" s="310">
        <f t="shared" ca="1" si="395"/>
        <v>23</v>
      </c>
      <c r="Q883" s="304">
        <f t="shared" ca="1" si="396"/>
        <v>0</v>
      </c>
      <c r="R883" s="306">
        <f t="shared" ca="1" si="397"/>
        <v>0</v>
      </c>
      <c r="S883" s="307">
        <f t="shared" ca="1" si="398"/>
        <v>7.9789999999999939</v>
      </c>
      <c r="T883" s="304">
        <f t="shared" ca="1" si="378"/>
        <v>78.273989999999941</v>
      </c>
      <c r="U883" s="311">
        <f t="shared" ca="1" si="379"/>
        <v>0</v>
      </c>
      <c r="V883" s="306">
        <f t="shared" ca="1" si="380"/>
        <v>1.2260792106684077</v>
      </c>
      <c r="W883" s="304">
        <f t="shared" ca="1" si="381"/>
        <v>59.437766442365827</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2.3446142151111475</v>
      </c>
      <c r="AH883" s="304">
        <f t="shared" ca="1" si="405"/>
        <v>-7.4492380540720342</v>
      </c>
    </row>
    <row r="884" spans="1:34" x14ac:dyDescent="0.2">
      <c r="A884" s="347">
        <f t="shared" ca="1" si="383"/>
        <v>1E-4</v>
      </c>
      <c r="B884" s="304">
        <f t="shared" ca="1" si="384"/>
        <v>35.816200000000734</v>
      </c>
      <c r="D884" s="306">
        <f t="shared" ca="1" si="385"/>
        <v>-0.42723624871444071</v>
      </c>
      <c r="E884" s="307">
        <f t="shared" ca="1" si="386"/>
        <v>-2.3729865210220584</v>
      </c>
      <c r="F884" s="304">
        <f t="shared" ca="1" si="387"/>
        <v>2.4111399464087437</v>
      </c>
      <c r="G884" s="306">
        <f t="shared" ca="1" si="388"/>
        <v>7.2245752494037649</v>
      </c>
      <c r="H884" s="307">
        <f t="shared" ca="1" si="389"/>
        <v>-125.76105793958126</v>
      </c>
      <c r="I884" s="304">
        <f t="shared" ca="1" si="390"/>
        <v>125.96840152044882</v>
      </c>
      <c r="J884" s="306">
        <f t="shared" ca="1" si="391"/>
        <v>468.65916031958193</v>
      </c>
      <c r="K884" s="307">
        <f t="shared" ca="1" si="392"/>
        <v>-8.8185801080832249</v>
      </c>
      <c r="L884" s="304">
        <f t="shared" ca="1" si="377"/>
        <v>468.74212090079794</v>
      </c>
      <c r="M884" s="306">
        <f t="shared" ca="1" si="393"/>
        <v>-1.5134125571381625</v>
      </c>
      <c r="N884" s="304">
        <f t="shared" ca="1" si="394"/>
        <v>-86.71215218611826</v>
      </c>
      <c r="P884" s="310">
        <f t="shared" ca="1" si="395"/>
        <v>23</v>
      </c>
      <c r="Q884" s="304">
        <f t="shared" ca="1" si="396"/>
        <v>0</v>
      </c>
      <c r="R884" s="306">
        <f t="shared" ca="1" si="397"/>
        <v>0</v>
      </c>
      <c r="S884" s="307">
        <f t="shared" ca="1" si="398"/>
        <v>7.9789999999999939</v>
      </c>
      <c r="T884" s="304">
        <f t="shared" ca="1" si="378"/>
        <v>78.273989999999941</v>
      </c>
      <c r="U884" s="311">
        <f t="shared" ca="1" si="379"/>
        <v>0</v>
      </c>
      <c r="V884" s="306">
        <f t="shared" ca="1" si="380"/>
        <v>1.2260807525984085</v>
      </c>
      <c r="W884" s="304">
        <f t="shared" ca="1" si="381"/>
        <v>59.438062449017131</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2.3445773679107518</v>
      </c>
      <c r="AH884" s="304">
        <f t="shared" ca="1" si="405"/>
        <v>-7.449275152571234</v>
      </c>
    </row>
    <row r="885" spans="1:34" x14ac:dyDescent="0.2">
      <c r="A885" s="347">
        <f t="shared" ca="1" si="383"/>
        <v>1E-4</v>
      </c>
      <c r="B885" s="304">
        <f t="shared" ca="1" si="384"/>
        <v>35.816300000000737</v>
      </c>
      <c r="D885" s="306">
        <f t="shared" ca="1" si="385"/>
        <v>-0.42723505468447487</v>
      </c>
      <c r="E885" s="307">
        <f t="shared" ca="1" si="386"/>
        <v>-2.3729492930496257</v>
      </c>
      <c r="F885" s="304">
        <f t="shared" ca="1" si="387"/>
        <v>2.4111030959575257</v>
      </c>
      <c r="G885" s="306">
        <f t="shared" ca="1" si="388"/>
        <v>7.2245325258982964</v>
      </c>
      <c r="H885" s="307">
        <f t="shared" ca="1" si="389"/>
        <v>-125.76129523451057</v>
      </c>
      <c r="I885" s="304">
        <f t="shared" ca="1" si="390"/>
        <v>125.96863597451349</v>
      </c>
      <c r="J885" s="306">
        <f t="shared" ca="1" si="391"/>
        <v>468.65916031958193</v>
      </c>
      <c r="K885" s="307">
        <f t="shared" ca="1" si="392"/>
        <v>-8.83115622574193</v>
      </c>
      <c r="L885" s="304">
        <f t="shared" ca="1" si="377"/>
        <v>468.74235766755606</v>
      </c>
      <c r="M885" s="306">
        <f t="shared" ca="1" si="393"/>
        <v>-1.5134130037778193</v>
      </c>
      <c r="N885" s="304">
        <f t="shared" ca="1" si="394"/>
        <v>-86.712177776685564</v>
      </c>
      <c r="P885" s="310">
        <f t="shared" ca="1" si="395"/>
        <v>23</v>
      </c>
      <c r="Q885" s="304">
        <f t="shared" ca="1" si="396"/>
        <v>0</v>
      </c>
      <c r="R885" s="306">
        <f t="shared" ca="1" si="397"/>
        <v>0</v>
      </c>
      <c r="S885" s="307">
        <f t="shared" ca="1" si="398"/>
        <v>7.9789999999999939</v>
      </c>
      <c r="T885" s="304">
        <f t="shared" ca="1" si="378"/>
        <v>78.273989999999941</v>
      </c>
      <c r="U885" s="311">
        <f t="shared" ca="1" si="379"/>
        <v>0</v>
      </c>
      <c r="V885" s="306">
        <f t="shared" ca="1" si="380"/>
        <v>1.2260822945332586</v>
      </c>
      <c r="W885" s="304">
        <f t="shared" ca="1" si="381"/>
        <v>59.438358453394571</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2.3445405209909573</v>
      </c>
      <c r="AH885" s="304">
        <f t="shared" ca="1" si="405"/>
        <v>-7.449312250785459</v>
      </c>
    </row>
    <row r="886" spans="1:34" x14ac:dyDescent="0.2">
      <c r="A886" s="347">
        <f t="shared" ca="1" si="383"/>
        <v>1E-4</v>
      </c>
      <c r="B886" s="304">
        <f t="shared" ca="1" si="384"/>
        <v>35.816400000000741</v>
      </c>
      <c r="D886" s="306">
        <f t="shared" ca="1" si="385"/>
        <v>-0.42723386063700319</v>
      </c>
      <c r="E886" s="307">
        <f t="shared" ca="1" si="386"/>
        <v>-2.3729120653631259</v>
      </c>
      <c r="F886" s="304">
        <f t="shared" ca="1" si="387"/>
        <v>2.4110662457968037</v>
      </c>
      <c r="G886" s="306">
        <f t="shared" ca="1" si="388"/>
        <v>7.2244898025122328</v>
      </c>
      <c r="H886" s="307">
        <f t="shared" ca="1" si="389"/>
        <v>-125.7615325257171</v>
      </c>
      <c r="I886" s="304">
        <f t="shared" ca="1" si="390"/>
        <v>125.96887042489348</v>
      </c>
      <c r="J886" s="306">
        <f t="shared" ca="1" si="391"/>
        <v>468.65916031958193</v>
      </c>
      <c r="K886" s="307">
        <f t="shared" ca="1" si="392"/>
        <v>-8.8437323671299417</v>
      </c>
      <c r="L886" s="304">
        <f t="shared" ca="1" si="377"/>
        <v>468.74259477205294</v>
      </c>
      <c r="M886" s="306">
        <f t="shared" ca="1" si="393"/>
        <v>-1.5134134504131724</v>
      </c>
      <c r="N886" s="304">
        <f t="shared" ca="1" si="394"/>
        <v>-86.712203367006282</v>
      </c>
      <c r="P886" s="310">
        <f t="shared" ca="1" si="395"/>
        <v>23</v>
      </c>
      <c r="Q886" s="304">
        <f t="shared" ca="1" si="396"/>
        <v>0</v>
      </c>
      <c r="R886" s="306">
        <f t="shared" ca="1" si="397"/>
        <v>0</v>
      </c>
      <c r="S886" s="307">
        <f t="shared" ca="1" si="398"/>
        <v>7.9789999999999939</v>
      </c>
      <c r="T886" s="304">
        <f t="shared" ca="1" si="378"/>
        <v>78.273989999999941</v>
      </c>
      <c r="U886" s="311">
        <f t="shared" ca="1" si="379"/>
        <v>0</v>
      </c>
      <c r="V886" s="306">
        <f t="shared" ca="1" si="380"/>
        <v>1.2260838364729585</v>
      </c>
      <c r="W886" s="304">
        <f t="shared" ca="1" si="381"/>
        <v>59.438654455498188</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2.3445036743517669</v>
      </c>
      <c r="AH886" s="304">
        <f t="shared" ca="1" si="405"/>
        <v>-7.4493493487147031</v>
      </c>
    </row>
    <row r="887" spans="1:34" x14ac:dyDescent="0.2">
      <c r="A887" s="347">
        <f t="shared" ca="1" si="383"/>
        <v>1E-4</v>
      </c>
      <c r="B887" s="304">
        <f t="shared" ca="1" si="384"/>
        <v>35.816500000000744</v>
      </c>
      <c r="D887" s="306">
        <f t="shared" ca="1" si="385"/>
        <v>-0.42723266657202519</v>
      </c>
      <c r="E887" s="307">
        <f t="shared" ca="1" si="386"/>
        <v>-2.3728748379625548</v>
      </c>
      <c r="F887" s="304">
        <f t="shared" ca="1" si="387"/>
        <v>2.4110293959265747</v>
      </c>
      <c r="G887" s="306">
        <f t="shared" ca="1" si="388"/>
        <v>7.2244470792455759</v>
      </c>
      <c r="H887" s="307">
        <f t="shared" ca="1" si="389"/>
        <v>-125.7617698132009</v>
      </c>
      <c r="I887" s="304">
        <f t="shared" ca="1" si="390"/>
        <v>125.96910487158885</v>
      </c>
      <c r="J887" s="306">
        <f t="shared" ca="1" si="391"/>
        <v>468.65916031958193</v>
      </c>
      <c r="K887" s="307">
        <f t="shared" ca="1" si="392"/>
        <v>-8.8563085322468869</v>
      </c>
      <c r="L887" s="304">
        <f t="shared" ca="1" si="377"/>
        <v>468.74283221428993</v>
      </c>
      <c r="M887" s="306">
        <f t="shared" ca="1" si="393"/>
        <v>-1.5134138970442217</v>
      </c>
      <c r="N887" s="304">
        <f t="shared" ca="1" si="394"/>
        <v>-86.712228957080399</v>
      </c>
      <c r="P887" s="310">
        <f t="shared" ca="1" si="395"/>
        <v>23</v>
      </c>
      <c r="Q887" s="304">
        <f t="shared" ca="1" si="396"/>
        <v>0</v>
      </c>
      <c r="R887" s="306">
        <f t="shared" ca="1" si="397"/>
        <v>0</v>
      </c>
      <c r="S887" s="307">
        <f t="shared" ca="1" si="398"/>
        <v>7.9789999999999939</v>
      </c>
      <c r="T887" s="304">
        <f t="shared" ca="1" si="378"/>
        <v>78.273989999999941</v>
      </c>
      <c r="U887" s="311">
        <f t="shared" ca="1" si="379"/>
        <v>0</v>
      </c>
      <c r="V887" s="306">
        <f t="shared" ca="1" si="380"/>
        <v>1.2260853784175072</v>
      </c>
      <c r="W887" s="304">
        <f t="shared" ca="1" si="381"/>
        <v>59.438950455327976</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2.3444668279931786</v>
      </c>
      <c r="AH887" s="304">
        <f t="shared" ca="1" si="405"/>
        <v>-7.4493864463589716</v>
      </c>
    </row>
    <row r="888" spans="1:34" x14ac:dyDescent="0.2">
      <c r="A888" s="347">
        <f t="shared" ca="1" si="383"/>
        <v>1E-4</v>
      </c>
      <c r="B888" s="304">
        <f t="shared" ca="1" si="384"/>
        <v>35.816600000000747</v>
      </c>
      <c r="D888" s="306">
        <f t="shared" ca="1" si="385"/>
        <v>-0.42723147248954324</v>
      </c>
      <c r="E888" s="307">
        <f t="shared" ca="1" si="386"/>
        <v>-2.3728376108479132</v>
      </c>
      <c r="F888" s="304">
        <f t="shared" ca="1" si="387"/>
        <v>2.4109925463468391</v>
      </c>
      <c r="G888" s="306">
        <f t="shared" ca="1" si="388"/>
        <v>7.2244043560983267</v>
      </c>
      <c r="H888" s="307">
        <f t="shared" ca="1" si="389"/>
        <v>-125.76200709696198</v>
      </c>
      <c r="I888" s="304">
        <f t="shared" ca="1" si="390"/>
        <v>125.96933931459961</v>
      </c>
      <c r="J888" s="306">
        <f t="shared" ca="1" si="391"/>
        <v>468.65916031958193</v>
      </c>
      <c r="K888" s="307">
        <f t="shared" ca="1" si="392"/>
        <v>-8.8688847210923942</v>
      </c>
      <c r="L888" s="304">
        <f t="shared" ca="1" si="377"/>
        <v>468.74306999426841</v>
      </c>
      <c r="M888" s="306">
        <f t="shared" ca="1" si="393"/>
        <v>-1.5134143436709673</v>
      </c>
      <c r="N888" s="304">
        <f t="shared" ca="1" si="394"/>
        <v>-86.712254546907943</v>
      </c>
      <c r="P888" s="310">
        <f t="shared" ca="1" si="395"/>
        <v>23</v>
      </c>
      <c r="Q888" s="304">
        <f t="shared" ca="1" si="396"/>
        <v>0</v>
      </c>
      <c r="R888" s="306">
        <f t="shared" ca="1" si="397"/>
        <v>0</v>
      </c>
      <c r="S888" s="307">
        <f t="shared" ca="1" si="398"/>
        <v>7.9789999999999939</v>
      </c>
      <c r="T888" s="304">
        <f t="shared" ca="1" si="378"/>
        <v>78.273989999999941</v>
      </c>
      <c r="U888" s="311">
        <f t="shared" ca="1" si="379"/>
        <v>0</v>
      </c>
      <c r="V888" s="306">
        <f t="shared" ca="1" si="380"/>
        <v>1.2260869203669054</v>
      </c>
      <c r="W888" s="304">
        <f t="shared" ca="1" si="381"/>
        <v>59.4392464528839</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2.3444299819151926</v>
      </c>
      <c r="AH888" s="304">
        <f t="shared" ca="1" si="405"/>
        <v>-7.4494235437182628</v>
      </c>
    </row>
    <row r="889" spans="1:34" x14ac:dyDescent="0.2">
      <c r="A889" s="347">
        <f t="shared" ca="1" si="383"/>
        <v>1E-4</v>
      </c>
      <c r="B889" s="304">
        <f t="shared" ca="1" si="384"/>
        <v>35.81670000000075</v>
      </c>
      <c r="D889" s="306">
        <f t="shared" ca="1" si="385"/>
        <v>-0.42723027838955652</v>
      </c>
      <c r="E889" s="307">
        <f t="shared" ca="1" si="386"/>
        <v>-2.3728003840192056</v>
      </c>
      <c r="F889" s="304">
        <f t="shared" ca="1" si="387"/>
        <v>2.4109556970576018</v>
      </c>
      <c r="G889" s="306">
        <f t="shared" ca="1" si="388"/>
        <v>7.2243616330704876</v>
      </c>
      <c r="H889" s="307">
        <f t="shared" ca="1" si="389"/>
        <v>-125.76224437700039</v>
      </c>
      <c r="I889" s="304">
        <f t="shared" ca="1" si="390"/>
        <v>125.96957375392577</v>
      </c>
      <c r="J889" s="306">
        <f t="shared" ca="1" si="391"/>
        <v>468.65916031958193</v>
      </c>
      <c r="K889" s="307">
        <f t="shared" ca="1" si="392"/>
        <v>-8.8814609336660926</v>
      </c>
      <c r="L889" s="304">
        <f t="shared" ca="1" si="377"/>
        <v>468.74330811198985</v>
      </c>
      <c r="M889" s="306">
        <f t="shared" ca="1" si="393"/>
        <v>-1.5134147902934092</v>
      </c>
      <c r="N889" s="304">
        <f t="shared" ca="1" si="394"/>
        <v>-86.7122801364889</v>
      </c>
      <c r="P889" s="310">
        <f t="shared" ca="1" si="395"/>
        <v>23</v>
      </c>
      <c r="Q889" s="304">
        <f t="shared" ca="1" si="396"/>
        <v>0</v>
      </c>
      <c r="R889" s="306">
        <f t="shared" ca="1" si="397"/>
        <v>0</v>
      </c>
      <c r="S889" s="307">
        <f t="shared" ca="1" si="398"/>
        <v>7.9789999999999939</v>
      </c>
      <c r="T889" s="304">
        <f t="shared" ca="1" si="378"/>
        <v>78.273989999999941</v>
      </c>
      <c r="U889" s="311">
        <f t="shared" ca="1" si="379"/>
        <v>0</v>
      </c>
      <c r="V889" s="306">
        <f t="shared" ca="1" si="380"/>
        <v>1.2260884623211534</v>
      </c>
      <c r="W889" s="304">
        <f t="shared" ca="1" si="381"/>
        <v>59.439542448166009</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2.3443931361178096</v>
      </c>
      <c r="AH889" s="304">
        <f t="shared" ca="1" si="405"/>
        <v>-7.4494606407925739</v>
      </c>
    </row>
    <row r="890" spans="1:34" x14ac:dyDescent="0.2">
      <c r="A890" s="347">
        <f t="shared" ca="1" si="383"/>
        <v>1E-4</v>
      </c>
      <c r="B890" s="304">
        <f t="shared" ca="1" si="384"/>
        <v>35.816800000000754</v>
      </c>
      <c r="D890" s="306">
        <f t="shared" ca="1" si="385"/>
        <v>-0.42722908427206602</v>
      </c>
      <c r="E890" s="307">
        <f t="shared" ca="1" si="386"/>
        <v>-2.3727631574764247</v>
      </c>
      <c r="F890" s="304">
        <f t="shared" ca="1" si="387"/>
        <v>2.4109188480588561</v>
      </c>
      <c r="G890" s="306">
        <f t="shared" ca="1" si="388"/>
        <v>7.2243189101620606</v>
      </c>
      <c r="H890" s="307">
        <f t="shared" ca="1" si="389"/>
        <v>-125.76248165331613</v>
      </c>
      <c r="I890" s="304">
        <f t="shared" ca="1" si="390"/>
        <v>125.96980818956739</v>
      </c>
      <c r="J890" s="306">
        <f t="shared" ca="1" si="391"/>
        <v>468.65916031958193</v>
      </c>
      <c r="K890" s="307">
        <f t="shared" ca="1" si="392"/>
        <v>-8.8940371699676088</v>
      </c>
      <c r="L890" s="304">
        <f t="shared" ca="1" si="377"/>
        <v>468.74354656745555</v>
      </c>
      <c r="M890" s="306">
        <f t="shared" ca="1" si="393"/>
        <v>-1.5134152369115477</v>
      </c>
      <c r="N890" s="304">
        <f t="shared" ca="1" si="394"/>
        <v>-86.712305725823285</v>
      </c>
      <c r="P890" s="310">
        <f t="shared" ca="1" si="395"/>
        <v>23</v>
      </c>
      <c r="Q890" s="304">
        <f t="shared" ca="1" si="396"/>
        <v>0</v>
      </c>
      <c r="R890" s="306">
        <f t="shared" ca="1" si="397"/>
        <v>0</v>
      </c>
      <c r="S890" s="307">
        <f t="shared" ca="1" si="398"/>
        <v>7.9789999999999939</v>
      </c>
      <c r="T890" s="304">
        <f t="shared" ca="1" si="378"/>
        <v>78.273989999999941</v>
      </c>
      <c r="U890" s="311">
        <f t="shared" ca="1" si="379"/>
        <v>0</v>
      </c>
      <c r="V890" s="306">
        <f t="shared" ca="1" si="380"/>
        <v>1.2260900042802503</v>
      </c>
      <c r="W890" s="304">
        <f t="shared" ca="1" si="381"/>
        <v>59.439838441174246</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2.3443562906010307</v>
      </c>
      <c r="AH890" s="304">
        <f t="shared" ca="1" si="405"/>
        <v>-7.4494977375819094</v>
      </c>
    </row>
    <row r="891" spans="1:34" x14ac:dyDescent="0.2">
      <c r="A891" s="347">
        <f t="shared" ca="1" si="383"/>
        <v>1E-4</v>
      </c>
      <c r="B891" s="304">
        <f t="shared" ca="1" si="384"/>
        <v>35.816900000000757</v>
      </c>
      <c r="D891" s="306">
        <f t="shared" ca="1" si="385"/>
        <v>-0.42722789013707063</v>
      </c>
      <c r="E891" s="307">
        <f t="shared" ca="1" si="386"/>
        <v>-2.3727259312195796</v>
      </c>
      <c r="F891" s="304">
        <f t="shared" ca="1" si="387"/>
        <v>2.4108819993506101</v>
      </c>
      <c r="G891" s="306">
        <f t="shared" ca="1" si="388"/>
        <v>7.2242761873730466</v>
      </c>
      <c r="H891" s="307">
        <f t="shared" ca="1" si="389"/>
        <v>-125.76271892590925</v>
      </c>
      <c r="I891" s="304">
        <f t="shared" ca="1" si="390"/>
        <v>125.9700426215245</v>
      </c>
      <c r="J891" s="306">
        <f t="shared" ca="1" si="391"/>
        <v>468.65916031958193</v>
      </c>
      <c r="K891" s="307">
        <f t="shared" ca="1" si="392"/>
        <v>-8.90661342999657</v>
      </c>
      <c r="L891" s="304">
        <f t="shared" ca="1" si="377"/>
        <v>468.74378536066695</v>
      </c>
      <c r="M891" s="306">
        <f t="shared" ca="1" si="393"/>
        <v>-1.5134156835253825</v>
      </c>
      <c r="N891" s="304">
        <f t="shared" ca="1" si="394"/>
        <v>-86.712331314911083</v>
      </c>
      <c r="P891" s="310">
        <f t="shared" ca="1" si="395"/>
        <v>23</v>
      </c>
      <c r="Q891" s="304">
        <f t="shared" ca="1" si="396"/>
        <v>0</v>
      </c>
      <c r="R891" s="306">
        <f t="shared" ca="1" si="397"/>
        <v>0</v>
      </c>
      <c r="S891" s="307">
        <f t="shared" ca="1" si="398"/>
        <v>7.9789999999999939</v>
      </c>
      <c r="T891" s="304">
        <f t="shared" ca="1" si="378"/>
        <v>78.273989999999941</v>
      </c>
      <c r="U891" s="311">
        <f t="shared" ca="1" si="379"/>
        <v>0</v>
      </c>
      <c r="V891" s="306">
        <f t="shared" ca="1" si="380"/>
        <v>1.2260915462441968</v>
      </c>
      <c r="W891" s="304">
        <f t="shared" ca="1" si="381"/>
        <v>59.440134431908668</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2.3443194453648566</v>
      </c>
      <c r="AH891" s="304">
        <f t="shared" ca="1" si="405"/>
        <v>-7.449534834086263</v>
      </c>
    </row>
    <row r="892" spans="1:34" x14ac:dyDescent="0.2">
      <c r="A892" s="347">
        <f t="shared" ca="1" si="383"/>
        <v>1E-4</v>
      </c>
      <c r="B892" s="304">
        <f t="shared" ca="1" si="384"/>
        <v>35.81700000000076</v>
      </c>
      <c r="D892" s="306">
        <f t="shared" ca="1" si="385"/>
        <v>-0.42722669598457319</v>
      </c>
      <c r="E892" s="307">
        <f t="shared" ca="1" si="386"/>
        <v>-2.3726887052486623</v>
      </c>
      <c r="F892" s="304">
        <f t="shared" ca="1" si="387"/>
        <v>2.4108451509328566</v>
      </c>
      <c r="G892" s="306">
        <f t="shared" ca="1" si="388"/>
        <v>7.2242334647034481</v>
      </c>
      <c r="H892" s="307">
        <f t="shared" ca="1" si="389"/>
        <v>-125.76295619477978</v>
      </c>
      <c r="I892" s="304">
        <f t="shared" ca="1" si="390"/>
        <v>125.9702770497971</v>
      </c>
      <c r="J892" s="306">
        <f t="shared" ca="1" si="391"/>
        <v>468.65916031958193</v>
      </c>
      <c r="K892" s="307">
        <f t="shared" ca="1" si="392"/>
        <v>-8.9191897137526048</v>
      </c>
      <c r="L892" s="304">
        <f t="shared" ca="1" si="377"/>
        <v>468.7440244916254</v>
      </c>
      <c r="M892" s="306">
        <f t="shared" ca="1" si="393"/>
        <v>-1.5134161301349141</v>
      </c>
      <c r="N892" s="304">
        <f t="shared" ca="1" si="394"/>
        <v>-86.712356903752337</v>
      </c>
      <c r="P892" s="310">
        <f t="shared" ca="1" si="395"/>
        <v>23</v>
      </c>
      <c r="Q892" s="304">
        <f t="shared" ca="1" si="396"/>
        <v>0</v>
      </c>
      <c r="R892" s="306">
        <f t="shared" ca="1" si="397"/>
        <v>0</v>
      </c>
      <c r="S892" s="307">
        <f t="shared" ca="1" si="398"/>
        <v>7.9789999999999939</v>
      </c>
      <c r="T892" s="304">
        <f t="shared" ca="1" si="378"/>
        <v>78.273989999999941</v>
      </c>
      <c r="U892" s="311">
        <f t="shared" ca="1" si="379"/>
        <v>0</v>
      </c>
      <c r="V892" s="306">
        <f t="shared" ca="1" si="380"/>
        <v>1.2260930882129921</v>
      </c>
      <c r="W892" s="304">
        <f t="shared" ca="1" si="381"/>
        <v>59.440430420369204</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2.3442826004092829</v>
      </c>
      <c r="AH892" s="304">
        <f t="shared" ca="1" si="405"/>
        <v>-7.4495719303056411</v>
      </c>
    </row>
    <row r="893" spans="1:34" x14ac:dyDescent="0.2">
      <c r="A893" s="347">
        <f t="shared" ca="1" si="383"/>
        <v>1E-4</v>
      </c>
      <c r="B893" s="304">
        <f t="shared" ca="1" si="384"/>
        <v>35.817100000000764</v>
      </c>
      <c r="D893" s="306">
        <f t="shared" ca="1" si="385"/>
        <v>-0.42722550181457097</v>
      </c>
      <c r="E893" s="307">
        <f t="shared" ca="1" si="386"/>
        <v>-2.3726514795636815</v>
      </c>
      <c r="F893" s="304">
        <f t="shared" ca="1" si="387"/>
        <v>2.4108083028056044</v>
      </c>
      <c r="G893" s="306">
        <f t="shared" ca="1" si="388"/>
        <v>7.224190742153267</v>
      </c>
      <c r="H893" s="307">
        <f t="shared" ca="1" si="389"/>
        <v>-125.76319345992773</v>
      </c>
      <c r="I893" s="304">
        <f t="shared" ca="1" si="390"/>
        <v>125.97051147438523</v>
      </c>
      <c r="J893" s="306">
        <f t="shared" ca="1" si="391"/>
        <v>468.65916031958193</v>
      </c>
      <c r="K893" s="307">
        <f t="shared" ca="1" si="392"/>
        <v>-8.9317660212353402</v>
      </c>
      <c r="L893" s="304">
        <f t="shared" ca="1" si="377"/>
        <v>468.74426396033226</v>
      </c>
      <c r="M893" s="306">
        <f t="shared" ca="1" si="393"/>
        <v>-1.5134165767401422</v>
      </c>
      <c r="N893" s="304">
        <f t="shared" ca="1" si="394"/>
        <v>-86.712382492347018</v>
      </c>
      <c r="P893" s="310">
        <f t="shared" ca="1" si="395"/>
        <v>23</v>
      </c>
      <c r="Q893" s="304">
        <f t="shared" ca="1" si="396"/>
        <v>0</v>
      </c>
      <c r="R893" s="306">
        <f t="shared" ca="1" si="397"/>
        <v>0</v>
      </c>
      <c r="S893" s="307">
        <f t="shared" ca="1" si="398"/>
        <v>7.9789999999999939</v>
      </c>
      <c r="T893" s="304">
        <f t="shared" ca="1" si="378"/>
        <v>78.273989999999941</v>
      </c>
      <c r="U893" s="311">
        <f t="shared" ca="1" si="379"/>
        <v>0</v>
      </c>
      <c r="V893" s="306">
        <f t="shared" ca="1" si="380"/>
        <v>1.2260946301866369</v>
      </c>
      <c r="W893" s="304">
        <f t="shared" ca="1" si="381"/>
        <v>59.440726406555889</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2.3442457557343168</v>
      </c>
      <c r="AH893" s="304">
        <f t="shared" ca="1" si="405"/>
        <v>-7.4496090262400365</v>
      </c>
    </row>
    <row r="894" spans="1:34" x14ac:dyDescent="0.2">
      <c r="A894" s="347">
        <f t="shared" ca="1" si="383"/>
        <v>1E-4</v>
      </c>
      <c r="B894" s="304">
        <f t="shared" ca="1" si="384"/>
        <v>35.817200000000767</v>
      </c>
      <c r="D894" s="306">
        <f t="shared" ca="1" si="385"/>
        <v>-0.42722430762706648</v>
      </c>
      <c r="E894" s="307">
        <f t="shared" ca="1" si="386"/>
        <v>-2.372614254164632</v>
      </c>
      <c r="F894" s="304">
        <f t="shared" ca="1" si="387"/>
        <v>2.4107714549688484</v>
      </c>
      <c r="G894" s="306">
        <f t="shared" ca="1" si="388"/>
        <v>7.2241480197225041</v>
      </c>
      <c r="H894" s="307">
        <f t="shared" ca="1" si="389"/>
        <v>-125.76343072135315</v>
      </c>
      <c r="I894" s="304">
        <f t="shared" ca="1" si="390"/>
        <v>125.97074589528893</v>
      </c>
      <c r="J894" s="306">
        <f t="shared" ca="1" si="391"/>
        <v>468.65916031958193</v>
      </c>
      <c r="K894" s="307">
        <f t="shared" ca="1" si="392"/>
        <v>-8.944342352444405</v>
      </c>
      <c r="L894" s="304">
        <f t="shared" ca="1" si="377"/>
        <v>468.74450376678908</v>
      </c>
      <c r="M894" s="306">
        <f t="shared" ca="1" si="393"/>
        <v>-1.5134170233410669</v>
      </c>
      <c r="N894" s="304">
        <f t="shared" ca="1" si="394"/>
        <v>-86.712408080695127</v>
      </c>
      <c r="P894" s="310">
        <f t="shared" ca="1" si="395"/>
        <v>23</v>
      </c>
      <c r="Q894" s="304">
        <f t="shared" ca="1" si="396"/>
        <v>0</v>
      </c>
      <c r="R894" s="306">
        <f t="shared" ca="1" si="397"/>
        <v>0</v>
      </c>
      <c r="S894" s="307">
        <f t="shared" ca="1" si="398"/>
        <v>7.9789999999999939</v>
      </c>
      <c r="T894" s="304">
        <f t="shared" ca="1" si="378"/>
        <v>78.273989999999941</v>
      </c>
      <c r="U894" s="311">
        <f t="shared" ca="1" si="379"/>
        <v>0</v>
      </c>
      <c r="V894" s="306">
        <f t="shared" ca="1" si="380"/>
        <v>1.2260961721651304</v>
      </c>
      <c r="W894" s="304">
        <f t="shared" ca="1" si="381"/>
        <v>59.441022390468696</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2.3442089113399591</v>
      </c>
      <c r="AH894" s="304">
        <f t="shared" ca="1" si="405"/>
        <v>-7.4496461218894519</v>
      </c>
    </row>
    <row r="895" spans="1:34" x14ac:dyDescent="0.2">
      <c r="A895" s="347">
        <f t="shared" ca="1" si="383"/>
        <v>1E-4</v>
      </c>
      <c r="B895" s="304">
        <f t="shared" ca="1" si="384"/>
        <v>35.81730000000077</v>
      </c>
      <c r="D895" s="306">
        <f t="shared" ca="1" si="385"/>
        <v>-0.42722311342206054</v>
      </c>
      <c r="E895" s="307">
        <f t="shared" ca="1" si="386"/>
        <v>-2.3725770290515182</v>
      </c>
      <c r="F895" s="304">
        <f t="shared" ca="1" si="387"/>
        <v>2.4107346074225937</v>
      </c>
      <c r="G895" s="306">
        <f t="shared" ca="1" si="388"/>
        <v>7.2241052974111621</v>
      </c>
      <c r="H895" s="307">
        <f t="shared" ca="1" si="389"/>
        <v>-125.76366797905605</v>
      </c>
      <c r="I895" s="304">
        <f t="shared" ca="1" si="390"/>
        <v>125.97098031250822</v>
      </c>
      <c r="J895" s="306">
        <f t="shared" ca="1" si="391"/>
        <v>468.65916031958193</v>
      </c>
      <c r="K895" s="307">
        <f t="shared" ca="1" si="392"/>
        <v>-8.9569187073794261</v>
      </c>
      <c r="L895" s="304">
        <f t="shared" ca="1" si="377"/>
        <v>468.74474391099704</v>
      </c>
      <c r="M895" s="306">
        <f t="shared" ca="1" si="393"/>
        <v>-1.5134174699376883</v>
      </c>
      <c r="N895" s="304">
        <f t="shared" ca="1" si="394"/>
        <v>-86.712433668796692</v>
      </c>
      <c r="P895" s="310">
        <f t="shared" ca="1" si="395"/>
        <v>23</v>
      </c>
      <c r="Q895" s="304">
        <f t="shared" ca="1" si="396"/>
        <v>0</v>
      </c>
      <c r="R895" s="306">
        <f t="shared" ca="1" si="397"/>
        <v>0</v>
      </c>
      <c r="S895" s="307">
        <f t="shared" ca="1" si="398"/>
        <v>7.9789999999999939</v>
      </c>
      <c r="T895" s="304">
        <f t="shared" ca="1" si="378"/>
        <v>78.273989999999941</v>
      </c>
      <c r="U895" s="311">
        <f t="shared" ca="1" si="379"/>
        <v>0</v>
      </c>
      <c r="V895" s="306">
        <f t="shared" ca="1" si="380"/>
        <v>1.2260977141484737</v>
      </c>
      <c r="W895" s="304">
        <f t="shared" ca="1" si="381"/>
        <v>59.441318372107673</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2.344172067226209</v>
      </c>
      <c r="AH895" s="304">
        <f t="shared" ca="1" si="405"/>
        <v>-7.4496832172538845</v>
      </c>
    </row>
    <row r="896" spans="1:34" x14ac:dyDescent="0.2">
      <c r="A896" s="347">
        <f t="shared" ca="1" si="383"/>
        <v>1E-4</v>
      </c>
      <c r="B896" s="304">
        <f t="shared" ca="1" si="384"/>
        <v>35.817400000000774</v>
      </c>
      <c r="D896" s="306">
        <f t="shared" ca="1" si="385"/>
        <v>-0.42722191919955266</v>
      </c>
      <c r="E896" s="307">
        <f t="shared" ca="1" si="386"/>
        <v>-2.3725398042243349</v>
      </c>
      <c r="F896" s="304">
        <f t="shared" ca="1" si="387"/>
        <v>2.4106977601668351</v>
      </c>
      <c r="G896" s="306">
        <f t="shared" ca="1" si="388"/>
        <v>7.224062575219242</v>
      </c>
      <c r="H896" s="307">
        <f t="shared" ca="1" si="389"/>
        <v>-125.76390523303647</v>
      </c>
      <c r="I896" s="304">
        <f t="shared" ca="1" si="390"/>
        <v>125.97121472604312</v>
      </c>
      <c r="J896" s="306">
        <f t="shared" ca="1" si="391"/>
        <v>468.65916031958193</v>
      </c>
      <c r="K896" s="307">
        <f t="shared" ca="1" si="392"/>
        <v>-8.9694950860400304</v>
      </c>
      <c r="L896" s="304">
        <f t="shared" ca="1" si="377"/>
        <v>468.74498439295763</v>
      </c>
      <c r="M896" s="306">
        <f t="shared" ca="1" si="393"/>
        <v>-1.5134179165300066</v>
      </c>
      <c r="N896" s="304">
        <f t="shared" ca="1" si="394"/>
        <v>-86.712459256651684</v>
      </c>
      <c r="P896" s="310">
        <f t="shared" ca="1" si="395"/>
        <v>23</v>
      </c>
      <c r="Q896" s="304">
        <f t="shared" ca="1" si="396"/>
        <v>0</v>
      </c>
      <c r="R896" s="306">
        <f t="shared" ca="1" si="397"/>
        <v>0</v>
      </c>
      <c r="S896" s="307">
        <f t="shared" ca="1" si="398"/>
        <v>7.9789999999999939</v>
      </c>
      <c r="T896" s="304">
        <f t="shared" ca="1" si="378"/>
        <v>78.273989999999941</v>
      </c>
      <c r="U896" s="311">
        <f t="shared" ca="1" si="379"/>
        <v>0</v>
      </c>
      <c r="V896" s="306">
        <f t="shared" ca="1" si="380"/>
        <v>1.2260992561366657</v>
      </c>
      <c r="W896" s="304">
        <f t="shared" ca="1" si="381"/>
        <v>59.441614351472758</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2.3441352233930592</v>
      </c>
      <c r="AH896" s="304">
        <f t="shared" ca="1" si="405"/>
        <v>-7.4497203123333398</v>
      </c>
    </row>
    <row r="897" spans="1:34" x14ac:dyDescent="0.2">
      <c r="A897" s="347">
        <f t="shared" ca="1" si="383"/>
        <v>1E-4</v>
      </c>
      <c r="B897" s="304">
        <f t="shared" ca="1" si="384"/>
        <v>35.817500000000777</v>
      </c>
      <c r="D897" s="306">
        <f t="shared" ca="1" si="385"/>
        <v>-0.42722072495954316</v>
      </c>
      <c r="E897" s="307">
        <f t="shared" ca="1" si="386"/>
        <v>-2.372502579683089</v>
      </c>
      <c r="F897" s="304">
        <f t="shared" ca="1" si="387"/>
        <v>2.4106609132015788</v>
      </c>
      <c r="G897" s="306">
        <f t="shared" ca="1" si="388"/>
        <v>7.2240198531467463</v>
      </c>
      <c r="H897" s="307">
        <f t="shared" ca="1" si="389"/>
        <v>-125.76414248329444</v>
      </c>
      <c r="I897" s="304">
        <f t="shared" ca="1" si="390"/>
        <v>125.97144913589365</v>
      </c>
      <c r="J897" s="306">
        <f t="shared" ca="1" si="391"/>
        <v>468.65916031958193</v>
      </c>
      <c r="K897" s="307">
        <f t="shared" ca="1" si="392"/>
        <v>-8.9820714884258468</v>
      </c>
      <c r="L897" s="304">
        <f t="shared" ca="1" si="377"/>
        <v>468.74522521267221</v>
      </c>
      <c r="M897" s="306">
        <f t="shared" ca="1" si="393"/>
        <v>-1.5134183631180218</v>
      </c>
      <c r="N897" s="304">
        <f t="shared" ca="1" si="394"/>
        <v>-86.712484844260132</v>
      </c>
      <c r="P897" s="310">
        <f t="shared" ca="1" si="395"/>
        <v>23</v>
      </c>
      <c r="Q897" s="304">
        <f t="shared" ca="1" si="396"/>
        <v>0</v>
      </c>
      <c r="R897" s="306">
        <f t="shared" ca="1" si="397"/>
        <v>0</v>
      </c>
      <c r="S897" s="307">
        <f t="shared" ca="1" si="398"/>
        <v>7.9789999999999939</v>
      </c>
      <c r="T897" s="304">
        <f t="shared" ca="1" si="378"/>
        <v>78.273989999999941</v>
      </c>
      <c r="U897" s="311">
        <f t="shared" ca="1" si="379"/>
        <v>0</v>
      </c>
      <c r="V897" s="306">
        <f t="shared" ca="1" si="380"/>
        <v>1.226100798129707</v>
      </c>
      <c r="W897" s="304">
        <f t="shared" ca="1" si="381"/>
        <v>59.441910328563978</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2.3440983798405224</v>
      </c>
      <c r="AH897" s="304">
        <f t="shared" ca="1" si="405"/>
        <v>-7.4497574071278105</v>
      </c>
    </row>
    <row r="898" spans="1:34" x14ac:dyDescent="0.2">
      <c r="A898" s="347">
        <f t="shared" ca="1" si="383"/>
        <v>1E-4</v>
      </c>
      <c r="B898" s="304">
        <f t="shared" ca="1" si="384"/>
        <v>35.81760000000078</v>
      </c>
      <c r="D898" s="306">
        <f t="shared" ca="1" si="385"/>
        <v>-0.42721953070203167</v>
      </c>
      <c r="E898" s="307">
        <f t="shared" ca="1" si="386"/>
        <v>-2.3724653554277753</v>
      </c>
      <c r="F898" s="304">
        <f t="shared" ca="1" si="387"/>
        <v>2.4106240665268204</v>
      </c>
      <c r="G898" s="306">
        <f t="shared" ca="1" si="388"/>
        <v>7.223977131193676</v>
      </c>
      <c r="H898" s="307">
        <f t="shared" ca="1" si="389"/>
        <v>-125.76437972982998</v>
      </c>
      <c r="I898" s="304">
        <f t="shared" ca="1" si="390"/>
        <v>125.97168354205988</v>
      </c>
      <c r="J898" s="306">
        <f t="shared" ca="1" si="391"/>
        <v>468.65916031958193</v>
      </c>
      <c r="K898" s="307">
        <f t="shared" ca="1" si="392"/>
        <v>-8.9946479145365021</v>
      </c>
      <c r="L898" s="304">
        <f t="shared" ca="1" si="377"/>
        <v>468.74546637014214</v>
      </c>
      <c r="M898" s="306">
        <f t="shared" ca="1" si="393"/>
        <v>-1.5134188097017338</v>
      </c>
      <c r="N898" s="304">
        <f t="shared" ca="1" si="394"/>
        <v>-86.712510431622036</v>
      </c>
      <c r="P898" s="310">
        <f t="shared" ca="1" si="395"/>
        <v>23</v>
      </c>
      <c r="Q898" s="304">
        <f t="shared" ca="1" si="396"/>
        <v>0</v>
      </c>
      <c r="R898" s="306">
        <f t="shared" ca="1" si="397"/>
        <v>0</v>
      </c>
      <c r="S898" s="307">
        <f t="shared" ca="1" si="398"/>
        <v>7.9789999999999939</v>
      </c>
      <c r="T898" s="304">
        <f t="shared" ca="1" si="378"/>
        <v>78.273989999999941</v>
      </c>
      <c r="U898" s="311">
        <f t="shared" ca="1" si="379"/>
        <v>0</v>
      </c>
      <c r="V898" s="306">
        <f t="shared" ca="1" si="380"/>
        <v>1.2261023401275972</v>
      </c>
      <c r="W898" s="304">
        <f t="shared" ca="1" si="381"/>
        <v>59.442206303381333</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2.3440615365685904</v>
      </c>
      <c r="AH898" s="304">
        <f t="shared" ca="1" si="405"/>
        <v>-7.4497945016373013</v>
      </c>
    </row>
    <row r="899" spans="1:34" x14ac:dyDescent="0.2">
      <c r="A899" s="347">
        <f t="shared" ca="1" si="383"/>
        <v>1E-4</v>
      </c>
      <c r="B899" s="304">
        <f t="shared" ca="1" si="384"/>
        <v>35.817700000000784</v>
      </c>
      <c r="D899" s="306">
        <f t="shared" ca="1" si="385"/>
        <v>-0.42721833642702051</v>
      </c>
      <c r="E899" s="307">
        <f t="shared" ca="1" si="386"/>
        <v>-2.3724281314583964</v>
      </c>
      <c r="F899" s="304">
        <f t="shared" ca="1" si="387"/>
        <v>2.4105872201425629</v>
      </c>
      <c r="G899" s="306">
        <f t="shared" ca="1" si="388"/>
        <v>7.2239344093600337</v>
      </c>
      <c r="H899" s="307">
        <f t="shared" ca="1" si="389"/>
        <v>-125.76461697264313</v>
      </c>
      <c r="I899" s="304">
        <f t="shared" ca="1" si="390"/>
        <v>125.9719179445418</v>
      </c>
      <c r="J899" s="306">
        <f t="shared" ca="1" si="391"/>
        <v>468.65916031958193</v>
      </c>
      <c r="K899" s="307">
        <f t="shared" ca="1" si="392"/>
        <v>-9.0072243643716252</v>
      </c>
      <c r="L899" s="304">
        <f t="shared" ca="1" si="377"/>
        <v>468.74570786536884</v>
      </c>
      <c r="M899" s="306">
        <f t="shared" ca="1" si="393"/>
        <v>-1.513419256281143</v>
      </c>
      <c r="N899" s="304">
        <f t="shared" ca="1" si="394"/>
        <v>-86.712536018737396</v>
      </c>
      <c r="P899" s="310">
        <f t="shared" ca="1" si="395"/>
        <v>23</v>
      </c>
      <c r="Q899" s="304">
        <f t="shared" ca="1" si="396"/>
        <v>0</v>
      </c>
      <c r="R899" s="306">
        <f t="shared" ca="1" si="397"/>
        <v>0</v>
      </c>
      <c r="S899" s="307">
        <f t="shared" ca="1" si="398"/>
        <v>7.9789999999999939</v>
      </c>
      <c r="T899" s="304">
        <f t="shared" ca="1" si="378"/>
        <v>78.273989999999941</v>
      </c>
      <c r="U899" s="311">
        <f t="shared" ca="1" si="379"/>
        <v>0</v>
      </c>
      <c r="V899" s="306">
        <f t="shared" ca="1" si="380"/>
        <v>1.2261038821303363</v>
      </c>
      <c r="W899" s="304">
        <f t="shared" ca="1" si="381"/>
        <v>59.442502275924802</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2.3440246935772659</v>
      </c>
      <c r="AH899" s="304">
        <f t="shared" ca="1" si="405"/>
        <v>-7.4498315958618093</v>
      </c>
    </row>
    <row r="900" spans="1:34" x14ac:dyDescent="0.2">
      <c r="A900" s="347">
        <f t="shared" ca="1" si="383"/>
        <v>1E-4</v>
      </c>
      <c r="B900" s="304">
        <f t="shared" ca="1" si="384"/>
        <v>35.817800000000787</v>
      </c>
      <c r="D900" s="306">
        <f t="shared" ca="1" si="385"/>
        <v>-0.42721714213450712</v>
      </c>
      <c r="E900" s="307">
        <f t="shared" ca="1" si="386"/>
        <v>-2.3723909077749541</v>
      </c>
      <c r="F900" s="304">
        <f t="shared" ca="1" si="387"/>
        <v>2.4105503740488077</v>
      </c>
      <c r="G900" s="306">
        <f t="shared" ca="1" si="388"/>
        <v>7.2238916876458203</v>
      </c>
      <c r="H900" s="307">
        <f t="shared" ca="1" si="389"/>
        <v>-125.7648542117339</v>
      </c>
      <c r="I900" s="304">
        <f t="shared" ca="1" si="390"/>
        <v>125.97215234333945</v>
      </c>
      <c r="J900" s="306">
        <f t="shared" ca="1" si="391"/>
        <v>468.65916031958193</v>
      </c>
      <c r="K900" s="307">
        <f t="shared" ca="1" si="392"/>
        <v>-9.0198008379308448</v>
      </c>
      <c r="L900" s="304">
        <f t="shared" ref="L900:L963" ca="1" si="406">SQRT(pos_x^2+pos_z^2)</f>
        <v>468.74594969835368</v>
      </c>
      <c r="M900" s="306">
        <f t="shared" ca="1" si="393"/>
        <v>-1.5134197028562493</v>
      </c>
      <c r="N900" s="304">
        <f t="shared" ca="1" si="394"/>
        <v>-86.712561605606226</v>
      </c>
      <c r="P900" s="310">
        <f t="shared" ca="1" si="395"/>
        <v>23</v>
      </c>
      <c r="Q900" s="304">
        <f t="shared" ca="1" si="396"/>
        <v>0</v>
      </c>
      <c r="R900" s="306">
        <f t="shared" ca="1" si="397"/>
        <v>0</v>
      </c>
      <c r="S900" s="307">
        <f t="shared" ca="1" si="398"/>
        <v>7.9789999999999939</v>
      </c>
      <c r="T900" s="304">
        <f t="shared" ref="T900:T963" ca="1" si="407">m*g</f>
        <v>78.273989999999941</v>
      </c>
      <c r="U900" s="311">
        <f t="shared" ref="U900:U963" ca="1" si="408">IF(pos_xz&lt;L_rampe,Poids*COS(Beta),0)</f>
        <v>0</v>
      </c>
      <c r="V900" s="306">
        <f t="shared" ref="V900:V963" ca="1" si="409">Rho_moyen*(20000-Alt_rampe-pos_z)/(20000+Alt_rampe+pos_z)</f>
        <v>1.2261054241379248</v>
      </c>
      <c r="W900" s="304">
        <f t="shared" ref="W900:W963" ca="1" si="410">1/2*Rho*Sref*Cx*vit_xz^2</f>
        <v>59.442798246194393</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2.3439878508665526</v>
      </c>
      <c r="AH900" s="304">
        <f t="shared" ca="1" si="405"/>
        <v>-7.4498686898013347</v>
      </c>
    </row>
    <row r="901" spans="1:34" x14ac:dyDescent="0.2">
      <c r="A901" s="347">
        <f t="shared" ref="A901:A964" ca="1" si="412">IF(B900+0.01&lt;=T_ini+ROUNDUP(Temps_fin_propu,0), 0.01, IF(K900&gt;0, 0.1, 0.0001))</f>
        <v>1E-4</v>
      </c>
      <c r="B901" s="304">
        <f t="shared" ref="B901:B964" ca="1" si="413">B900+pas</f>
        <v>35.81790000000079</v>
      </c>
      <c r="D901" s="306">
        <f t="shared" ref="D901:D964" ca="1" si="414">IF(AND(L900&lt;L_rampe,Poussee&lt;Poids*SIN(M900)),0,(-W900+Poussee)/m*COS(M900)-U900/m*SIN(M900))</f>
        <v>-0.42721594782449412</v>
      </c>
      <c r="E901" s="307">
        <f t="shared" ref="E901:E964" ca="1" si="415">IF(AND(L900&lt;L_rampe,Poussee&lt;Poids*SIN(M900)),0,(-W900+Poussee)/m*SIN(M900)+U900/m*COS(M900)-Poids/m)</f>
        <v>-2.3723536843774475</v>
      </c>
      <c r="F901" s="304">
        <f t="shared" ref="F901:F964" ca="1" si="416">SQRT(acc_x^2+acc_z^2)</f>
        <v>2.4105135282455543</v>
      </c>
      <c r="G901" s="306">
        <f t="shared" ref="G901:G964" ca="1" si="417">G900+acc_x*pas</f>
        <v>7.2238489660510377</v>
      </c>
      <c r="H901" s="307">
        <f t="shared" ref="H901:H964" ca="1" si="418">H900+acc_z*pas</f>
        <v>-125.76509144710234</v>
      </c>
      <c r="I901" s="304">
        <f t="shared" ref="I901:I964" ca="1" si="419">SQRT(vit_x^2+vit_z^2)</f>
        <v>125.97238673845284</v>
      </c>
      <c r="J901" s="306">
        <f t="shared" ref="J901:J964" ca="1" si="420">J900+0.5*(vit_x+G900)*pas*(K900&gt;=0)</f>
        <v>468.65916031958193</v>
      </c>
      <c r="K901" s="307">
        <f t="shared" ref="K901:K964" ca="1" si="421">K900+0.5*(vit_z+H900)*pas</f>
        <v>-9.0323773352137859</v>
      </c>
      <c r="L901" s="304">
        <f t="shared" ca="1" si="406"/>
        <v>468.74619186909803</v>
      </c>
      <c r="M901" s="306">
        <f t="shared" ref="M901:M964" ca="1" si="422">IF(AND(L900&gt;L_rampe,G901&gt;0),ATAN2(G901,H901),$M$4)</f>
        <v>-1.5134201494270525</v>
      </c>
      <c r="N901" s="304">
        <f t="shared" ref="N901:N964" ca="1" si="423">DEGREES(Beta)</f>
        <v>-86.712587192228497</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7.9789999999999939</v>
      </c>
      <c r="T901" s="304">
        <f t="shared" ca="1" si="407"/>
        <v>78.273989999999941</v>
      </c>
      <c r="U901" s="311">
        <f t="shared" ca="1" si="408"/>
        <v>0</v>
      </c>
      <c r="V901" s="306">
        <f t="shared" ca="1" si="409"/>
        <v>1.2261069661503623</v>
      </c>
      <c r="W901" s="304">
        <f t="shared" ca="1" si="410"/>
        <v>59.443094214190111</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2.3439510084364494</v>
      </c>
      <c r="AH901" s="304">
        <f t="shared" ref="AH901:AH964" ca="1" si="434">IF(AND(L900&lt;L_rampe,Poussee&lt;Poids*SIN(M900)), g*SIN(M900), (-W900+Poussee)/m)</f>
        <v>-7.4499057834558764</v>
      </c>
    </row>
    <row r="902" spans="1:34" x14ac:dyDescent="0.2">
      <c r="A902" s="347">
        <f t="shared" ca="1" si="412"/>
        <v>1E-4</v>
      </c>
      <c r="B902" s="304">
        <f t="shared" ca="1" si="413"/>
        <v>35.818000000000794</v>
      </c>
      <c r="D902" s="306">
        <f t="shared" ca="1" si="414"/>
        <v>-0.4272147534969824</v>
      </c>
      <c r="E902" s="307">
        <f t="shared" ca="1" si="415"/>
        <v>-2.3723164612658758</v>
      </c>
      <c r="F902" s="304">
        <f t="shared" ca="1" si="416"/>
        <v>2.4104766827328024</v>
      </c>
      <c r="G902" s="306">
        <f t="shared" ca="1" si="417"/>
        <v>7.2238062445756883</v>
      </c>
      <c r="H902" s="307">
        <f t="shared" ca="1" si="418"/>
        <v>-125.76532867874846</v>
      </c>
      <c r="I902" s="304">
        <f t="shared" ca="1" si="419"/>
        <v>125.97262112988203</v>
      </c>
      <c r="J902" s="306">
        <f t="shared" ca="1" si="420"/>
        <v>468.65916031958193</v>
      </c>
      <c r="K902" s="307">
        <f t="shared" ca="1" si="421"/>
        <v>-9.0449538562200793</v>
      </c>
      <c r="L902" s="304">
        <f t="shared" ca="1" si="406"/>
        <v>468.74643437760329</v>
      </c>
      <c r="M902" s="306">
        <f t="shared" ca="1" si="422"/>
        <v>-1.5134205959935529</v>
      </c>
      <c r="N902" s="304">
        <f t="shared" ca="1" si="423"/>
        <v>-86.712612778604253</v>
      </c>
      <c r="P902" s="310">
        <f t="shared" ca="1" si="424"/>
        <v>23</v>
      </c>
      <c r="Q902" s="304">
        <f t="shared" ca="1" si="425"/>
        <v>0</v>
      </c>
      <c r="R902" s="306">
        <f t="shared" ca="1" si="426"/>
        <v>0</v>
      </c>
      <c r="S902" s="307">
        <f t="shared" ca="1" si="427"/>
        <v>7.9789999999999939</v>
      </c>
      <c r="T902" s="304">
        <f t="shared" ca="1" si="407"/>
        <v>78.273989999999941</v>
      </c>
      <c r="U902" s="311">
        <f t="shared" ca="1" si="408"/>
        <v>0</v>
      </c>
      <c r="V902" s="306">
        <f t="shared" ca="1" si="409"/>
        <v>1.2261085081676484</v>
      </c>
      <c r="W902" s="304">
        <f t="shared" ca="1" si="410"/>
        <v>59.443390179911923</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2.3439141662869512</v>
      </c>
      <c r="AH902" s="304">
        <f t="shared" ca="1" si="434"/>
        <v>-7.4499428768254363</v>
      </c>
    </row>
    <row r="903" spans="1:34" x14ac:dyDescent="0.2">
      <c r="A903" s="347">
        <f t="shared" ca="1" si="412"/>
        <v>1E-4</v>
      </c>
      <c r="B903" s="304">
        <f t="shared" ca="1" si="413"/>
        <v>35.818100000000797</v>
      </c>
      <c r="D903" s="306">
        <f t="shared" ca="1" si="414"/>
        <v>-0.4272135591519709</v>
      </c>
      <c r="E903" s="307">
        <f t="shared" ca="1" si="415"/>
        <v>-2.3722792384402434</v>
      </c>
      <c r="F903" s="304">
        <f t="shared" ca="1" si="416"/>
        <v>2.4104398375105558</v>
      </c>
      <c r="G903" s="306">
        <f t="shared" ca="1" si="417"/>
        <v>7.2237635232197732</v>
      </c>
      <c r="H903" s="307">
        <f t="shared" ca="1" si="418"/>
        <v>-125.76556590667231</v>
      </c>
      <c r="I903" s="304">
        <f t="shared" ca="1" si="419"/>
        <v>125.97285551762704</v>
      </c>
      <c r="J903" s="306">
        <f t="shared" ca="1" si="420"/>
        <v>468.65916031958193</v>
      </c>
      <c r="K903" s="307">
        <f t="shared" ca="1" si="421"/>
        <v>-9.05753040094935</v>
      </c>
      <c r="L903" s="304">
        <f t="shared" ca="1" si="406"/>
        <v>468.74667722387079</v>
      </c>
      <c r="M903" s="306">
        <f t="shared" ca="1" si="422"/>
        <v>-1.5134210425557506</v>
      </c>
      <c r="N903" s="304">
        <f t="shared" ca="1" si="423"/>
        <v>-86.712638364733465</v>
      </c>
      <c r="P903" s="310">
        <f t="shared" ca="1" si="424"/>
        <v>23</v>
      </c>
      <c r="Q903" s="304">
        <f t="shared" ca="1" si="425"/>
        <v>0</v>
      </c>
      <c r="R903" s="306">
        <f t="shared" ca="1" si="426"/>
        <v>0</v>
      </c>
      <c r="S903" s="307">
        <f t="shared" ca="1" si="427"/>
        <v>7.9789999999999939</v>
      </c>
      <c r="T903" s="304">
        <f t="shared" ca="1" si="407"/>
        <v>78.273989999999941</v>
      </c>
      <c r="U903" s="311">
        <f t="shared" ca="1" si="408"/>
        <v>0</v>
      </c>
      <c r="V903" s="306">
        <f t="shared" ca="1" si="409"/>
        <v>1.2261100501897837</v>
      </c>
      <c r="W903" s="304">
        <f t="shared" ca="1" si="410"/>
        <v>59.443686143359869</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2.3438773244180675</v>
      </c>
      <c r="AH903" s="304">
        <f t="shared" ca="1" si="434"/>
        <v>-7.44997996991001</v>
      </c>
    </row>
    <row r="904" spans="1:34" x14ac:dyDescent="0.2">
      <c r="A904" s="347">
        <f t="shared" ca="1" si="412"/>
        <v>1E-4</v>
      </c>
      <c r="B904" s="304">
        <f t="shared" ca="1" si="413"/>
        <v>35.8182000000008</v>
      </c>
      <c r="D904" s="306">
        <f t="shared" ca="1" si="414"/>
        <v>-0.42721236478946079</v>
      </c>
      <c r="E904" s="307">
        <f t="shared" ca="1" si="415"/>
        <v>-2.372242015900544</v>
      </c>
      <c r="F904" s="304">
        <f t="shared" ca="1" si="416"/>
        <v>2.4104029925788093</v>
      </c>
      <c r="G904" s="306">
        <f t="shared" ca="1" si="417"/>
        <v>7.2237208019832941</v>
      </c>
      <c r="H904" s="307">
        <f t="shared" ca="1" si="418"/>
        <v>-125.76580313087389</v>
      </c>
      <c r="I904" s="304">
        <f t="shared" ca="1" si="419"/>
        <v>125.97308990168787</v>
      </c>
      <c r="J904" s="306">
        <f t="shared" ca="1" si="420"/>
        <v>468.65916031958193</v>
      </c>
      <c r="K904" s="307">
        <f t="shared" ca="1" si="421"/>
        <v>-9.0701069694012268</v>
      </c>
      <c r="L904" s="304">
        <f t="shared" ca="1" si="406"/>
        <v>468.74692040790194</v>
      </c>
      <c r="M904" s="306">
        <f t="shared" ca="1" si="422"/>
        <v>-1.5134214891136455</v>
      </c>
      <c r="N904" s="304">
        <f t="shared" ca="1" si="423"/>
        <v>-86.712663950616147</v>
      </c>
      <c r="P904" s="310">
        <f t="shared" ca="1" si="424"/>
        <v>23</v>
      </c>
      <c r="Q904" s="304">
        <f t="shared" ca="1" si="425"/>
        <v>0</v>
      </c>
      <c r="R904" s="306">
        <f t="shared" ca="1" si="426"/>
        <v>0</v>
      </c>
      <c r="S904" s="307">
        <f t="shared" ca="1" si="427"/>
        <v>7.9789999999999939</v>
      </c>
      <c r="T904" s="304">
        <f t="shared" ca="1" si="407"/>
        <v>78.273989999999941</v>
      </c>
      <c r="U904" s="311">
        <f t="shared" ca="1" si="408"/>
        <v>0</v>
      </c>
      <c r="V904" s="306">
        <f t="shared" ca="1" si="409"/>
        <v>1.2261115922167674</v>
      </c>
      <c r="W904" s="304">
        <f t="shared" ca="1" si="410"/>
        <v>59.44398210453388</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2.3438404828297923</v>
      </c>
      <c r="AH904" s="304">
        <f t="shared" ca="1" si="434"/>
        <v>-7.4500170627096018</v>
      </c>
    </row>
    <row r="905" spans="1:34" x14ac:dyDescent="0.2">
      <c r="A905" s="347">
        <f t="shared" ca="1" si="412"/>
        <v>1E-4</v>
      </c>
      <c r="B905" s="304">
        <f t="shared" ca="1" si="413"/>
        <v>35.818300000000804</v>
      </c>
      <c r="D905" s="306">
        <f t="shared" ca="1" si="414"/>
        <v>-0.42721117040945239</v>
      </c>
      <c r="E905" s="307">
        <f t="shared" ca="1" si="415"/>
        <v>-2.3722047936467892</v>
      </c>
      <c r="F905" s="304">
        <f t="shared" ca="1" si="416"/>
        <v>2.410366147937574</v>
      </c>
      <c r="G905" s="306">
        <f t="shared" ca="1" si="417"/>
        <v>7.2236780808662528</v>
      </c>
      <c r="H905" s="307">
        <f t="shared" ca="1" si="418"/>
        <v>-125.76604035135325</v>
      </c>
      <c r="I905" s="304">
        <f t="shared" ca="1" si="419"/>
        <v>125.97332428206458</v>
      </c>
      <c r="J905" s="306">
        <f t="shared" ca="1" si="420"/>
        <v>468.65916031958193</v>
      </c>
      <c r="K905" s="307">
        <f t="shared" ca="1" si="421"/>
        <v>-9.0826835615753385</v>
      </c>
      <c r="L905" s="304">
        <f t="shared" ca="1" si="406"/>
        <v>468.74716392969816</v>
      </c>
      <c r="M905" s="306">
        <f t="shared" ca="1" si="422"/>
        <v>-1.513421935667238</v>
      </c>
      <c r="N905" s="304">
        <f t="shared" ca="1" si="423"/>
        <v>-86.712689536252327</v>
      </c>
      <c r="P905" s="310">
        <f t="shared" ca="1" si="424"/>
        <v>23</v>
      </c>
      <c r="Q905" s="304">
        <f t="shared" ca="1" si="425"/>
        <v>0</v>
      </c>
      <c r="R905" s="306">
        <f t="shared" ca="1" si="426"/>
        <v>0</v>
      </c>
      <c r="S905" s="307">
        <f t="shared" ca="1" si="427"/>
        <v>7.9789999999999939</v>
      </c>
      <c r="T905" s="304">
        <f t="shared" ca="1" si="407"/>
        <v>78.273989999999941</v>
      </c>
      <c r="U905" s="311">
        <f t="shared" ca="1" si="408"/>
        <v>0</v>
      </c>
      <c r="V905" s="306">
        <f t="shared" ca="1" si="409"/>
        <v>1.2261131342486005</v>
      </c>
      <c r="W905" s="304">
        <f t="shared" ca="1" si="410"/>
        <v>59.44427806343402</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2.3438036415221317</v>
      </c>
      <c r="AH905" s="304">
        <f t="shared" ca="1" si="434"/>
        <v>-7.4500541552242039</v>
      </c>
    </row>
    <row r="906" spans="1:34" x14ac:dyDescent="0.2">
      <c r="A906" s="347">
        <f t="shared" ca="1" si="412"/>
        <v>1E-4</v>
      </c>
      <c r="B906" s="304">
        <f t="shared" ca="1" si="413"/>
        <v>35.818400000000807</v>
      </c>
      <c r="D906" s="306">
        <f t="shared" ca="1" si="414"/>
        <v>-0.42720997601194383</v>
      </c>
      <c r="E906" s="307">
        <f t="shared" ca="1" si="415"/>
        <v>-2.3721675716789674</v>
      </c>
      <c r="F906" s="304">
        <f t="shared" ca="1" si="416"/>
        <v>2.4103293035868387</v>
      </c>
      <c r="G906" s="306">
        <f t="shared" ca="1" si="417"/>
        <v>7.223635359868652</v>
      </c>
      <c r="H906" s="307">
        <f t="shared" ca="1" si="418"/>
        <v>-125.76627756811043</v>
      </c>
      <c r="I906" s="304">
        <f t="shared" ca="1" si="419"/>
        <v>125.9735586587572</v>
      </c>
      <c r="J906" s="306">
        <f t="shared" ca="1" si="420"/>
        <v>468.65916031958193</v>
      </c>
      <c r="K906" s="307">
        <f t="shared" ca="1" si="421"/>
        <v>-9.095260177471312</v>
      </c>
      <c r="L906" s="304">
        <f t="shared" ca="1" si="406"/>
        <v>468.74740778926071</v>
      </c>
      <c r="M906" s="306">
        <f t="shared" ca="1" si="422"/>
        <v>-1.5134223822165278</v>
      </c>
      <c r="N906" s="304">
        <f t="shared" ca="1" si="423"/>
        <v>-86.712715121641978</v>
      </c>
      <c r="P906" s="310">
        <f t="shared" ca="1" si="424"/>
        <v>23</v>
      </c>
      <c r="Q906" s="304">
        <f t="shared" ca="1" si="425"/>
        <v>0</v>
      </c>
      <c r="R906" s="306">
        <f t="shared" ca="1" si="426"/>
        <v>0</v>
      </c>
      <c r="S906" s="307">
        <f t="shared" ca="1" si="427"/>
        <v>7.9789999999999939</v>
      </c>
      <c r="T906" s="304">
        <f t="shared" ca="1" si="407"/>
        <v>78.273989999999941</v>
      </c>
      <c r="U906" s="311">
        <f t="shared" ca="1" si="408"/>
        <v>0</v>
      </c>
      <c r="V906" s="306">
        <f t="shared" ca="1" si="409"/>
        <v>1.2261146762852817</v>
      </c>
      <c r="W906" s="304">
        <f t="shared" ca="1" si="410"/>
        <v>59.444574020060251</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2.3437668004950813</v>
      </c>
      <c r="AH906" s="304">
        <f t="shared" ca="1" si="434"/>
        <v>-7.4500912474538241</v>
      </c>
    </row>
    <row r="907" spans="1:34" x14ac:dyDescent="0.2">
      <c r="A907" s="347">
        <f t="shared" ca="1" si="412"/>
        <v>1E-4</v>
      </c>
      <c r="B907" s="304">
        <f t="shared" ca="1" si="413"/>
        <v>35.81850000000081</v>
      </c>
      <c r="D907" s="306">
        <f t="shared" ca="1" si="414"/>
        <v>-0.42720878159693892</v>
      </c>
      <c r="E907" s="307">
        <f t="shared" ca="1" si="415"/>
        <v>-2.3721303499970849</v>
      </c>
      <c r="F907" s="304">
        <f t="shared" ca="1" si="416"/>
        <v>2.4102924595266098</v>
      </c>
      <c r="G907" s="306">
        <f t="shared" ca="1" si="417"/>
        <v>7.2235926389904925</v>
      </c>
      <c r="H907" s="307">
        <f t="shared" ca="1" si="418"/>
        <v>-125.76651478114543</v>
      </c>
      <c r="I907" s="304">
        <f t="shared" ca="1" si="419"/>
        <v>125.97379303176574</v>
      </c>
      <c r="J907" s="306">
        <f t="shared" ca="1" si="420"/>
        <v>468.65916031958193</v>
      </c>
      <c r="K907" s="307">
        <f t="shared" ca="1" si="421"/>
        <v>-9.1078368170887742</v>
      </c>
      <c r="L907" s="304">
        <f t="shared" ca="1" si="406"/>
        <v>468.74765198659111</v>
      </c>
      <c r="M907" s="306">
        <f t="shared" ca="1" si="422"/>
        <v>-1.513422828761515</v>
      </c>
      <c r="N907" s="304">
        <f t="shared" ca="1" si="423"/>
        <v>-86.712740706785112</v>
      </c>
      <c r="P907" s="310">
        <f t="shared" ca="1" si="424"/>
        <v>23</v>
      </c>
      <c r="Q907" s="304">
        <f t="shared" ca="1" si="425"/>
        <v>0</v>
      </c>
      <c r="R907" s="306">
        <f t="shared" ca="1" si="426"/>
        <v>0</v>
      </c>
      <c r="S907" s="307">
        <f t="shared" ca="1" si="427"/>
        <v>7.9789999999999939</v>
      </c>
      <c r="T907" s="304">
        <f t="shared" ca="1" si="407"/>
        <v>78.273989999999941</v>
      </c>
      <c r="U907" s="311">
        <f t="shared" ca="1" si="408"/>
        <v>0</v>
      </c>
      <c r="V907" s="306">
        <f t="shared" ca="1" si="409"/>
        <v>1.2261162183268122</v>
      </c>
      <c r="W907" s="304">
        <f t="shared" ca="1" si="410"/>
        <v>59.444869974412597</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2.3437299597486438</v>
      </c>
      <c r="AH907" s="304">
        <f t="shared" ca="1" si="434"/>
        <v>-7.4501283393984581</v>
      </c>
    </row>
    <row r="908" spans="1:34" x14ac:dyDescent="0.2">
      <c r="A908" s="347">
        <f t="shared" ca="1" si="412"/>
        <v>1E-4</v>
      </c>
      <c r="B908" s="304">
        <f t="shared" ca="1" si="413"/>
        <v>35.818600000000814</v>
      </c>
      <c r="D908" s="306">
        <f t="shared" ca="1" si="414"/>
        <v>-0.42720758716443702</v>
      </c>
      <c r="E908" s="307">
        <f t="shared" ca="1" si="415"/>
        <v>-2.3720931286011409</v>
      </c>
      <c r="F908" s="304">
        <f t="shared" ca="1" si="416"/>
        <v>2.4102556157568866</v>
      </c>
      <c r="G908" s="306">
        <f t="shared" ca="1" si="417"/>
        <v>7.2235499182317762</v>
      </c>
      <c r="H908" s="307">
        <f t="shared" ca="1" si="418"/>
        <v>-125.76675199045829</v>
      </c>
      <c r="I908" s="304">
        <f t="shared" ca="1" si="419"/>
        <v>125.97402740109023</v>
      </c>
      <c r="J908" s="306">
        <f t="shared" ca="1" si="420"/>
        <v>468.65916031958193</v>
      </c>
      <c r="K908" s="307">
        <f t="shared" ca="1" si="421"/>
        <v>-9.120413480427354</v>
      </c>
      <c r="L908" s="304">
        <f t="shared" ca="1" si="406"/>
        <v>468.74789652169056</v>
      </c>
      <c r="M908" s="306">
        <f t="shared" ca="1" si="422"/>
        <v>-1.5134232753021999</v>
      </c>
      <c r="N908" s="304">
        <f t="shared" ca="1" si="423"/>
        <v>-86.712766291681731</v>
      </c>
      <c r="P908" s="310">
        <f t="shared" ca="1" si="424"/>
        <v>23</v>
      </c>
      <c r="Q908" s="304">
        <f t="shared" ca="1" si="425"/>
        <v>0</v>
      </c>
      <c r="R908" s="306">
        <f t="shared" ca="1" si="426"/>
        <v>0</v>
      </c>
      <c r="S908" s="307">
        <f t="shared" ca="1" si="427"/>
        <v>7.9789999999999939</v>
      </c>
      <c r="T908" s="304">
        <f t="shared" ca="1" si="407"/>
        <v>78.273989999999941</v>
      </c>
      <c r="U908" s="311">
        <f t="shared" ca="1" si="408"/>
        <v>0</v>
      </c>
      <c r="V908" s="306">
        <f t="shared" ca="1" si="409"/>
        <v>1.2261177603731912</v>
      </c>
      <c r="W908" s="304">
        <f t="shared" ca="1" si="410"/>
        <v>59.445165926491008</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2.3436931192828157</v>
      </c>
      <c r="AH908" s="304">
        <f t="shared" ca="1" si="434"/>
        <v>-7.4501654310581076</v>
      </c>
    </row>
    <row r="909" spans="1:34" x14ac:dyDescent="0.2">
      <c r="A909" s="347">
        <f t="shared" ca="1" si="412"/>
        <v>1E-4</v>
      </c>
      <c r="B909" s="304">
        <f t="shared" ca="1" si="413"/>
        <v>35.818700000000817</v>
      </c>
      <c r="D909" s="306">
        <f t="shared" ca="1" si="414"/>
        <v>-0.427206392714437</v>
      </c>
      <c r="E909" s="307">
        <f t="shared" ca="1" si="415"/>
        <v>-2.3720559074911378</v>
      </c>
      <c r="F909" s="304">
        <f t="shared" ca="1" si="416"/>
        <v>2.4102187722776716</v>
      </c>
      <c r="G909" s="306">
        <f t="shared" ca="1" si="417"/>
        <v>7.2235071975925047</v>
      </c>
      <c r="H909" s="307">
        <f t="shared" ca="1" si="418"/>
        <v>-125.76698919604904</v>
      </c>
      <c r="I909" s="304">
        <f t="shared" ca="1" si="419"/>
        <v>125.97426176673069</v>
      </c>
      <c r="J909" s="306">
        <f t="shared" ca="1" si="420"/>
        <v>468.65916031958193</v>
      </c>
      <c r="K909" s="307">
        <f t="shared" ca="1" si="421"/>
        <v>-9.13299016748668</v>
      </c>
      <c r="L909" s="304">
        <f t="shared" ca="1" si="406"/>
        <v>468.74814139456066</v>
      </c>
      <c r="M909" s="306">
        <f t="shared" ca="1" si="422"/>
        <v>-1.5134237218385824</v>
      </c>
      <c r="N909" s="304">
        <f t="shared" ca="1" si="423"/>
        <v>-86.712791876331849</v>
      </c>
      <c r="P909" s="310">
        <f t="shared" ca="1" si="424"/>
        <v>23</v>
      </c>
      <c r="Q909" s="304">
        <f t="shared" ca="1" si="425"/>
        <v>0</v>
      </c>
      <c r="R909" s="306">
        <f t="shared" ca="1" si="426"/>
        <v>0</v>
      </c>
      <c r="S909" s="307">
        <f t="shared" ca="1" si="427"/>
        <v>7.9789999999999939</v>
      </c>
      <c r="T909" s="304">
        <f t="shared" ca="1" si="407"/>
        <v>78.273989999999941</v>
      </c>
      <c r="U909" s="311">
        <f t="shared" ca="1" si="408"/>
        <v>0</v>
      </c>
      <c r="V909" s="306">
        <f t="shared" ca="1" si="409"/>
        <v>1.2261193024244192</v>
      </c>
      <c r="W909" s="304">
        <f t="shared" ca="1" si="410"/>
        <v>59.445461876295539</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2.3436562790976057</v>
      </c>
      <c r="AH909" s="304">
        <f t="shared" ca="1" si="434"/>
        <v>-7.4502025224327673</v>
      </c>
    </row>
    <row r="910" spans="1:34" x14ac:dyDescent="0.2">
      <c r="A910" s="347">
        <f t="shared" ca="1" si="412"/>
        <v>1E-4</v>
      </c>
      <c r="B910" s="304">
        <f t="shared" ca="1" si="413"/>
        <v>35.81880000000082</v>
      </c>
      <c r="D910" s="306">
        <f t="shared" ca="1" si="414"/>
        <v>-0.42720519824694014</v>
      </c>
      <c r="E910" s="307">
        <f t="shared" ca="1" si="415"/>
        <v>-2.3720186866670705</v>
      </c>
      <c r="F910" s="304">
        <f t="shared" ca="1" si="416"/>
        <v>2.4101819290889601</v>
      </c>
      <c r="G910" s="306">
        <f t="shared" ca="1" si="417"/>
        <v>7.2234644770726799</v>
      </c>
      <c r="H910" s="307">
        <f t="shared" ca="1" si="418"/>
        <v>-125.76722639791771</v>
      </c>
      <c r="I910" s="304">
        <f t="shared" ca="1" si="419"/>
        <v>125.97449612868718</v>
      </c>
      <c r="J910" s="306">
        <f t="shared" ca="1" si="420"/>
        <v>468.65916031958193</v>
      </c>
      <c r="K910" s="307">
        <f t="shared" ca="1" si="421"/>
        <v>-9.1455668782663775</v>
      </c>
      <c r="L910" s="304">
        <f t="shared" ca="1" si="406"/>
        <v>468.74838660520254</v>
      </c>
      <c r="M910" s="306">
        <f t="shared" ca="1" si="422"/>
        <v>-1.5134241683706624</v>
      </c>
      <c r="N910" s="304">
        <f t="shared" ca="1" si="423"/>
        <v>-86.712817460735451</v>
      </c>
      <c r="P910" s="310">
        <f t="shared" ca="1" si="424"/>
        <v>23</v>
      </c>
      <c r="Q910" s="304">
        <f t="shared" ca="1" si="425"/>
        <v>0</v>
      </c>
      <c r="R910" s="306">
        <f t="shared" ca="1" si="426"/>
        <v>0</v>
      </c>
      <c r="S910" s="307">
        <f t="shared" ca="1" si="427"/>
        <v>7.9789999999999939</v>
      </c>
      <c r="T910" s="304">
        <f t="shared" ca="1" si="407"/>
        <v>78.273989999999941</v>
      </c>
      <c r="U910" s="311">
        <f t="shared" ca="1" si="408"/>
        <v>0</v>
      </c>
      <c r="V910" s="306">
        <f t="shared" ca="1" si="409"/>
        <v>1.2261208444804954</v>
      </c>
      <c r="W910" s="304">
        <f t="shared" ca="1" si="410"/>
        <v>59.445757823826121</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2.343619439193005</v>
      </c>
      <c r="AH910" s="304">
        <f t="shared" ca="1" si="434"/>
        <v>-7.4502396135224442</v>
      </c>
    </row>
    <row r="911" spans="1:34" x14ac:dyDescent="0.2">
      <c r="A911" s="347">
        <f t="shared" ca="1" si="412"/>
        <v>1E-4</v>
      </c>
      <c r="B911" s="304">
        <f t="shared" ca="1" si="413"/>
        <v>35.818900000000824</v>
      </c>
      <c r="D911" s="306">
        <f t="shared" ca="1" si="414"/>
        <v>-0.4272040037619485</v>
      </c>
      <c r="E911" s="307">
        <f t="shared" ca="1" si="415"/>
        <v>-2.3719814661289478</v>
      </c>
      <c r="F911" s="304">
        <f t="shared" ca="1" si="416"/>
        <v>2.4101450861907612</v>
      </c>
      <c r="G911" s="306">
        <f t="shared" ca="1" si="417"/>
        <v>7.2234217566723036</v>
      </c>
      <c r="H911" s="307">
        <f t="shared" ca="1" si="418"/>
        <v>-125.76746359606432</v>
      </c>
      <c r="I911" s="304">
        <f t="shared" ca="1" si="419"/>
        <v>125.97473048695969</v>
      </c>
      <c r="J911" s="306">
        <f t="shared" ca="1" si="420"/>
        <v>468.65916031958193</v>
      </c>
      <c r="K911" s="307">
        <f t="shared" ca="1" si="421"/>
        <v>-9.1581436127660769</v>
      </c>
      <c r="L911" s="304">
        <f t="shared" ca="1" si="406"/>
        <v>468.74863215361773</v>
      </c>
      <c r="M911" s="306">
        <f t="shared" ca="1" si="422"/>
        <v>-1.5134246148984405</v>
      </c>
      <c r="N911" s="304">
        <f t="shared" ca="1" si="423"/>
        <v>-86.712843044892566</v>
      </c>
      <c r="P911" s="310">
        <f t="shared" ca="1" si="424"/>
        <v>23</v>
      </c>
      <c r="Q911" s="304">
        <f t="shared" ca="1" si="425"/>
        <v>0</v>
      </c>
      <c r="R911" s="306">
        <f t="shared" ca="1" si="426"/>
        <v>0</v>
      </c>
      <c r="S911" s="307">
        <f t="shared" ca="1" si="427"/>
        <v>7.9789999999999939</v>
      </c>
      <c r="T911" s="304">
        <f t="shared" ca="1" si="407"/>
        <v>78.273989999999941</v>
      </c>
      <c r="U911" s="311">
        <f t="shared" ca="1" si="408"/>
        <v>0</v>
      </c>
      <c r="V911" s="306">
        <f t="shared" ca="1" si="409"/>
        <v>1.2261223865414208</v>
      </c>
      <c r="W911" s="304">
        <f t="shared" ca="1" si="410"/>
        <v>59.446053769082802</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2.3435825995690225</v>
      </c>
      <c r="AH911" s="304">
        <f t="shared" ca="1" si="434"/>
        <v>-7.4502767043271296</v>
      </c>
    </row>
    <row r="912" spans="1:34" x14ac:dyDescent="0.2">
      <c r="A912" s="347">
        <f t="shared" ca="1" si="412"/>
        <v>1E-4</v>
      </c>
      <c r="B912" s="304">
        <f t="shared" ca="1" si="413"/>
        <v>35.819000000000827</v>
      </c>
      <c r="D912" s="306">
        <f t="shared" ca="1" si="414"/>
        <v>-0.42720280925945825</v>
      </c>
      <c r="E912" s="307">
        <f t="shared" ca="1" si="415"/>
        <v>-2.3719442458767643</v>
      </c>
      <c r="F912" s="304">
        <f t="shared" ca="1" si="416"/>
        <v>2.410108243583069</v>
      </c>
      <c r="G912" s="306">
        <f t="shared" ca="1" si="417"/>
        <v>7.2233790363913775</v>
      </c>
      <c r="H912" s="307">
        <f t="shared" ca="1" si="418"/>
        <v>-125.7677007904889</v>
      </c>
      <c r="I912" s="304">
        <f t="shared" ca="1" si="419"/>
        <v>125.97496484154827</v>
      </c>
      <c r="J912" s="306">
        <f t="shared" ca="1" si="420"/>
        <v>468.65916031958193</v>
      </c>
      <c r="K912" s="307">
        <f t="shared" ca="1" si="421"/>
        <v>-9.1707203709854053</v>
      </c>
      <c r="L912" s="304">
        <f t="shared" ca="1" si="406"/>
        <v>468.74887803980761</v>
      </c>
      <c r="M912" s="306">
        <f t="shared" ca="1" si="422"/>
        <v>-1.513425061421916</v>
      </c>
      <c r="N912" s="304">
        <f t="shared" ca="1" si="423"/>
        <v>-86.712868628803179</v>
      </c>
      <c r="P912" s="310">
        <f t="shared" ca="1" si="424"/>
        <v>23</v>
      </c>
      <c r="Q912" s="304">
        <f t="shared" ca="1" si="425"/>
        <v>0</v>
      </c>
      <c r="R912" s="306">
        <f t="shared" ca="1" si="426"/>
        <v>0</v>
      </c>
      <c r="S912" s="307">
        <f t="shared" ca="1" si="427"/>
        <v>7.9789999999999939</v>
      </c>
      <c r="T912" s="304">
        <f t="shared" ca="1" si="407"/>
        <v>78.273989999999941</v>
      </c>
      <c r="U912" s="311">
        <f t="shared" ca="1" si="408"/>
        <v>0</v>
      </c>
      <c r="V912" s="306">
        <f t="shared" ca="1" si="409"/>
        <v>1.2261239286071943</v>
      </c>
      <c r="W912" s="304">
        <f t="shared" ca="1" si="410"/>
        <v>59.446349712065555</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2.3435457602256546</v>
      </c>
      <c r="AH912" s="304">
        <f t="shared" ca="1" si="434"/>
        <v>-7.4503137948468288</v>
      </c>
    </row>
    <row r="913" spans="1:34" x14ac:dyDescent="0.2">
      <c r="A913" s="347">
        <f t="shared" ca="1" si="412"/>
        <v>1E-4</v>
      </c>
      <c r="B913" s="304">
        <f t="shared" ca="1" si="413"/>
        <v>35.81910000000083</v>
      </c>
      <c r="D913" s="306">
        <f t="shared" ca="1" si="414"/>
        <v>-0.42720161473947499</v>
      </c>
      <c r="E913" s="307">
        <f t="shared" ca="1" si="415"/>
        <v>-2.3719070259105228</v>
      </c>
      <c r="F913" s="304">
        <f t="shared" ca="1" si="416"/>
        <v>2.410071401265887</v>
      </c>
      <c r="G913" s="306">
        <f t="shared" ca="1" si="417"/>
        <v>7.2233363162299034</v>
      </c>
      <c r="H913" s="307">
        <f t="shared" ca="1" si="418"/>
        <v>-125.76793798119149</v>
      </c>
      <c r="I913" s="304">
        <f t="shared" ca="1" si="419"/>
        <v>125.97519919245295</v>
      </c>
      <c r="J913" s="306">
        <f t="shared" ca="1" si="420"/>
        <v>468.65916031958193</v>
      </c>
      <c r="K913" s="307">
        <f t="shared" ca="1" si="421"/>
        <v>-9.1832971529239895</v>
      </c>
      <c r="L913" s="304">
        <f t="shared" ca="1" si="406"/>
        <v>468.74912426377341</v>
      </c>
      <c r="M913" s="306">
        <f t="shared" ca="1" si="422"/>
        <v>-1.5134255079410897</v>
      </c>
      <c r="N913" s="304">
        <f t="shared" ca="1" si="423"/>
        <v>-86.71289421246729</v>
      </c>
      <c r="P913" s="310">
        <f t="shared" ca="1" si="424"/>
        <v>23</v>
      </c>
      <c r="Q913" s="304">
        <f t="shared" ca="1" si="425"/>
        <v>0</v>
      </c>
      <c r="R913" s="306">
        <f t="shared" ca="1" si="426"/>
        <v>0</v>
      </c>
      <c r="S913" s="307">
        <f t="shared" ca="1" si="427"/>
        <v>7.9789999999999939</v>
      </c>
      <c r="T913" s="304">
        <f t="shared" ca="1" si="407"/>
        <v>78.273989999999941</v>
      </c>
      <c r="U913" s="311">
        <f t="shared" ca="1" si="408"/>
        <v>0</v>
      </c>
      <c r="V913" s="306">
        <f t="shared" ca="1" si="409"/>
        <v>1.2261254706778171</v>
      </c>
      <c r="W913" s="304">
        <f t="shared" ca="1" si="410"/>
        <v>59.446645652774407</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2.3435089211629023</v>
      </c>
      <c r="AH913" s="304">
        <f t="shared" ca="1" si="434"/>
        <v>-7.450350885081539</v>
      </c>
    </row>
    <row r="914" spans="1:34" x14ac:dyDescent="0.2">
      <c r="A914" s="347">
        <f t="shared" ca="1" si="412"/>
        <v>1E-4</v>
      </c>
      <c r="B914" s="304">
        <f t="shared" ca="1" si="413"/>
        <v>35.819200000000833</v>
      </c>
      <c r="D914" s="306">
        <f t="shared" ca="1" si="414"/>
        <v>-0.42720042020199495</v>
      </c>
      <c r="E914" s="307">
        <f t="shared" ca="1" si="415"/>
        <v>-2.3718698062302188</v>
      </c>
      <c r="F914" s="304">
        <f t="shared" ca="1" si="416"/>
        <v>2.4100345592392105</v>
      </c>
      <c r="G914" s="306">
        <f t="shared" ca="1" si="417"/>
        <v>7.223293596187883</v>
      </c>
      <c r="H914" s="307">
        <f t="shared" ca="1" si="418"/>
        <v>-125.76817516817212</v>
      </c>
      <c r="I914" s="304">
        <f t="shared" ca="1" si="419"/>
        <v>125.97543353967374</v>
      </c>
      <c r="J914" s="306">
        <f t="shared" ca="1" si="420"/>
        <v>468.65916031958193</v>
      </c>
      <c r="K914" s="307">
        <f t="shared" ca="1" si="421"/>
        <v>-9.1958739585814584</v>
      </c>
      <c r="L914" s="304">
        <f t="shared" ca="1" si="406"/>
        <v>468.74937082551662</v>
      </c>
      <c r="M914" s="306">
        <f t="shared" ca="1" si="422"/>
        <v>-1.5134259544559612</v>
      </c>
      <c r="N914" s="304">
        <f t="shared" ca="1" si="423"/>
        <v>-86.712919795884915</v>
      </c>
      <c r="P914" s="310">
        <f t="shared" ca="1" si="424"/>
        <v>23</v>
      </c>
      <c r="Q914" s="304">
        <f t="shared" ca="1" si="425"/>
        <v>0</v>
      </c>
      <c r="R914" s="306">
        <f t="shared" ca="1" si="426"/>
        <v>0</v>
      </c>
      <c r="S914" s="307">
        <f t="shared" ca="1" si="427"/>
        <v>7.9789999999999939</v>
      </c>
      <c r="T914" s="304">
        <f t="shared" ca="1" si="407"/>
        <v>78.273989999999941</v>
      </c>
      <c r="U914" s="311">
        <f t="shared" ca="1" si="408"/>
        <v>0</v>
      </c>
      <c r="V914" s="306">
        <f t="shared" ca="1" si="409"/>
        <v>1.2261270127532879</v>
      </c>
      <c r="W914" s="304">
        <f t="shared" ca="1" si="410"/>
        <v>59.446941591209303</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2.343472082380762</v>
      </c>
      <c r="AH914" s="304">
        <f t="shared" ca="1" si="434"/>
        <v>-7.4503879750312638</v>
      </c>
    </row>
    <row r="915" spans="1:34" x14ac:dyDescent="0.2">
      <c r="A915" s="347">
        <f t="shared" ca="1" si="412"/>
        <v>1E-4</v>
      </c>
      <c r="B915" s="304">
        <f t="shared" ca="1" si="413"/>
        <v>35.819300000000837</v>
      </c>
      <c r="D915" s="306">
        <f t="shared" ca="1" si="414"/>
        <v>-0.42719922564702006</v>
      </c>
      <c r="E915" s="307">
        <f t="shared" ca="1" si="415"/>
        <v>-2.3718325868358603</v>
      </c>
      <c r="F915" s="304">
        <f t="shared" ca="1" si="416"/>
        <v>2.4099977175030483</v>
      </c>
      <c r="G915" s="306">
        <f t="shared" ca="1" si="417"/>
        <v>7.2232508762653183</v>
      </c>
      <c r="H915" s="307">
        <f t="shared" ca="1" si="418"/>
        <v>-125.76841235143081</v>
      </c>
      <c r="I915" s="304">
        <f t="shared" ca="1" si="419"/>
        <v>125.97566788321069</v>
      </c>
      <c r="J915" s="306">
        <f t="shared" ca="1" si="420"/>
        <v>468.65916031958193</v>
      </c>
      <c r="K915" s="307">
        <f t="shared" ca="1" si="421"/>
        <v>-9.2084507879574389</v>
      </c>
      <c r="L915" s="304">
        <f t="shared" ca="1" si="406"/>
        <v>468.7496177250386</v>
      </c>
      <c r="M915" s="306">
        <f t="shared" ca="1" si="422"/>
        <v>-1.5134264009665306</v>
      </c>
      <c r="N915" s="304">
        <f t="shared" ca="1" si="423"/>
        <v>-86.712945379056052</v>
      </c>
      <c r="P915" s="310">
        <f t="shared" ca="1" si="424"/>
        <v>23</v>
      </c>
      <c r="Q915" s="304">
        <f t="shared" ca="1" si="425"/>
        <v>0</v>
      </c>
      <c r="R915" s="306">
        <f t="shared" ca="1" si="426"/>
        <v>0</v>
      </c>
      <c r="S915" s="307">
        <f t="shared" ca="1" si="427"/>
        <v>7.9789999999999939</v>
      </c>
      <c r="T915" s="304">
        <f t="shared" ca="1" si="407"/>
        <v>78.273989999999941</v>
      </c>
      <c r="U915" s="311">
        <f t="shared" ca="1" si="408"/>
        <v>0</v>
      </c>
      <c r="V915" s="306">
        <f t="shared" ca="1" si="409"/>
        <v>1.2261285548336074</v>
      </c>
      <c r="W915" s="304">
        <f t="shared" ca="1" si="410"/>
        <v>59.447237527370284</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2.3434352438792434</v>
      </c>
      <c r="AH915" s="304">
        <f t="shared" ca="1" si="434"/>
        <v>-7.4504250646959953</v>
      </c>
    </row>
    <row r="916" spans="1:34" x14ac:dyDescent="0.2">
      <c r="A916" s="347">
        <f t="shared" ca="1" si="412"/>
        <v>1E-4</v>
      </c>
      <c r="B916" s="304">
        <f t="shared" ca="1" si="413"/>
        <v>35.81940000000084</v>
      </c>
      <c r="D916" s="306">
        <f t="shared" ca="1" si="414"/>
        <v>-0.42719803107455162</v>
      </c>
      <c r="E916" s="307">
        <f t="shared" ca="1" si="415"/>
        <v>-2.3717953677274428</v>
      </c>
      <c r="F916" s="304">
        <f t="shared" ca="1" si="416"/>
        <v>2.4099608760573954</v>
      </c>
      <c r="G916" s="306">
        <f t="shared" ca="1" si="417"/>
        <v>7.2232081564622108</v>
      </c>
      <c r="H916" s="307">
        <f t="shared" ca="1" si="418"/>
        <v>-125.76864953096758</v>
      </c>
      <c r="I916" s="304">
        <f t="shared" ca="1" si="419"/>
        <v>125.97590222306381</v>
      </c>
      <c r="J916" s="306">
        <f t="shared" ca="1" si="420"/>
        <v>468.65916031958193</v>
      </c>
      <c r="K916" s="307">
        <f t="shared" ca="1" si="421"/>
        <v>-9.2210276410515579</v>
      </c>
      <c r="L916" s="304">
        <f t="shared" ca="1" si="406"/>
        <v>468.74986496234067</v>
      </c>
      <c r="M916" s="306">
        <f t="shared" ca="1" si="422"/>
        <v>-1.5134268474727981</v>
      </c>
      <c r="N916" s="304">
        <f t="shared" ca="1" si="423"/>
        <v>-86.712970961980716</v>
      </c>
      <c r="P916" s="310">
        <f t="shared" ca="1" si="424"/>
        <v>23</v>
      </c>
      <c r="Q916" s="304">
        <f t="shared" ca="1" si="425"/>
        <v>0</v>
      </c>
      <c r="R916" s="306">
        <f t="shared" ca="1" si="426"/>
        <v>0</v>
      </c>
      <c r="S916" s="307">
        <f t="shared" ca="1" si="427"/>
        <v>7.9789999999999939</v>
      </c>
      <c r="T916" s="304">
        <f t="shared" ca="1" si="407"/>
        <v>78.273989999999941</v>
      </c>
      <c r="U916" s="311">
        <f t="shared" ca="1" si="408"/>
        <v>0</v>
      </c>
      <c r="V916" s="306">
        <f t="shared" ca="1" si="409"/>
        <v>1.2261300969187752</v>
      </c>
      <c r="W916" s="304">
        <f t="shared" ca="1" si="410"/>
        <v>59.447533461257315</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2.3433984056583403</v>
      </c>
      <c r="AH916" s="304">
        <f t="shared" ca="1" si="434"/>
        <v>-7.4504621540757396</v>
      </c>
    </row>
    <row r="917" spans="1:34" x14ac:dyDescent="0.2">
      <c r="A917" s="347">
        <f t="shared" ca="1" si="412"/>
        <v>1E-4</v>
      </c>
      <c r="B917" s="304">
        <f t="shared" ca="1" si="413"/>
        <v>35.819500000000843</v>
      </c>
      <c r="D917" s="306">
        <f t="shared" ca="1" si="414"/>
        <v>-0.42719683648458856</v>
      </c>
      <c r="E917" s="307">
        <f t="shared" ca="1" si="415"/>
        <v>-2.3717581489049691</v>
      </c>
      <c r="F917" s="304">
        <f t="shared" ca="1" si="416"/>
        <v>2.409924034902255</v>
      </c>
      <c r="G917" s="306">
        <f t="shared" ca="1" si="417"/>
        <v>7.2231654367785625</v>
      </c>
      <c r="H917" s="307">
        <f t="shared" ca="1" si="418"/>
        <v>-125.76888670678247</v>
      </c>
      <c r="I917" s="304">
        <f t="shared" ca="1" si="419"/>
        <v>125.97613655923314</v>
      </c>
      <c r="J917" s="306">
        <f t="shared" ca="1" si="420"/>
        <v>468.65916031958193</v>
      </c>
      <c r="K917" s="307">
        <f t="shared" ca="1" si="421"/>
        <v>-9.233604517863446</v>
      </c>
      <c r="L917" s="304">
        <f t="shared" ca="1" si="406"/>
        <v>468.75011253742429</v>
      </c>
      <c r="M917" s="306">
        <f t="shared" ca="1" si="422"/>
        <v>-1.5134272939747639</v>
      </c>
      <c r="N917" s="304">
        <f t="shared" ca="1" si="423"/>
        <v>-86.712996544658893</v>
      </c>
      <c r="P917" s="310">
        <f t="shared" ca="1" si="424"/>
        <v>23</v>
      </c>
      <c r="Q917" s="304">
        <f t="shared" ca="1" si="425"/>
        <v>0</v>
      </c>
      <c r="R917" s="306">
        <f t="shared" ca="1" si="426"/>
        <v>0</v>
      </c>
      <c r="S917" s="307">
        <f t="shared" ca="1" si="427"/>
        <v>7.9789999999999939</v>
      </c>
      <c r="T917" s="304">
        <f t="shared" ca="1" si="407"/>
        <v>78.273989999999941</v>
      </c>
      <c r="U917" s="311">
        <f t="shared" ca="1" si="408"/>
        <v>0</v>
      </c>
      <c r="V917" s="306">
        <f t="shared" ca="1" si="409"/>
        <v>1.2261316390087915</v>
      </c>
      <c r="W917" s="304">
        <f t="shared" ca="1" si="410"/>
        <v>59.447829392870418</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2.3433615677180555</v>
      </c>
      <c r="AH917" s="304">
        <f t="shared" ca="1" si="434"/>
        <v>-7.4504992431704924</v>
      </c>
    </row>
    <row r="918" spans="1:34" x14ac:dyDescent="0.2">
      <c r="A918" s="347">
        <f t="shared" ca="1" si="412"/>
        <v>1E-4</v>
      </c>
      <c r="B918" s="304">
        <f t="shared" ca="1" si="413"/>
        <v>35.819600000000847</v>
      </c>
      <c r="D918" s="306">
        <f t="shared" ca="1" si="414"/>
        <v>-0.42719564187713027</v>
      </c>
      <c r="E918" s="307">
        <f t="shared" ca="1" si="415"/>
        <v>-2.3717209303684372</v>
      </c>
      <c r="F918" s="304">
        <f t="shared" ca="1" si="416"/>
        <v>2.4098871940376254</v>
      </c>
      <c r="G918" s="306">
        <f t="shared" ca="1" si="417"/>
        <v>7.223122717214375</v>
      </c>
      <c r="H918" s="307">
        <f t="shared" ca="1" si="418"/>
        <v>-125.7691238788755</v>
      </c>
      <c r="I918" s="304">
        <f t="shared" ca="1" si="419"/>
        <v>125.9763708917187</v>
      </c>
      <c r="J918" s="306">
        <f t="shared" ca="1" si="420"/>
        <v>468.65916031958193</v>
      </c>
      <c r="K918" s="307">
        <f t="shared" ca="1" si="421"/>
        <v>-9.2461814183927284</v>
      </c>
      <c r="L918" s="304">
        <f t="shared" ca="1" si="406"/>
        <v>468.75036045029066</v>
      </c>
      <c r="M918" s="306">
        <f t="shared" ca="1" si="422"/>
        <v>-1.5134277404724277</v>
      </c>
      <c r="N918" s="304">
        <f t="shared" ca="1" si="423"/>
        <v>-86.713022127090596</v>
      </c>
      <c r="P918" s="310">
        <f t="shared" ca="1" si="424"/>
        <v>23</v>
      </c>
      <c r="Q918" s="304">
        <f t="shared" ca="1" si="425"/>
        <v>0</v>
      </c>
      <c r="R918" s="306">
        <f t="shared" ca="1" si="426"/>
        <v>0</v>
      </c>
      <c r="S918" s="307">
        <f t="shared" ca="1" si="427"/>
        <v>7.9789999999999939</v>
      </c>
      <c r="T918" s="304">
        <f t="shared" ca="1" si="407"/>
        <v>78.273989999999941</v>
      </c>
      <c r="U918" s="311">
        <f t="shared" ca="1" si="408"/>
        <v>0</v>
      </c>
      <c r="V918" s="306">
        <f t="shared" ca="1" si="409"/>
        <v>1.2261331811036564</v>
      </c>
      <c r="W918" s="304">
        <f t="shared" ca="1" si="410"/>
        <v>59.44812532220957</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2.3433247300583862</v>
      </c>
      <c r="AH918" s="304">
        <f t="shared" ca="1" si="434"/>
        <v>-7.4505363319802562</v>
      </c>
    </row>
    <row r="919" spans="1:34" x14ac:dyDescent="0.2">
      <c r="A919" s="347">
        <f t="shared" ca="1" si="412"/>
        <v>1E-4</v>
      </c>
      <c r="B919" s="304">
        <f t="shared" ca="1" si="413"/>
        <v>35.81970000000085</v>
      </c>
      <c r="D919" s="306">
        <f t="shared" ca="1" si="414"/>
        <v>-0.42719444725218064</v>
      </c>
      <c r="E919" s="307">
        <f t="shared" ca="1" si="415"/>
        <v>-2.37168371211785</v>
      </c>
      <c r="F919" s="304">
        <f t="shared" ca="1" si="416"/>
        <v>2.4098503534635092</v>
      </c>
      <c r="G919" s="306">
        <f t="shared" ca="1" si="417"/>
        <v>7.2230799977696503</v>
      </c>
      <c r="H919" s="307">
        <f t="shared" ca="1" si="418"/>
        <v>-125.76936104724672</v>
      </c>
      <c r="I919" s="304">
        <f t="shared" ca="1" si="419"/>
        <v>125.97660522052053</v>
      </c>
      <c r="J919" s="306">
        <f t="shared" ca="1" si="420"/>
        <v>468.65916031958193</v>
      </c>
      <c r="K919" s="307">
        <f t="shared" ca="1" si="421"/>
        <v>-9.2587583426390339</v>
      </c>
      <c r="L919" s="304">
        <f t="shared" ca="1" si="406"/>
        <v>468.75060870094131</v>
      </c>
      <c r="M919" s="306">
        <f t="shared" ca="1" si="422"/>
        <v>-1.5134281869657897</v>
      </c>
      <c r="N919" s="304">
        <f t="shared" ca="1" si="423"/>
        <v>-86.713047709275813</v>
      </c>
      <c r="P919" s="310">
        <f t="shared" ca="1" si="424"/>
        <v>23</v>
      </c>
      <c r="Q919" s="304">
        <f t="shared" ca="1" si="425"/>
        <v>0</v>
      </c>
      <c r="R919" s="306">
        <f t="shared" ca="1" si="426"/>
        <v>0</v>
      </c>
      <c r="S919" s="307">
        <f t="shared" ca="1" si="427"/>
        <v>7.9789999999999939</v>
      </c>
      <c r="T919" s="304">
        <f t="shared" ca="1" si="407"/>
        <v>78.273989999999941</v>
      </c>
      <c r="U919" s="311">
        <f t="shared" ca="1" si="408"/>
        <v>0</v>
      </c>
      <c r="V919" s="306">
        <f t="shared" ca="1" si="409"/>
        <v>1.2261347232033697</v>
      </c>
      <c r="W919" s="304">
        <f t="shared" ca="1" si="410"/>
        <v>59.44842124927478</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2.3432878926793377</v>
      </c>
      <c r="AH919" s="304">
        <f t="shared" ca="1" si="434"/>
        <v>-7.4505734205050276</v>
      </c>
    </row>
    <row r="920" spans="1:34" x14ac:dyDescent="0.2">
      <c r="A920" s="347">
        <f t="shared" ca="1" si="412"/>
        <v>1E-4</v>
      </c>
      <c r="B920" s="304">
        <f t="shared" ca="1" si="413"/>
        <v>35.819800000000853</v>
      </c>
      <c r="D920" s="306">
        <f t="shared" ca="1" si="414"/>
        <v>-0.42719325260973739</v>
      </c>
      <c r="E920" s="307">
        <f t="shared" ca="1" si="415"/>
        <v>-2.3716464941532074</v>
      </c>
      <c r="F920" s="304">
        <f t="shared" ca="1" si="416"/>
        <v>2.4098135131799072</v>
      </c>
      <c r="G920" s="306">
        <f t="shared" ca="1" si="417"/>
        <v>7.223037278444389</v>
      </c>
      <c r="H920" s="307">
        <f t="shared" ca="1" si="418"/>
        <v>-125.76959821189614</v>
      </c>
      <c r="I920" s="304">
        <f t="shared" ca="1" si="419"/>
        <v>125.97683954563864</v>
      </c>
      <c r="J920" s="306">
        <f t="shared" ca="1" si="420"/>
        <v>468.65916031958193</v>
      </c>
      <c r="K920" s="307">
        <f t="shared" ca="1" si="421"/>
        <v>-9.271335290601991</v>
      </c>
      <c r="L920" s="304">
        <f t="shared" ca="1" si="406"/>
        <v>468.75085728937751</v>
      </c>
      <c r="M920" s="306">
        <f t="shared" ca="1" si="422"/>
        <v>-1.5134286334548501</v>
      </c>
      <c r="N920" s="304">
        <f t="shared" ca="1" si="423"/>
        <v>-86.713073291214585</v>
      </c>
      <c r="P920" s="310">
        <f t="shared" ca="1" si="424"/>
        <v>23</v>
      </c>
      <c r="Q920" s="304">
        <f t="shared" ca="1" si="425"/>
        <v>0</v>
      </c>
      <c r="R920" s="306">
        <f t="shared" ca="1" si="426"/>
        <v>0</v>
      </c>
      <c r="S920" s="307">
        <f t="shared" ca="1" si="427"/>
        <v>7.9789999999999939</v>
      </c>
      <c r="T920" s="304">
        <f t="shared" ca="1" si="407"/>
        <v>78.273989999999941</v>
      </c>
      <c r="U920" s="311">
        <f t="shared" ca="1" si="408"/>
        <v>0</v>
      </c>
      <c r="V920" s="306">
        <f t="shared" ca="1" si="409"/>
        <v>1.2261362653079313</v>
      </c>
      <c r="W920" s="304">
        <f t="shared" ca="1" si="410"/>
        <v>59.448717174066047</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2.3432510555809083</v>
      </c>
      <c r="AH920" s="304">
        <f t="shared" ca="1" si="434"/>
        <v>-7.4506105087448082</v>
      </c>
    </row>
    <row r="921" spans="1:34" x14ac:dyDescent="0.2">
      <c r="A921" s="347">
        <f t="shared" ca="1" si="412"/>
        <v>1E-4</v>
      </c>
      <c r="B921" s="304">
        <f t="shared" ca="1" si="413"/>
        <v>35.819900000000857</v>
      </c>
      <c r="D921" s="306">
        <f t="shared" ca="1" si="414"/>
        <v>-0.42719205794980136</v>
      </c>
      <c r="E921" s="307">
        <f t="shared" ca="1" si="415"/>
        <v>-2.3716092764745067</v>
      </c>
      <c r="F921" s="304">
        <f t="shared" ca="1" si="416"/>
        <v>2.409776673186816</v>
      </c>
      <c r="G921" s="306">
        <f t="shared" ca="1" si="417"/>
        <v>7.222994559238594</v>
      </c>
      <c r="H921" s="307">
        <f t="shared" ca="1" si="418"/>
        <v>-125.76983537282379</v>
      </c>
      <c r="I921" s="304">
        <f t="shared" ca="1" si="419"/>
        <v>125.97707386707309</v>
      </c>
      <c r="J921" s="306">
        <f t="shared" ca="1" si="420"/>
        <v>468.65916031958193</v>
      </c>
      <c r="K921" s="307">
        <f t="shared" ca="1" si="421"/>
        <v>-9.2839122622812269</v>
      </c>
      <c r="L921" s="304">
        <f t="shared" ca="1" si="406"/>
        <v>468.75110621560066</v>
      </c>
      <c r="M921" s="306">
        <f t="shared" ca="1" si="422"/>
        <v>-1.5134290799396088</v>
      </c>
      <c r="N921" s="304">
        <f t="shared" ca="1" si="423"/>
        <v>-86.713098872906869</v>
      </c>
      <c r="P921" s="310">
        <f t="shared" ca="1" si="424"/>
        <v>23</v>
      </c>
      <c r="Q921" s="304">
        <f t="shared" ca="1" si="425"/>
        <v>0</v>
      </c>
      <c r="R921" s="306">
        <f t="shared" ca="1" si="426"/>
        <v>0</v>
      </c>
      <c r="S921" s="307">
        <f t="shared" ca="1" si="427"/>
        <v>7.9789999999999939</v>
      </c>
      <c r="T921" s="304">
        <f t="shared" ca="1" si="407"/>
        <v>78.273989999999941</v>
      </c>
      <c r="U921" s="311">
        <f t="shared" ca="1" si="408"/>
        <v>0</v>
      </c>
      <c r="V921" s="306">
        <f t="shared" ca="1" si="409"/>
        <v>1.2261378074173415</v>
      </c>
      <c r="W921" s="304">
        <f t="shared" ca="1" si="410"/>
        <v>59.449013096583386</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2.343214218763098</v>
      </c>
      <c r="AH921" s="304">
        <f t="shared" ca="1" si="434"/>
        <v>-7.4506475966995982</v>
      </c>
    </row>
    <row r="922" spans="1:34" x14ac:dyDescent="0.2">
      <c r="A922" s="347">
        <f t="shared" ca="1" si="412"/>
        <v>1E-4</v>
      </c>
      <c r="B922" s="304">
        <f t="shared" ca="1" si="413"/>
        <v>35.82000000000086</v>
      </c>
      <c r="D922" s="306">
        <f t="shared" ca="1" si="414"/>
        <v>-0.42719086327237349</v>
      </c>
      <c r="E922" s="307">
        <f t="shared" ca="1" si="415"/>
        <v>-2.3715720590817506</v>
      </c>
      <c r="F922" s="304">
        <f t="shared" ca="1" si="416"/>
        <v>2.4097398334842395</v>
      </c>
      <c r="G922" s="306">
        <f t="shared" ca="1" si="417"/>
        <v>7.222951840152267</v>
      </c>
      <c r="H922" s="307">
        <f t="shared" ca="1" si="418"/>
        <v>-125.77007253002969</v>
      </c>
      <c r="I922" s="304">
        <f t="shared" ca="1" si="419"/>
        <v>125.97730818482387</v>
      </c>
      <c r="J922" s="306">
        <f t="shared" ca="1" si="420"/>
        <v>468.65916031958193</v>
      </c>
      <c r="K922" s="307">
        <f t="shared" ca="1" si="421"/>
        <v>-9.2964892576763702</v>
      </c>
      <c r="L922" s="304">
        <f t="shared" ca="1" si="406"/>
        <v>468.75135547961213</v>
      </c>
      <c r="M922" s="306">
        <f t="shared" ca="1" si="422"/>
        <v>-1.5134295264200661</v>
      </c>
      <c r="N922" s="304">
        <f t="shared" ca="1" si="423"/>
        <v>-86.713124454352709</v>
      </c>
      <c r="P922" s="310">
        <f t="shared" ca="1" si="424"/>
        <v>23</v>
      </c>
      <c r="Q922" s="304">
        <f t="shared" ca="1" si="425"/>
        <v>0</v>
      </c>
      <c r="R922" s="306">
        <f t="shared" ca="1" si="426"/>
        <v>0</v>
      </c>
      <c r="S922" s="307">
        <f t="shared" ca="1" si="427"/>
        <v>7.9789999999999939</v>
      </c>
      <c r="T922" s="304">
        <f t="shared" ca="1" si="407"/>
        <v>78.273989999999941</v>
      </c>
      <c r="U922" s="311">
        <f t="shared" ca="1" si="408"/>
        <v>0</v>
      </c>
      <c r="V922" s="306">
        <f t="shared" ca="1" si="409"/>
        <v>1.2261393495315993</v>
      </c>
      <c r="W922" s="304">
        <f t="shared" ca="1" si="410"/>
        <v>59.449309016826732</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2.3431773822259023</v>
      </c>
      <c r="AH922" s="304">
        <f t="shared" ca="1" si="434"/>
        <v>-7.4506846843693983</v>
      </c>
    </row>
    <row r="923" spans="1:34" x14ac:dyDescent="0.2">
      <c r="A923" s="347">
        <f t="shared" ca="1" si="412"/>
        <v>1E-4</v>
      </c>
      <c r="B923" s="304">
        <f t="shared" ca="1" si="413"/>
        <v>35.820100000000863</v>
      </c>
      <c r="D923" s="306">
        <f t="shared" ca="1" si="414"/>
        <v>-0.42718966857745261</v>
      </c>
      <c r="E923" s="307">
        <f t="shared" ca="1" si="415"/>
        <v>-2.3715348419749418</v>
      </c>
      <c r="F923" s="304">
        <f t="shared" ca="1" si="416"/>
        <v>2.4097029940721795</v>
      </c>
      <c r="G923" s="306">
        <f t="shared" ca="1" si="417"/>
        <v>7.2229091211854088</v>
      </c>
      <c r="H923" s="307">
        <f t="shared" ca="1" si="418"/>
        <v>-125.77030968351389</v>
      </c>
      <c r="I923" s="304">
        <f t="shared" ca="1" si="419"/>
        <v>125.97754249889101</v>
      </c>
      <c r="J923" s="306">
        <f t="shared" ca="1" si="420"/>
        <v>468.65916031958193</v>
      </c>
      <c r="K923" s="307">
        <f t="shared" ca="1" si="421"/>
        <v>-9.309066276787048</v>
      </c>
      <c r="L923" s="304">
        <f t="shared" ca="1" si="406"/>
        <v>468.75160508141323</v>
      </c>
      <c r="M923" s="306">
        <f t="shared" ca="1" si="422"/>
        <v>-1.5134299728962217</v>
      </c>
      <c r="N923" s="304">
        <f t="shared" ca="1" si="423"/>
        <v>-86.713150035552076</v>
      </c>
      <c r="P923" s="310">
        <f t="shared" ca="1" si="424"/>
        <v>23</v>
      </c>
      <c r="Q923" s="304">
        <f t="shared" ca="1" si="425"/>
        <v>0</v>
      </c>
      <c r="R923" s="306">
        <f t="shared" ca="1" si="426"/>
        <v>0</v>
      </c>
      <c r="S923" s="307">
        <f t="shared" ca="1" si="427"/>
        <v>7.9789999999999939</v>
      </c>
      <c r="T923" s="304">
        <f t="shared" ca="1" si="407"/>
        <v>78.273989999999941</v>
      </c>
      <c r="U923" s="311">
        <f t="shared" ca="1" si="408"/>
        <v>0</v>
      </c>
      <c r="V923" s="306">
        <f t="shared" ca="1" si="409"/>
        <v>1.2261408916507059</v>
      </c>
      <c r="W923" s="304">
        <f t="shared" ca="1" si="410"/>
        <v>59.44960493479612</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2.3431405459693355</v>
      </c>
      <c r="AH923" s="304">
        <f t="shared" ca="1" si="434"/>
        <v>-7.4507217717542016</v>
      </c>
    </row>
    <row r="924" spans="1:34" x14ac:dyDescent="0.2">
      <c r="A924" s="347">
        <f t="shared" ca="1" si="412"/>
        <v>1E-4</v>
      </c>
      <c r="B924" s="304">
        <f t="shared" ca="1" si="413"/>
        <v>35.820200000000867</v>
      </c>
      <c r="D924" s="306">
        <f t="shared" ca="1" si="414"/>
        <v>-0.42718847386504133</v>
      </c>
      <c r="E924" s="307">
        <f t="shared" ca="1" si="415"/>
        <v>-2.3714976251540802</v>
      </c>
      <c r="F924" s="304">
        <f t="shared" ca="1" si="416"/>
        <v>2.4096661549506369</v>
      </c>
      <c r="G924" s="306">
        <f t="shared" ca="1" si="417"/>
        <v>7.2228664023380222</v>
      </c>
      <c r="H924" s="307">
        <f t="shared" ca="1" si="418"/>
        <v>-125.7705468332764</v>
      </c>
      <c r="I924" s="304">
        <f t="shared" ca="1" si="419"/>
        <v>125.97777680927456</v>
      </c>
      <c r="J924" s="306">
        <f t="shared" ca="1" si="420"/>
        <v>468.65916031958193</v>
      </c>
      <c r="K924" s="307">
        <f t="shared" ca="1" si="421"/>
        <v>-9.3216433196128872</v>
      </c>
      <c r="L924" s="304">
        <f t="shared" ca="1" si="406"/>
        <v>468.75185502100544</v>
      </c>
      <c r="M924" s="306">
        <f t="shared" ca="1" si="422"/>
        <v>-1.5134304193680759</v>
      </c>
      <c r="N924" s="304">
        <f t="shared" ca="1" si="423"/>
        <v>-86.713175616504984</v>
      </c>
      <c r="P924" s="310">
        <f t="shared" ca="1" si="424"/>
        <v>23</v>
      </c>
      <c r="Q924" s="304">
        <f t="shared" ca="1" si="425"/>
        <v>0</v>
      </c>
      <c r="R924" s="306">
        <f t="shared" ca="1" si="426"/>
        <v>0</v>
      </c>
      <c r="S924" s="307">
        <f t="shared" ca="1" si="427"/>
        <v>7.9789999999999939</v>
      </c>
      <c r="T924" s="304">
        <f t="shared" ca="1" si="407"/>
        <v>78.273989999999941</v>
      </c>
      <c r="U924" s="311">
        <f t="shared" ca="1" si="408"/>
        <v>0</v>
      </c>
      <c r="V924" s="306">
        <f t="shared" ca="1" si="409"/>
        <v>1.2261424337746611</v>
      </c>
      <c r="W924" s="304">
        <f t="shared" ca="1" si="410"/>
        <v>59.449900850491581</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2.3431037099933878</v>
      </c>
      <c r="AH924" s="304">
        <f t="shared" ca="1" si="434"/>
        <v>-7.4507588588540123</v>
      </c>
    </row>
    <row r="925" spans="1:34" x14ac:dyDescent="0.2">
      <c r="A925" s="347">
        <f t="shared" ca="1" si="412"/>
        <v>1E-4</v>
      </c>
      <c r="B925" s="304">
        <f t="shared" ca="1" si="413"/>
        <v>35.82030000000087</v>
      </c>
      <c r="D925" s="306">
        <f t="shared" ca="1" si="414"/>
        <v>-0.42718727913513921</v>
      </c>
      <c r="E925" s="307">
        <f t="shared" ca="1" si="415"/>
        <v>-2.3714604086191589</v>
      </c>
      <c r="F925" s="304">
        <f t="shared" ca="1" si="416"/>
        <v>2.4096293161196041</v>
      </c>
      <c r="G925" s="306">
        <f t="shared" ca="1" si="417"/>
        <v>7.222823683610109</v>
      </c>
      <c r="H925" s="307">
        <f t="shared" ca="1" si="418"/>
        <v>-125.77078397931726</v>
      </c>
      <c r="I925" s="304">
        <f t="shared" ca="1" si="419"/>
        <v>125.97801111597454</v>
      </c>
      <c r="J925" s="306">
        <f t="shared" ca="1" si="420"/>
        <v>468.65916031958193</v>
      </c>
      <c r="K925" s="307">
        <f t="shared" ca="1" si="421"/>
        <v>-9.3342203861535165</v>
      </c>
      <c r="L925" s="304">
        <f t="shared" ca="1" si="406"/>
        <v>468.75210529838995</v>
      </c>
      <c r="M925" s="306">
        <f t="shared" ca="1" si="422"/>
        <v>-1.5134308658356288</v>
      </c>
      <c r="N925" s="304">
        <f t="shared" ca="1" si="423"/>
        <v>-86.713201197211461</v>
      </c>
      <c r="P925" s="310">
        <f t="shared" ca="1" si="424"/>
        <v>23</v>
      </c>
      <c r="Q925" s="304">
        <f t="shared" ca="1" si="425"/>
        <v>0</v>
      </c>
      <c r="R925" s="306">
        <f t="shared" ca="1" si="426"/>
        <v>0</v>
      </c>
      <c r="S925" s="307">
        <f t="shared" ca="1" si="427"/>
        <v>7.9789999999999939</v>
      </c>
      <c r="T925" s="304">
        <f t="shared" ca="1" si="407"/>
        <v>78.273989999999941</v>
      </c>
      <c r="U925" s="311">
        <f t="shared" ca="1" si="408"/>
        <v>0</v>
      </c>
      <c r="V925" s="306">
        <f t="shared" ca="1" si="409"/>
        <v>1.226143975903464</v>
      </c>
      <c r="W925" s="304">
        <f t="shared" ca="1" si="410"/>
        <v>59.450196763913034</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2.3430668742980574</v>
      </c>
      <c r="AH925" s="304">
        <f t="shared" ca="1" si="434"/>
        <v>-7.4507959456688342</v>
      </c>
    </row>
    <row r="926" spans="1:34" x14ac:dyDescent="0.2">
      <c r="A926" s="347">
        <f t="shared" ca="1" si="412"/>
        <v>1E-4</v>
      </c>
      <c r="B926" s="304">
        <f t="shared" ca="1" si="413"/>
        <v>35.820400000000873</v>
      </c>
      <c r="D926" s="306">
        <f t="shared" ca="1" si="414"/>
        <v>-0.4271860843877448</v>
      </c>
      <c r="E926" s="307">
        <f t="shared" ca="1" si="415"/>
        <v>-2.3714231923701909</v>
      </c>
      <c r="F926" s="304">
        <f t="shared" ca="1" si="416"/>
        <v>2.4095924775790949</v>
      </c>
      <c r="G926" s="306">
        <f t="shared" ca="1" si="417"/>
        <v>7.2227809650016699</v>
      </c>
      <c r="H926" s="307">
        <f t="shared" ca="1" si="418"/>
        <v>-125.77102112163649</v>
      </c>
      <c r="I926" s="304">
        <f t="shared" ca="1" si="419"/>
        <v>125.97824541899099</v>
      </c>
      <c r="J926" s="306">
        <f t="shared" ca="1" si="420"/>
        <v>468.65916031958193</v>
      </c>
      <c r="K926" s="307">
        <f t="shared" ca="1" si="421"/>
        <v>-9.3467974764085646</v>
      </c>
      <c r="L926" s="304">
        <f t="shared" ca="1" si="406"/>
        <v>468.75235591356829</v>
      </c>
      <c r="M926" s="306">
        <f t="shared" ca="1" si="422"/>
        <v>-1.5134313122988803</v>
      </c>
      <c r="N926" s="304">
        <f t="shared" ca="1" si="423"/>
        <v>-86.71322677767148</v>
      </c>
      <c r="P926" s="310">
        <f t="shared" ca="1" si="424"/>
        <v>23</v>
      </c>
      <c r="Q926" s="304">
        <f t="shared" ca="1" si="425"/>
        <v>0</v>
      </c>
      <c r="R926" s="306">
        <f t="shared" ca="1" si="426"/>
        <v>0</v>
      </c>
      <c r="S926" s="307">
        <f t="shared" ca="1" si="427"/>
        <v>7.9789999999999939</v>
      </c>
      <c r="T926" s="304">
        <f t="shared" ca="1" si="407"/>
        <v>78.273989999999941</v>
      </c>
      <c r="U926" s="311">
        <f t="shared" ca="1" si="408"/>
        <v>0</v>
      </c>
      <c r="V926" s="306">
        <f t="shared" ca="1" si="409"/>
        <v>1.2261455180371152</v>
      </c>
      <c r="W926" s="304">
        <f t="shared" ca="1" si="410"/>
        <v>59.450492675060552</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2.3430300388833567</v>
      </c>
      <c r="AH926" s="304">
        <f t="shared" ca="1" si="434"/>
        <v>-7.4508330321986564</v>
      </c>
    </row>
    <row r="927" spans="1:34" x14ac:dyDescent="0.2">
      <c r="A927" s="347">
        <f t="shared" ca="1" si="412"/>
        <v>1E-4</v>
      </c>
      <c r="B927" s="304">
        <f t="shared" ca="1" si="413"/>
        <v>35.820500000000877</v>
      </c>
      <c r="D927" s="306">
        <f t="shared" ca="1" si="414"/>
        <v>-0.42718488962286122</v>
      </c>
      <c r="E927" s="307">
        <f t="shared" ca="1" si="415"/>
        <v>-2.371385976407165</v>
      </c>
      <c r="F927" s="304">
        <f t="shared" ca="1" si="416"/>
        <v>2.4095556393290982</v>
      </c>
      <c r="G927" s="306">
        <f t="shared" ca="1" si="417"/>
        <v>7.2227382465127077</v>
      </c>
      <c r="H927" s="307">
        <f t="shared" ca="1" si="418"/>
        <v>-125.77125826023413</v>
      </c>
      <c r="I927" s="304">
        <f t="shared" ca="1" si="419"/>
        <v>125.97847971832392</v>
      </c>
      <c r="J927" s="306">
        <f t="shared" ca="1" si="420"/>
        <v>468.65916031958193</v>
      </c>
      <c r="K927" s="307">
        <f t="shared" ca="1" si="421"/>
        <v>-9.3593745903776586</v>
      </c>
      <c r="L927" s="304">
        <f t="shared" ca="1" si="406"/>
        <v>468.75260686654173</v>
      </c>
      <c r="M927" s="306">
        <f t="shared" ca="1" si="422"/>
        <v>-1.5134317587578305</v>
      </c>
      <c r="N927" s="304">
        <f t="shared" ca="1" si="423"/>
        <v>-86.713252357885054</v>
      </c>
      <c r="P927" s="310">
        <f t="shared" ca="1" si="424"/>
        <v>23</v>
      </c>
      <c r="Q927" s="304">
        <f t="shared" ca="1" si="425"/>
        <v>0</v>
      </c>
      <c r="R927" s="306">
        <f t="shared" ca="1" si="426"/>
        <v>0</v>
      </c>
      <c r="S927" s="307">
        <f t="shared" ca="1" si="427"/>
        <v>7.9789999999999939</v>
      </c>
      <c r="T927" s="304">
        <f t="shared" ca="1" si="407"/>
        <v>78.273989999999941</v>
      </c>
      <c r="U927" s="311">
        <f t="shared" ca="1" si="408"/>
        <v>0</v>
      </c>
      <c r="V927" s="306">
        <f t="shared" ca="1" si="409"/>
        <v>1.2261470601756146</v>
      </c>
      <c r="W927" s="304">
        <f t="shared" ca="1" si="410"/>
        <v>59.450788583934091</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2.3429932037492707</v>
      </c>
      <c r="AH927" s="304">
        <f t="shared" ca="1" si="434"/>
        <v>-7.4508701184434889</v>
      </c>
    </row>
    <row r="928" spans="1:34" x14ac:dyDescent="0.2">
      <c r="A928" s="347">
        <f t="shared" ca="1" si="412"/>
        <v>1E-4</v>
      </c>
      <c r="B928" s="304">
        <f t="shared" ca="1" si="413"/>
        <v>35.82060000000088</v>
      </c>
      <c r="D928" s="306">
        <f t="shared" ca="1" si="414"/>
        <v>-0.42718369484048729</v>
      </c>
      <c r="E928" s="307">
        <f t="shared" ca="1" si="415"/>
        <v>-2.3713487607300872</v>
      </c>
      <c r="F928" s="304">
        <f t="shared" ca="1" si="416"/>
        <v>2.4095188013696198</v>
      </c>
      <c r="G928" s="306">
        <f t="shared" ca="1" si="417"/>
        <v>7.2226955281432232</v>
      </c>
      <c r="H928" s="307">
        <f t="shared" ca="1" si="418"/>
        <v>-125.77149539511021</v>
      </c>
      <c r="I928" s="304">
        <f t="shared" ca="1" si="419"/>
        <v>125.97871401397336</v>
      </c>
      <c r="J928" s="306">
        <f t="shared" ca="1" si="420"/>
        <v>468.65916031958193</v>
      </c>
      <c r="K928" s="307">
        <f t="shared" ca="1" si="421"/>
        <v>-9.3719517280604254</v>
      </c>
      <c r="L928" s="304">
        <f t="shared" ca="1" si="406"/>
        <v>468.75285815731161</v>
      </c>
      <c r="M928" s="306">
        <f t="shared" ca="1" si="422"/>
        <v>-1.5134322052124796</v>
      </c>
      <c r="N928" s="304">
        <f t="shared" ca="1" si="423"/>
        <v>-86.713277937852183</v>
      </c>
      <c r="P928" s="310">
        <f t="shared" ca="1" si="424"/>
        <v>23</v>
      </c>
      <c r="Q928" s="304">
        <f t="shared" ca="1" si="425"/>
        <v>0</v>
      </c>
      <c r="R928" s="306">
        <f t="shared" ca="1" si="426"/>
        <v>0</v>
      </c>
      <c r="S928" s="307">
        <f t="shared" ca="1" si="427"/>
        <v>7.9789999999999939</v>
      </c>
      <c r="T928" s="304">
        <f t="shared" ca="1" si="407"/>
        <v>78.273989999999941</v>
      </c>
      <c r="U928" s="311">
        <f t="shared" ca="1" si="408"/>
        <v>0</v>
      </c>
      <c r="V928" s="306">
        <f t="shared" ca="1" si="409"/>
        <v>1.2261486023189616</v>
      </c>
      <c r="W928" s="304">
        <f t="shared" ca="1" si="410"/>
        <v>59.451084490533617</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2.3429563688958117</v>
      </c>
      <c r="AH928" s="304">
        <f t="shared" ca="1" si="434"/>
        <v>-7.4509072044033262</v>
      </c>
    </row>
    <row r="929" spans="1:34" x14ac:dyDescent="0.2">
      <c r="A929" s="347">
        <f t="shared" ca="1" si="412"/>
        <v>1E-4</v>
      </c>
      <c r="B929" s="304">
        <f t="shared" ca="1" si="413"/>
        <v>35.820700000000883</v>
      </c>
      <c r="D929" s="306">
        <f t="shared" ca="1" si="414"/>
        <v>-0.42718250004062364</v>
      </c>
      <c r="E929" s="307">
        <f t="shared" ca="1" si="415"/>
        <v>-2.3713115453389619</v>
      </c>
      <c r="F929" s="304">
        <f t="shared" ca="1" si="416"/>
        <v>2.409481963700665</v>
      </c>
      <c r="G929" s="306">
        <f t="shared" ca="1" si="417"/>
        <v>7.2226528098932192</v>
      </c>
      <c r="H929" s="307">
        <f t="shared" ca="1" si="418"/>
        <v>-125.77173252626474</v>
      </c>
      <c r="I929" s="304">
        <f t="shared" ca="1" si="419"/>
        <v>125.97894830593935</v>
      </c>
      <c r="J929" s="306">
        <f t="shared" ca="1" si="420"/>
        <v>468.65916031958193</v>
      </c>
      <c r="K929" s="307">
        <f t="shared" ca="1" si="421"/>
        <v>-9.3845288894564938</v>
      </c>
      <c r="L929" s="304">
        <f t="shared" ca="1" si="406"/>
        <v>468.75310978587936</v>
      </c>
      <c r="M929" s="306">
        <f t="shared" ca="1" si="422"/>
        <v>-1.5134326516628276</v>
      </c>
      <c r="N929" s="304">
        <f t="shared" ca="1" si="423"/>
        <v>-86.713303517572896</v>
      </c>
      <c r="P929" s="310">
        <f t="shared" ca="1" si="424"/>
        <v>23</v>
      </c>
      <c r="Q929" s="304">
        <f t="shared" ca="1" si="425"/>
        <v>0</v>
      </c>
      <c r="R929" s="306">
        <f t="shared" ca="1" si="426"/>
        <v>0</v>
      </c>
      <c r="S929" s="307">
        <f t="shared" ca="1" si="427"/>
        <v>7.9789999999999939</v>
      </c>
      <c r="T929" s="304">
        <f t="shared" ca="1" si="407"/>
        <v>78.273989999999941</v>
      </c>
      <c r="U929" s="311">
        <f t="shared" ca="1" si="408"/>
        <v>0</v>
      </c>
      <c r="V929" s="306">
        <f t="shared" ca="1" si="409"/>
        <v>1.2261501444671574</v>
      </c>
      <c r="W929" s="304">
        <f t="shared" ca="1" si="410"/>
        <v>59.451380394859221</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2.3429195343229816</v>
      </c>
      <c r="AH929" s="304">
        <f t="shared" ca="1" si="434"/>
        <v>-7.4509442900781631</v>
      </c>
    </row>
    <row r="930" spans="1:34" x14ac:dyDescent="0.2">
      <c r="A930" s="347">
        <f t="shared" ca="1" si="412"/>
        <v>1E-4</v>
      </c>
      <c r="B930" s="304">
        <f t="shared" ca="1" si="413"/>
        <v>35.820800000000887</v>
      </c>
      <c r="D930" s="306">
        <f t="shared" ca="1" si="414"/>
        <v>-0.42718130522327014</v>
      </c>
      <c r="E930" s="307">
        <f t="shared" ca="1" si="415"/>
        <v>-2.3712743302337786</v>
      </c>
      <c r="F930" s="304">
        <f t="shared" ca="1" si="416"/>
        <v>2.4094451263222227</v>
      </c>
      <c r="G930" s="306">
        <f t="shared" ca="1" si="417"/>
        <v>7.2226100917626965</v>
      </c>
      <c r="H930" s="307">
        <f t="shared" ca="1" si="418"/>
        <v>-125.77196965369777</v>
      </c>
      <c r="I930" s="304">
        <f t="shared" ca="1" si="419"/>
        <v>125.97918259422191</v>
      </c>
      <c r="J930" s="306">
        <f t="shared" ca="1" si="420"/>
        <v>468.65916031958193</v>
      </c>
      <c r="K930" s="307">
        <f t="shared" ca="1" si="421"/>
        <v>-9.3971060745654924</v>
      </c>
      <c r="L930" s="304">
        <f t="shared" ca="1" si="406"/>
        <v>468.75336175224624</v>
      </c>
      <c r="M930" s="306">
        <f t="shared" ca="1" si="422"/>
        <v>-1.5134330981088744</v>
      </c>
      <c r="N930" s="304">
        <f t="shared" ca="1" si="423"/>
        <v>-86.713329097047151</v>
      </c>
      <c r="P930" s="310">
        <f t="shared" ca="1" si="424"/>
        <v>23</v>
      </c>
      <c r="Q930" s="304">
        <f t="shared" ca="1" si="425"/>
        <v>0</v>
      </c>
      <c r="R930" s="306">
        <f t="shared" ca="1" si="426"/>
        <v>0</v>
      </c>
      <c r="S930" s="307">
        <f t="shared" ca="1" si="427"/>
        <v>7.9789999999999939</v>
      </c>
      <c r="T930" s="304">
        <f t="shared" ca="1" si="407"/>
        <v>78.273989999999941</v>
      </c>
      <c r="U930" s="311">
        <f t="shared" ca="1" si="408"/>
        <v>0</v>
      </c>
      <c r="V930" s="306">
        <f t="shared" ca="1" si="409"/>
        <v>1.2261516866202011</v>
      </c>
      <c r="W930" s="304">
        <f t="shared" ca="1" si="410"/>
        <v>59.451676296910819</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2.3428827000307679</v>
      </c>
      <c r="AH930" s="304">
        <f t="shared" ca="1" si="434"/>
        <v>-7.4509813754680119</v>
      </c>
    </row>
    <row r="931" spans="1:34" x14ac:dyDescent="0.2">
      <c r="A931" s="347">
        <f t="shared" ca="1" si="412"/>
        <v>1E-4</v>
      </c>
      <c r="B931" s="304">
        <f t="shared" ca="1" si="413"/>
        <v>35.82090000000089</v>
      </c>
      <c r="D931" s="306">
        <f t="shared" ca="1" si="414"/>
        <v>-0.42718011038842874</v>
      </c>
      <c r="E931" s="307">
        <f t="shared" ca="1" si="415"/>
        <v>-2.3712371154145462</v>
      </c>
      <c r="F931" s="304">
        <f t="shared" ca="1" si="416"/>
        <v>2.4094082892343023</v>
      </c>
      <c r="G931" s="306">
        <f t="shared" ca="1" si="417"/>
        <v>7.2225673737516578</v>
      </c>
      <c r="H931" s="307">
        <f t="shared" ca="1" si="418"/>
        <v>-125.77220677740931</v>
      </c>
      <c r="I931" s="304">
        <f t="shared" ca="1" si="419"/>
        <v>125.97941687882107</v>
      </c>
      <c r="J931" s="306">
        <f t="shared" ca="1" si="420"/>
        <v>468.65916031958193</v>
      </c>
      <c r="K931" s="307">
        <f t="shared" ca="1" si="421"/>
        <v>-9.4096832833870483</v>
      </c>
      <c r="L931" s="304">
        <f t="shared" ca="1" si="406"/>
        <v>468.75361405641371</v>
      </c>
      <c r="M931" s="306">
        <f t="shared" ca="1" si="422"/>
        <v>-1.5134335445506202</v>
      </c>
      <c r="N931" s="304">
        <f t="shared" ca="1" si="423"/>
        <v>-86.713354676274989</v>
      </c>
      <c r="P931" s="310">
        <f t="shared" ca="1" si="424"/>
        <v>23</v>
      </c>
      <c r="Q931" s="304">
        <f t="shared" ca="1" si="425"/>
        <v>0</v>
      </c>
      <c r="R931" s="306">
        <f t="shared" ca="1" si="426"/>
        <v>0</v>
      </c>
      <c r="S931" s="307">
        <f t="shared" ca="1" si="427"/>
        <v>7.9789999999999939</v>
      </c>
      <c r="T931" s="304">
        <f t="shared" ca="1" si="407"/>
        <v>78.273989999999941</v>
      </c>
      <c r="U931" s="311">
        <f t="shared" ca="1" si="408"/>
        <v>0</v>
      </c>
      <c r="V931" s="306">
        <f t="shared" ca="1" si="409"/>
        <v>1.2261532287780927</v>
      </c>
      <c r="W931" s="304">
        <f t="shared" ca="1" si="410"/>
        <v>59.451972196688438</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2.3428458660191795</v>
      </c>
      <c r="AH931" s="304">
        <f t="shared" ca="1" si="434"/>
        <v>-7.451018460572862</v>
      </c>
    </row>
    <row r="932" spans="1:34" x14ac:dyDescent="0.2">
      <c r="A932" s="347">
        <f t="shared" ca="1" si="412"/>
        <v>1E-4</v>
      </c>
      <c r="B932" s="304">
        <f t="shared" ca="1" si="413"/>
        <v>35.821000000000893</v>
      </c>
      <c r="D932" s="306">
        <f t="shared" ca="1" si="414"/>
        <v>-0.42717891553609871</v>
      </c>
      <c r="E932" s="307">
        <f t="shared" ca="1" si="415"/>
        <v>-2.3711999008812619</v>
      </c>
      <c r="F932" s="304">
        <f t="shared" ca="1" si="416"/>
        <v>2.4093714524369014</v>
      </c>
      <c r="G932" s="306">
        <f t="shared" ca="1" si="417"/>
        <v>7.2225246558601039</v>
      </c>
      <c r="H932" s="307">
        <f t="shared" ca="1" si="418"/>
        <v>-125.7724438973994</v>
      </c>
      <c r="I932" s="304">
        <f t="shared" ca="1" si="419"/>
        <v>125.97965115973685</v>
      </c>
      <c r="J932" s="306">
        <f t="shared" ca="1" si="420"/>
        <v>468.65916031958193</v>
      </c>
      <c r="K932" s="307">
        <f t="shared" ca="1" si="421"/>
        <v>-9.4222605159207884</v>
      </c>
      <c r="L932" s="304">
        <f t="shared" ca="1" si="406"/>
        <v>468.75386669838304</v>
      </c>
      <c r="M932" s="306">
        <f t="shared" ca="1" si="422"/>
        <v>-1.5134339909880652</v>
      </c>
      <c r="N932" s="304">
        <f t="shared" ca="1" si="423"/>
        <v>-86.713380255256396</v>
      </c>
      <c r="P932" s="310">
        <f t="shared" ca="1" si="424"/>
        <v>23</v>
      </c>
      <c r="Q932" s="304">
        <f t="shared" ca="1" si="425"/>
        <v>0</v>
      </c>
      <c r="R932" s="306">
        <f t="shared" ca="1" si="426"/>
        <v>0</v>
      </c>
      <c r="S932" s="307">
        <f t="shared" ca="1" si="427"/>
        <v>7.9789999999999939</v>
      </c>
      <c r="T932" s="304">
        <f t="shared" ca="1" si="407"/>
        <v>78.273989999999941</v>
      </c>
      <c r="U932" s="311">
        <f t="shared" ca="1" si="408"/>
        <v>0</v>
      </c>
      <c r="V932" s="306">
        <f t="shared" ca="1" si="409"/>
        <v>1.2261547709408323</v>
      </c>
      <c r="W932" s="304">
        <f t="shared" ca="1" si="410"/>
        <v>59.45226809419205</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2.3428090322882191</v>
      </c>
      <c r="AH932" s="304">
        <f t="shared" ca="1" si="434"/>
        <v>-7.4510555453927161</v>
      </c>
    </row>
    <row r="933" spans="1:34" x14ac:dyDescent="0.2">
      <c r="A933" s="347">
        <f t="shared" ca="1" si="412"/>
        <v>1E-4</v>
      </c>
      <c r="B933" s="304">
        <f t="shared" ca="1" si="413"/>
        <v>35.821100000000897</v>
      </c>
      <c r="D933" s="306">
        <f t="shared" ca="1" si="414"/>
        <v>-0.42717772066627924</v>
      </c>
      <c r="E933" s="307">
        <f t="shared" ca="1" si="415"/>
        <v>-2.3711626866339302</v>
      </c>
      <c r="F933" s="304">
        <f t="shared" ca="1" si="416"/>
        <v>2.4093346159300237</v>
      </c>
      <c r="G933" s="306">
        <f t="shared" ca="1" si="417"/>
        <v>7.2224819380880376</v>
      </c>
      <c r="H933" s="307">
        <f t="shared" ca="1" si="418"/>
        <v>-125.77268101366806</v>
      </c>
      <c r="I933" s="304">
        <f t="shared" ca="1" si="419"/>
        <v>125.97988543696928</v>
      </c>
      <c r="J933" s="306">
        <f t="shared" ca="1" si="420"/>
        <v>468.65916031958193</v>
      </c>
      <c r="K933" s="307">
        <f t="shared" ca="1" si="421"/>
        <v>-9.4348377721663415</v>
      </c>
      <c r="L933" s="304">
        <f t="shared" ca="1" si="406"/>
        <v>468.75411967815569</v>
      </c>
      <c r="M933" s="306">
        <f t="shared" ca="1" si="422"/>
        <v>-1.5134344374212092</v>
      </c>
      <c r="N933" s="304">
        <f t="shared" ca="1" si="423"/>
        <v>-86.713405833991388</v>
      </c>
      <c r="P933" s="310">
        <f t="shared" ca="1" si="424"/>
        <v>23</v>
      </c>
      <c r="Q933" s="304">
        <f t="shared" ca="1" si="425"/>
        <v>0</v>
      </c>
      <c r="R933" s="306">
        <f t="shared" ca="1" si="426"/>
        <v>0</v>
      </c>
      <c r="S933" s="307">
        <f t="shared" ca="1" si="427"/>
        <v>7.9789999999999939</v>
      </c>
      <c r="T933" s="304">
        <f t="shared" ca="1" si="407"/>
        <v>78.273989999999941</v>
      </c>
      <c r="U933" s="311">
        <f t="shared" ca="1" si="408"/>
        <v>0</v>
      </c>
      <c r="V933" s="306">
        <f t="shared" ca="1" si="409"/>
        <v>1.2261563131084201</v>
      </c>
      <c r="W933" s="304">
        <f t="shared" ca="1" si="410"/>
        <v>59.452563989421684</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2.3427721988378858</v>
      </c>
      <c r="AH933" s="304">
        <f t="shared" ca="1" si="434"/>
        <v>-7.4510926299275715</v>
      </c>
    </row>
    <row r="934" spans="1:34" x14ac:dyDescent="0.2">
      <c r="A934" s="347">
        <f t="shared" ca="1" si="412"/>
        <v>1E-4</v>
      </c>
      <c r="B934" s="304">
        <f t="shared" ca="1" si="413"/>
        <v>35.8212000000009</v>
      </c>
      <c r="D934" s="306">
        <f t="shared" ca="1" si="414"/>
        <v>-0.42717652577897292</v>
      </c>
      <c r="E934" s="307">
        <f t="shared" ca="1" si="415"/>
        <v>-2.3711254726725457</v>
      </c>
      <c r="F934" s="304">
        <f t="shared" ca="1" si="416"/>
        <v>2.4092977797136652</v>
      </c>
      <c r="G934" s="306">
        <f t="shared" ca="1" si="417"/>
        <v>7.2224392204354597</v>
      </c>
      <c r="H934" s="307">
        <f t="shared" ca="1" si="418"/>
        <v>-125.77291812621533</v>
      </c>
      <c r="I934" s="304">
        <f t="shared" ca="1" si="419"/>
        <v>125.98011971051841</v>
      </c>
      <c r="J934" s="306">
        <f t="shared" ca="1" si="420"/>
        <v>468.65916031958193</v>
      </c>
      <c r="K934" s="307">
        <f t="shared" ca="1" si="421"/>
        <v>-9.4474150521233362</v>
      </c>
      <c r="L934" s="304">
        <f t="shared" ca="1" si="406"/>
        <v>468.75437299573292</v>
      </c>
      <c r="M934" s="306">
        <f t="shared" ca="1" si="422"/>
        <v>-1.5134348838500524</v>
      </c>
      <c r="N934" s="304">
        <f t="shared" ca="1" si="423"/>
        <v>-86.713431412479963</v>
      </c>
      <c r="P934" s="310">
        <f t="shared" ca="1" si="424"/>
        <v>23</v>
      </c>
      <c r="Q934" s="304">
        <f t="shared" ca="1" si="425"/>
        <v>0</v>
      </c>
      <c r="R934" s="306">
        <f t="shared" ca="1" si="426"/>
        <v>0</v>
      </c>
      <c r="S934" s="307">
        <f t="shared" ca="1" si="427"/>
        <v>7.9789999999999939</v>
      </c>
      <c r="T934" s="304">
        <f t="shared" ca="1" si="407"/>
        <v>78.273989999999941</v>
      </c>
      <c r="U934" s="311">
        <f t="shared" ca="1" si="408"/>
        <v>0</v>
      </c>
      <c r="V934" s="306">
        <f t="shared" ca="1" si="409"/>
        <v>1.2261578552808556</v>
      </c>
      <c r="W934" s="304">
        <f t="shared" ca="1" si="410"/>
        <v>59.452859882377332</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2.342735365668176</v>
      </c>
      <c r="AH934" s="304">
        <f t="shared" ca="1" si="434"/>
        <v>-7.4511297141774318</v>
      </c>
    </row>
    <row r="935" spans="1:34" x14ac:dyDescent="0.2">
      <c r="A935" s="347">
        <f t="shared" ca="1" si="412"/>
        <v>1E-4</v>
      </c>
      <c r="B935" s="304">
        <f t="shared" ca="1" si="413"/>
        <v>35.821300000000903</v>
      </c>
      <c r="D935" s="306">
        <f t="shared" ca="1" si="414"/>
        <v>-0.42717533087417903</v>
      </c>
      <c r="E935" s="307">
        <f t="shared" ca="1" si="415"/>
        <v>-2.3710882589971103</v>
      </c>
      <c r="F935" s="304">
        <f t="shared" ca="1" si="416"/>
        <v>2.4092609437878272</v>
      </c>
      <c r="G935" s="306">
        <f t="shared" ca="1" si="417"/>
        <v>7.222396502902372</v>
      </c>
      <c r="H935" s="307">
        <f t="shared" ca="1" si="418"/>
        <v>-125.77315523504123</v>
      </c>
      <c r="I935" s="304">
        <f t="shared" ca="1" si="419"/>
        <v>125.98035398038424</v>
      </c>
      <c r="J935" s="306">
        <f t="shared" ca="1" si="420"/>
        <v>468.65916031958193</v>
      </c>
      <c r="K935" s="307">
        <f t="shared" ca="1" si="421"/>
        <v>-9.4599923557913996</v>
      </c>
      <c r="L935" s="304">
        <f t="shared" ca="1" si="406"/>
        <v>468.7546266511161</v>
      </c>
      <c r="M935" s="306">
        <f t="shared" ca="1" si="422"/>
        <v>-1.5134353302745949</v>
      </c>
      <c r="N935" s="304">
        <f t="shared" ca="1" si="423"/>
        <v>-86.713456990722108</v>
      </c>
      <c r="P935" s="310">
        <f t="shared" ca="1" si="424"/>
        <v>23</v>
      </c>
      <c r="Q935" s="304">
        <f t="shared" ca="1" si="425"/>
        <v>0</v>
      </c>
      <c r="R935" s="306">
        <f t="shared" ca="1" si="426"/>
        <v>0</v>
      </c>
      <c r="S935" s="307">
        <f t="shared" ca="1" si="427"/>
        <v>7.9789999999999939</v>
      </c>
      <c r="T935" s="304">
        <f t="shared" ca="1" si="407"/>
        <v>78.273989999999941</v>
      </c>
      <c r="U935" s="311">
        <f t="shared" ca="1" si="408"/>
        <v>0</v>
      </c>
      <c r="V935" s="306">
        <f t="shared" ca="1" si="409"/>
        <v>1.2261593974581391</v>
      </c>
      <c r="W935" s="304">
        <f t="shared" ca="1" si="410"/>
        <v>59.45315577305896</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2.3426985327790906</v>
      </c>
      <c r="AH935" s="304">
        <f t="shared" ca="1" si="434"/>
        <v>-7.451166798142296</v>
      </c>
    </row>
    <row r="936" spans="1:34" x14ac:dyDescent="0.2">
      <c r="A936" s="347">
        <f t="shared" ca="1" si="412"/>
        <v>1E-4</v>
      </c>
      <c r="B936" s="304">
        <f t="shared" ca="1" si="413"/>
        <v>35.821400000000907</v>
      </c>
      <c r="D936" s="306">
        <f t="shared" ca="1" si="414"/>
        <v>-0.42717413595189802</v>
      </c>
      <c r="E936" s="307">
        <f t="shared" ca="1" si="415"/>
        <v>-2.3710510456076292</v>
      </c>
      <c r="F936" s="304">
        <f t="shared" ca="1" si="416"/>
        <v>2.4092241081525154</v>
      </c>
      <c r="G936" s="306">
        <f t="shared" ca="1" si="417"/>
        <v>7.2223537854887772</v>
      </c>
      <c r="H936" s="307">
        <f t="shared" ca="1" si="418"/>
        <v>-125.77339234014579</v>
      </c>
      <c r="I936" s="304">
        <f t="shared" ca="1" si="419"/>
        <v>125.98058824656681</v>
      </c>
      <c r="J936" s="306">
        <f t="shared" ca="1" si="420"/>
        <v>468.65916031958193</v>
      </c>
      <c r="K936" s="307">
        <f t="shared" ca="1" si="421"/>
        <v>-9.4725696831701587</v>
      </c>
      <c r="L936" s="304">
        <f t="shared" ca="1" si="406"/>
        <v>468.75488064430658</v>
      </c>
      <c r="M936" s="306">
        <f t="shared" ca="1" si="422"/>
        <v>-1.5134357766948365</v>
      </c>
      <c r="N936" s="304">
        <f t="shared" ca="1" si="423"/>
        <v>-86.713482568717851</v>
      </c>
      <c r="P936" s="310">
        <f t="shared" ca="1" si="424"/>
        <v>23</v>
      </c>
      <c r="Q936" s="304">
        <f t="shared" ca="1" si="425"/>
        <v>0</v>
      </c>
      <c r="R936" s="306">
        <f t="shared" ca="1" si="426"/>
        <v>0</v>
      </c>
      <c r="S936" s="307">
        <f t="shared" ca="1" si="427"/>
        <v>7.9789999999999939</v>
      </c>
      <c r="T936" s="304">
        <f t="shared" ca="1" si="407"/>
        <v>78.273989999999941</v>
      </c>
      <c r="U936" s="311">
        <f t="shared" ca="1" si="408"/>
        <v>0</v>
      </c>
      <c r="V936" s="306">
        <f t="shared" ca="1" si="409"/>
        <v>1.2261609396402704</v>
      </c>
      <c r="W936" s="304">
        <f t="shared" ca="1" si="410"/>
        <v>59.453451661466609</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2.3426617001706367</v>
      </c>
      <c r="AH936" s="304">
        <f t="shared" ca="1" si="434"/>
        <v>-7.4512038818221589</v>
      </c>
    </row>
    <row r="937" spans="1:34" x14ac:dyDescent="0.2">
      <c r="A937" s="347">
        <f t="shared" ca="1" si="412"/>
        <v>1E-4</v>
      </c>
      <c r="B937" s="304">
        <f t="shared" ca="1" si="413"/>
        <v>35.82150000000091</v>
      </c>
      <c r="D937" s="306">
        <f t="shared" ca="1" si="414"/>
        <v>-0.4271729410121311</v>
      </c>
      <c r="E937" s="307">
        <f t="shared" ca="1" si="415"/>
        <v>-2.3710138325040955</v>
      </c>
      <c r="F937" s="304">
        <f t="shared" ca="1" si="416"/>
        <v>2.4091872728077228</v>
      </c>
      <c r="G937" s="306">
        <f t="shared" ca="1" si="417"/>
        <v>7.2223110681946761</v>
      </c>
      <c r="H937" s="307">
        <f t="shared" ca="1" si="418"/>
        <v>-125.77362944152904</v>
      </c>
      <c r="I937" s="304">
        <f t="shared" ca="1" si="419"/>
        <v>125.98082250906614</v>
      </c>
      <c r="J937" s="306">
        <f t="shared" ca="1" si="420"/>
        <v>468.65916031958193</v>
      </c>
      <c r="K937" s="307">
        <f t="shared" ca="1" si="421"/>
        <v>-9.4851470342592421</v>
      </c>
      <c r="L937" s="304">
        <f t="shared" ca="1" si="406"/>
        <v>468.75513497530574</v>
      </c>
      <c r="M937" s="306">
        <f t="shared" ca="1" si="422"/>
        <v>-1.5134362231107776</v>
      </c>
      <c r="N937" s="304">
        <f t="shared" ca="1" si="423"/>
        <v>-86.713508146467177</v>
      </c>
      <c r="P937" s="310">
        <f t="shared" ca="1" si="424"/>
        <v>23</v>
      </c>
      <c r="Q937" s="304">
        <f t="shared" ca="1" si="425"/>
        <v>0</v>
      </c>
      <c r="R937" s="306">
        <f t="shared" ca="1" si="426"/>
        <v>0</v>
      </c>
      <c r="S937" s="307">
        <f t="shared" ca="1" si="427"/>
        <v>7.9789999999999939</v>
      </c>
      <c r="T937" s="304">
        <f t="shared" ca="1" si="407"/>
        <v>78.273989999999941</v>
      </c>
      <c r="U937" s="311">
        <f t="shared" ca="1" si="408"/>
        <v>0</v>
      </c>
      <c r="V937" s="306">
        <f t="shared" ca="1" si="409"/>
        <v>1.2261624818272496</v>
      </c>
      <c r="W937" s="304">
        <f t="shared" ca="1" si="410"/>
        <v>59.45374754760023</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2.3426248678428081</v>
      </c>
      <c r="AH937" s="304">
        <f t="shared" ca="1" si="434"/>
        <v>-7.4512409652170266</v>
      </c>
    </row>
    <row r="938" spans="1:34" x14ac:dyDescent="0.2">
      <c r="A938" s="347">
        <f t="shared" ca="1" si="412"/>
        <v>1E-4</v>
      </c>
      <c r="B938" s="304">
        <f t="shared" ca="1" si="413"/>
        <v>35.821600000000913</v>
      </c>
      <c r="D938" s="306">
        <f t="shared" ca="1" si="414"/>
        <v>-0.42717174605487712</v>
      </c>
      <c r="E938" s="307">
        <f t="shared" ca="1" si="415"/>
        <v>-2.370976619686517</v>
      </c>
      <c r="F938" s="304">
        <f t="shared" ca="1" si="416"/>
        <v>2.4091504377534574</v>
      </c>
      <c r="G938" s="306">
        <f t="shared" ca="1" si="417"/>
        <v>7.2222683510200705</v>
      </c>
      <c r="H938" s="307">
        <f t="shared" ca="1" si="418"/>
        <v>-125.773866539191</v>
      </c>
      <c r="I938" s="304">
        <f t="shared" ca="1" si="419"/>
        <v>125.98105676788228</v>
      </c>
      <c r="J938" s="306">
        <f t="shared" ca="1" si="420"/>
        <v>468.65916031958193</v>
      </c>
      <c r="K938" s="307">
        <f t="shared" ca="1" si="421"/>
        <v>-9.4977244090582786</v>
      </c>
      <c r="L938" s="304">
        <f t="shared" ca="1" si="406"/>
        <v>468.75538964411493</v>
      </c>
      <c r="M938" s="306">
        <f t="shared" ca="1" si="422"/>
        <v>-1.5134366695224182</v>
      </c>
      <c r="N938" s="304">
        <f t="shared" ca="1" si="423"/>
        <v>-86.713533723970116</v>
      </c>
      <c r="P938" s="310">
        <f t="shared" ca="1" si="424"/>
        <v>23</v>
      </c>
      <c r="Q938" s="304">
        <f t="shared" ca="1" si="425"/>
        <v>0</v>
      </c>
      <c r="R938" s="306">
        <f t="shared" ca="1" si="426"/>
        <v>0</v>
      </c>
      <c r="S938" s="307">
        <f t="shared" ca="1" si="427"/>
        <v>7.9789999999999939</v>
      </c>
      <c r="T938" s="304">
        <f t="shared" ca="1" si="407"/>
        <v>78.273989999999941</v>
      </c>
      <c r="U938" s="311">
        <f t="shared" ca="1" si="408"/>
        <v>0</v>
      </c>
      <c r="V938" s="306">
        <f t="shared" ca="1" si="409"/>
        <v>1.2261640240190765</v>
      </c>
      <c r="W938" s="304">
        <f t="shared" ca="1" si="410"/>
        <v>59.454043431459858</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2.3425880357956119</v>
      </c>
      <c r="AH938" s="304">
        <f t="shared" ca="1" si="434"/>
        <v>-7.4512780483268921</v>
      </c>
    </row>
    <row r="939" spans="1:34" x14ac:dyDescent="0.2">
      <c r="A939" s="347">
        <f t="shared" ca="1" si="412"/>
        <v>1E-4</v>
      </c>
      <c r="B939" s="304">
        <f t="shared" ca="1" si="413"/>
        <v>35.821700000000916</v>
      </c>
      <c r="D939" s="306">
        <f t="shared" ca="1" si="414"/>
        <v>-0.42717055108013741</v>
      </c>
      <c r="E939" s="307">
        <f t="shared" ca="1" si="415"/>
        <v>-2.3709394071548875</v>
      </c>
      <c r="F939" s="304">
        <f t="shared" ca="1" si="416"/>
        <v>2.4091136029897133</v>
      </c>
      <c r="G939" s="306">
        <f t="shared" ca="1" si="417"/>
        <v>7.2222256339649622</v>
      </c>
      <c r="H939" s="307">
        <f t="shared" ca="1" si="418"/>
        <v>-125.77410363313172</v>
      </c>
      <c r="I939" s="304">
        <f t="shared" ca="1" si="419"/>
        <v>125.98129102301523</v>
      </c>
      <c r="J939" s="306">
        <f t="shared" ca="1" si="420"/>
        <v>468.65916031958193</v>
      </c>
      <c r="K939" s="307">
        <f t="shared" ca="1" si="421"/>
        <v>-9.5103018075668952</v>
      </c>
      <c r="L939" s="304">
        <f t="shared" ca="1" si="406"/>
        <v>468.75564465073552</v>
      </c>
      <c r="M939" s="306">
        <f t="shared" ca="1" si="422"/>
        <v>-1.5134371159297582</v>
      </c>
      <c r="N939" s="304">
        <f t="shared" ca="1" si="423"/>
        <v>-86.713559301226638</v>
      </c>
      <c r="P939" s="310">
        <f t="shared" ca="1" si="424"/>
        <v>23</v>
      </c>
      <c r="Q939" s="304">
        <f t="shared" ca="1" si="425"/>
        <v>0</v>
      </c>
      <c r="R939" s="306">
        <f t="shared" ca="1" si="426"/>
        <v>0</v>
      </c>
      <c r="S939" s="307">
        <f t="shared" ca="1" si="427"/>
        <v>7.9789999999999939</v>
      </c>
      <c r="T939" s="304">
        <f t="shared" ca="1" si="407"/>
        <v>78.273989999999941</v>
      </c>
      <c r="U939" s="311">
        <f t="shared" ca="1" si="408"/>
        <v>0</v>
      </c>
      <c r="V939" s="306">
        <f t="shared" ca="1" si="409"/>
        <v>1.2261655662157516</v>
      </c>
      <c r="W939" s="304">
        <f t="shared" ca="1" si="410"/>
        <v>59.45433931304548</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2.3425512040290402</v>
      </c>
      <c r="AH939" s="304">
        <f t="shared" ca="1" si="434"/>
        <v>-7.4513151311517616</v>
      </c>
    </row>
    <row r="940" spans="1:34" x14ac:dyDescent="0.2">
      <c r="A940" s="347">
        <f t="shared" ca="1" si="412"/>
        <v>1E-4</v>
      </c>
      <c r="B940" s="304">
        <f t="shared" ca="1" si="413"/>
        <v>35.82180000000092</v>
      </c>
      <c r="D940" s="306">
        <f t="shared" ca="1" si="414"/>
        <v>-0.4271693560879124</v>
      </c>
      <c r="E940" s="307">
        <f t="shared" ca="1" si="415"/>
        <v>-2.3709021949092106</v>
      </c>
      <c r="F940" s="304">
        <f t="shared" ca="1" si="416"/>
        <v>2.4090767685164942</v>
      </c>
      <c r="G940" s="306">
        <f t="shared" ca="1" si="417"/>
        <v>7.222182917029353</v>
      </c>
      <c r="H940" s="307">
        <f t="shared" ca="1" si="418"/>
        <v>-125.7743407233512</v>
      </c>
      <c r="I940" s="304">
        <f t="shared" ca="1" si="419"/>
        <v>125.98152527446503</v>
      </c>
      <c r="J940" s="306">
        <f t="shared" ca="1" si="420"/>
        <v>468.65916031958193</v>
      </c>
      <c r="K940" s="307">
        <f t="shared" ca="1" si="421"/>
        <v>-9.5228792297847189</v>
      </c>
      <c r="L940" s="304">
        <f t="shared" ca="1" si="406"/>
        <v>468.75589999516876</v>
      </c>
      <c r="M940" s="306">
        <f t="shared" ca="1" si="422"/>
        <v>-1.5134375623327978</v>
      </c>
      <c r="N940" s="304">
        <f t="shared" ca="1" si="423"/>
        <v>-86.713584878236773</v>
      </c>
      <c r="P940" s="310">
        <f t="shared" ca="1" si="424"/>
        <v>23</v>
      </c>
      <c r="Q940" s="304">
        <f t="shared" ca="1" si="425"/>
        <v>0</v>
      </c>
      <c r="R940" s="306">
        <f t="shared" ca="1" si="426"/>
        <v>0</v>
      </c>
      <c r="S940" s="307">
        <f t="shared" ca="1" si="427"/>
        <v>7.9789999999999939</v>
      </c>
      <c r="T940" s="304">
        <f t="shared" ca="1" si="407"/>
        <v>78.273989999999941</v>
      </c>
      <c r="U940" s="311">
        <f t="shared" ca="1" si="408"/>
        <v>0</v>
      </c>
      <c r="V940" s="306">
        <f t="shared" ca="1" si="409"/>
        <v>1.2261671084172741</v>
      </c>
      <c r="W940" s="304">
        <f t="shared" ca="1" si="410"/>
        <v>59.45463519235706</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2.3425143725430981</v>
      </c>
      <c r="AH940" s="304">
        <f t="shared" ca="1" si="434"/>
        <v>-7.4513522136916315</v>
      </c>
    </row>
    <row r="941" spans="1:34" x14ac:dyDescent="0.2">
      <c r="A941" s="347">
        <f t="shared" ca="1" si="412"/>
        <v>1E-4</v>
      </c>
      <c r="B941" s="304">
        <f t="shared" ca="1" si="413"/>
        <v>35.821900000000923</v>
      </c>
      <c r="D941" s="306">
        <f t="shared" ca="1" si="414"/>
        <v>-0.42716816107820116</v>
      </c>
      <c r="E941" s="307">
        <f t="shared" ca="1" si="415"/>
        <v>-2.370864982949489</v>
      </c>
      <c r="F941" s="304">
        <f t="shared" ca="1" si="416"/>
        <v>2.4090399343338027</v>
      </c>
      <c r="G941" s="306">
        <f t="shared" ca="1" si="417"/>
        <v>7.2221402002132455</v>
      </c>
      <c r="H941" s="307">
        <f t="shared" ca="1" si="418"/>
        <v>-125.77457780984949</v>
      </c>
      <c r="I941" s="304">
        <f t="shared" ca="1" si="419"/>
        <v>125.98175952223171</v>
      </c>
      <c r="J941" s="306">
        <f t="shared" ca="1" si="420"/>
        <v>468.65916031958193</v>
      </c>
      <c r="K941" s="307">
        <f t="shared" ca="1" si="421"/>
        <v>-9.5354566757113783</v>
      </c>
      <c r="L941" s="304">
        <f t="shared" ca="1" si="406"/>
        <v>468.75615567741607</v>
      </c>
      <c r="M941" s="306">
        <f t="shared" ca="1" si="422"/>
        <v>-1.5134380087315369</v>
      </c>
      <c r="N941" s="304">
        <f t="shared" ca="1" si="423"/>
        <v>-86.713610455000492</v>
      </c>
      <c r="P941" s="310">
        <f t="shared" ca="1" si="424"/>
        <v>23</v>
      </c>
      <c r="Q941" s="304">
        <f t="shared" ca="1" si="425"/>
        <v>0</v>
      </c>
      <c r="R941" s="306">
        <f t="shared" ca="1" si="426"/>
        <v>0</v>
      </c>
      <c r="S941" s="307">
        <f t="shared" ca="1" si="427"/>
        <v>7.9789999999999939</v>
      </c>
      <c r="T941" s="304">
        <f t="shared" ca="1" si="407"/>
        <v>78.273989999999941</v>
      </c>
      <c r="U941" s="311">
        <f t="shared" ca="1" si="408"/>
        <v>0</v>
      </c>
      <c r="V941" s="306">
        <f t="shared" ca="1" si="409"/>
        <v>1.2261686506236444</v>
      </c>
      <c r="W941" s="304">
        <f t="shared" ca="1" si="410"/>
        <v>59.45493106939464</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2.3424775413377885</v>
      </c>
      <c r="AH941" s="304">
        <f t="shared" ca="1" si="434"/>
        <v>-7.4513892959464973</v>
      </c>
    </row>
    <row r="942" spans="1:34" x14ac:dyDescent="0.2">
      <c r="A942" s="347">
        <f t="shared" ca="1" si="412"/>
        <v>1E-4</v>
      </c>
      <c r="B942" s="304">
        <f t="shared" ca="1" si="413"/>
        <v>35.822000000000926</v>
      </c>
      <c r="D942" s="306">
        <f t="shared" ca="1" si="414"/>
        <v>-0.42716696605100662</v>
      </c>
      <c r="E942" s="307">
        <f t="shared" ca="1" si="415"/>
        <v>-2.3708277712757182</v>
      </c>
      <c r="F942" s="304">
        <f t="shared" ca="1" si="416"/>
        <v>2.4090031004416352</v>
      </c>
      <c r="G942" s="306">
        <f t="shared" ca="1" si="417"/>
        <v>7.2220974835166407</v>
      </c>
      <c r="H942" s="307">
        <f t="shared" ca="1" si="418"/>
        <v>-125.77481489262662</v>
      </c>
      <c r="I942" s="304">
        <f t="shared" ca="1" si="419"/>
        <v>125.98199376631531</v>
      </c>
      <c r="J942" s="306">
        <f t="shared" ca="1" si="420"/>
        <v>468.65916031958193</v>
      </c>
      <c r="K942" s="307">
        <f t="shared" ca="1" si="421"/>
        <v>-9.5480341453465023</v>
      </c>
      <c r="L942" s="304">
        <f t="shared" ca="1" si="406"/>
        <v>468.75641169747888</v>
      </c>
      <c r="M942" s="306">
        <f t="shared" ca="1" si="422"/>
        <v>-1.5134384551259759</v>
      </c>
      <c r="N942" s="304">
        <f t="shared" ca="1" si="423"/>
        <v>-86.713636031517851</v>
      </c>
      <c r="P942" s="310">
        <f t="shared" ca="1" si="424"/>
        <v>23</v>
      </c>
      <c r="Q942" s="304">
        <f t="shared" ca="1" si="425"/>
        <v>0</v>
      </c>
      <c r="R942" s="306">
        <f t="shared" ca="1" si="426"/>
        <v>0</v>
      </c>
      <c r="S942" s="307">
        <f t="shared" ca="1" si="427"/>
        <v>7.9789999999999939</v>
      </c>
      <c r="T942" s="304">
        <f t="shared" ca="1" si="407"/>
        <v>78.273989999999941</v>
      </c>
      <c r="U942" s="311">
        <f t="shared" ca="1" si="408"/>
        <v>0</v>
      </c>
      <c r="V942" s="306">
        <f t="shared" ca="1" si="409"/>
        <v>1.2261701928348625</v>
      </c>
      <c r="W942" s="304">
        <f t="shared" ca="1" si="410"/>
        <v>59.455226944158213</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2.3424407104131095</v>
      </c>
      <c r="AH942" s="304">
        <f t="shared" ca="1" si="434"/>
        <v>-7.4514263779163663</v>
      </c>
    </row>
    <row r="943" spans="1:34" x14ac:dyDescent="0.2">
      <c r="A943" s="347">
        <f t="shared" ca="1" si="412"/>
        <v>1E-4</v>
      </c>
      <c r="B943" s="304">
        <f t="shared" ca="1" si="413"/>
        <v>35.82210000000093</v>
      </c>
      <c r="D943" s="306">
        <f t="shared" ca="1" si="414"/>
        <v>-0.42716577100632619</v>
      </c>
      <c r="E943" s="307">
        <f t="shared" ca="1" si="415"/>
        <v>-2.3707905598879</v>
      </c>
      <c r="F943" s="304">
        <f t="shared" ca="1" si="416"/>
        <v>2.4089662668399927</v>
      </c>
      <c r="G943" s="306">
        <f t="shared" ca="1" si="417"/>
        <v>7.2220547669395403</v>
      </c>
      <c r="H943" s="307">
        <f t="shared" ca="1" si="418"/>
        <v>-125.77505197168261</v>
      </c>
      <c r="I943" s="304">
        <f t="shared" ca="1" si="419"/>
        <v>125.98222800671584</v>
      </c>
      <c r="J943" s="306">
        <f t="shared" ca="1" si="420"/>
        <v>468.65916031958193</v>
      </c>
      <c r="K943" s="307">
        <f t="shared" ca="1" si="421"/>
        <v>-9.5606116386897178</v>
      </c>
      <c r="L943" s="304">
        <f t="shared" ca="1" si="406"/>
        <v>468.75666805535838</v>
      </c>
      <c r="M943" s="306">
        <f t="shared" ca="1" si="422"/>
        <v>-1.5134389015161145</v>
      </c>
      <c r="N943" s="304">
        <f t="shared" ca="1" si="423"/>
        <v>-86.713661607788808</v>
      </c>
      <c r="P943" s="310">
        <f t="shared" ca="1" si="424"/>
        <v>23</v>
      </c>
      <c r="Q943" s="304">
        <f t="shared" ca="1" si="425"/>
        <v>0</v>
      </c>
      <c r="R943" s="306">
        <f t="shared" ca="1" si="426"/>
        <v>0</v>
      </c>
      <c r="S943" s="307">
        <f t="shared" ca="1" si="427"/>
        <v>7.9789999999999939</v>
      </c>
      <c r="T943" s="304">
        <f t="shared" ca="1" si="407"/>
        <v>78.273989999999941</v>
      </c>
      <c r="U943" s="311">
        <f t="shared" ca="1" si="408"/>
        <v>0</v>
      </c>
      <c r="V943" s="306">
        <f t="shared" ca="1" si="409"/>
        <v>1.2261717350509278</v>
      </c>
      <c r="W943" s="304">
        <f t="shared" ca="1" si="410"/>
        <v>59.455522816647729</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2.3424038797690567</v>
      </c>
      <c r="AH943" s="304">
        <f t="shared" ca="1" si="434"/>
        <v>-7.4514634596012357</v>
      </c>
    </row>
    <row r="944" spans="1:34" x14ac:dyDescent="0.2">
      <c r="A944" s="347">
        <f t="shared" ca="1" si="412"/>
        <v>1E-4</v>
      </c>
      <c r="B944" s="304">
        <f t="shared" ca="1" si="413"/>
        <v>35.822200000000933</v>
      </c>
      <c r="D944" s="306">
        <f t="shared" ca="1" si="414"/>
        <v>-0.42716457594416202</v>
      </c>
      <c r="E944" s="307">
        <f t="shared" ca="1" si="415"/>
        <v>-2.3707533487860397</v>
      </c>
      <c r="F944" s="304">
        <f t="shared" ca="1" si="416"/>
        <v>2.4089294335288813</v>
      </c>
      <c r="G944" s="306">
        <f t="shared" ca="1" si="417"/>
        <v>7.2220120504819461</v>
      </c>
      <c r="H944" s="307">
        <f t="shared" ca="1" si="418"/>
        <v>-125.77528904701749</v>
      </c>
      <c r="I944" s="304">
        <f t="shared" ca="1" si="419"/>
        <v>125.98246224343333</v>
      </c>
      <c r="J944" s="306">
        <f t="shared" ca="1" si="420"/>
        <v>468.65916031958193</v>
      </c>
      <c r="K944" s="307">
        <f t="shared" ca="1" si="421"/>
        <v>-9.5731891557406534</v>
      </c>
      <c r="L944" s="304">
        <f t="shared" ca="1" si="406"/>
        <v>468.75692475105603</v>
      </c>
      <c r="M944" s="306">
        <f t="shared" ca="1" si="422"/>
        <v>-1.5134393479019528</v>
      </c>
      <c r="N944" s="304">
        <f t="shared" ca="1" si="423"/>
        <v>-86.713687183813377</v>
      </c>
      <c r="P944" s="310">
        <f t="shared" ca="1" si="424"/>
        <v>23</v>
      </c>
      <c r="Q944" s="304">
        <f t="shared" ca="1" si="425"/>
        <v>0</v>
      </c>
      <c r="R944" s="306">
        <f t="shared" ca="1" si="426"/>
        <v>0</v>
      </c>
      <c r="S944" s="307">
        <f t="shared" ca="1" si="427"/>
        <v>7.9789999999999939</v>
      </c>
      <c r="T944" s="304">
        <f t="shared" ca="1" si="407"/>
        <v>78.273989999999941</v>
      </c>
      <c r="U944" s="311">
        <f t="shared" ca="1" si="408"/>
        <v>0</v>
      </c>
      <c r="V944" s="306">
        <f t="shared" ca="1" si="409"/>
        <v>1.226173277271841</v>
      </c>
      <c r="W944" s="304">
        <f t="shared" ca="1" si="410"/>
        <v>59.455818686863225</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2.3423670494056372</v>
      </c>
      <c r="AH944" s="304">
        <f t="shared" ca="1" si="434"/>
        <v>-7.4515005410011002</v>
      </c>
    </row>
    <row r="945" spans="1:34" x14ac:dyDescent="0.2">
      <c r="A945" s="347">
        <f t="shared" ca="1" si="412"/>
        <v>1E-4</v>
      </c>
      <c r="B945" s="304">
        <f t="shared" ca="1" si="413"/>
        <v>35.822300000000936</v>
      </c>
      <c r="D945" s="306">
        <f t="shared" ca="1" si="414"/>
        <v>-0.42716338086451527</v>
      </c>
      <c r="E945" s="307">
        <f t="shared" ca="1" si="415"/>
        <v>-2.3707161379701329</v>
      </c>
      <c r="F945" s="304">
        <f t="shared" ca="1" si="416"/>
        <v>2.4088926005082971</v>
      </c>
      <c r="G945" s="306">
        <f t="shared" ca="1" si="417"/>
        <v>7.2219693341438598</v>
      </c>
      <c r="H945" s="307">
        <f t="shared" ca="1" si="418"/>
        <v>-125.77552611863129</v>
      </c>
      <c r="I945" s="304">
        <f t="shared" ca="1" si="419"/>
        <v>125.98269647646781</v>
      </c>
      <c r="J945" s="306">
        <f t="shared" ca="1" si="420"/>
        <v>468.65916031958193</v>
      </c>
      <c r="K945" s="307">
        <f t="shared" ca="1" si="421"/>
        <v>-9.5857666964989363</v>
      </c>
      <c r="L945" s="304">
        <f t="shared" ca="1" si="406"/>
        <v>468.75718178457311</v>
      </c>
      <c r="M945" s="306">
        <f t="shared" ca="1" si="422"/>
        <v>-1.5134397942834912</v>
      </c>
      <c r="N945" s="304">
        <f t="shared" ca="1" si="423"/>
        <v>-86.713712759591573</v>
      </c>
      <c r="P945" s="310">
        <f t="shared" ca="1" si="424"/>
        <v>23</v>
      </c>
      <c r="Q945" s="304">
        <f t="shared" ca="1" si="425"/>
        <v>0</v>
      </c>
      <c r="R945" s="306">
        <f t="shared" ca="1" si="426"/>
        <v>0</v>
      </c>
      <c r="S945" s="307">
        <f t="shared" ca="1" si="427"/>
        <v>7.9789999999999939</v>
      </c>
      <c r="T945" s="304">
        <f t="shared" ca="1" si="407"/>
        <v>78.273989999999941</v>
      </c>
      <c r="U945" s="311">
        <f t="shared" ca="1" si="408"/>
        <v>0</v>
      </c>
      <c r="V945" s="306">
        <f t="shared" ca="1" si="409"/>
        <v>1.2261748194976019</v>
      </c>
      <c r="W945" s="304">
        <f t="shared" ca="1" si="410"/>
        <v>59.456114554804685</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2.3423302193228528</v>
      </c>
      <c r="AH945" s="304">
        <f t="shared" ca="1" si="434"/>
        <v>-7.4515376221159633</v>
      </c>
    </row>
    <row r="946" spans="1:34" x14ac:dyDescent="0.2">
      <c r="A946" s="347">
        <f t="shared" ca="1" si="412"/>
        <v>1E-4</v>
      </c>
      <c r="B946" s="304">
        <f t="shared" ca="1" si="413"/>
        <v>35.82240000000094</v>
      </c>
      <c r="D946" s="306">
        <f t="shared" ca="1" si="414"/>
        <v>-0.42716218576738335</v>
      </c>
      <c r="E946" s="307">
        <f t="shared" ca="1" si="415"/>
        <v>-2.3706789274401814</v>
      </c>
      <c r="F946" s="304">
        <f t="shared" ca="1" si="416"/>
        <v>2.4088557677782405</v>
      </c>
      <c r="G946" s="306">
        <f t="shared" ca="1" si="417"/>
        <v>7.2219266179252832</v>
      </c>
      <c r="H946" s="307">
        <f t="shared" ca="1" si="418"/>
        <v>-125.77576318652403</v>
      </c>
      <c r="I946" s="304">
        <f t="shared" ca="1" si="419"/>
        <v>125.98293070581931</v>
      </c>
      <c r="J946" s="306">
        <f t="shared" ca="1" si="420"/>
        <v>468.65916031958193</v>
      </c>
      <c r="K946" s="307">
        <f t="shared" ca="1" si="421"/>
        <v>-9.5983442609641934</v>
      </c>
      <c r="L946" s="304">
        <f t="shared" ca="1" si="406"/>
        <v>468.75743915591096</v>
      </c>
      <c r="M946" s="306">
        <f t="shared" ca="1" si="422"/>
        <v>-1.5134402406607292</v>
      </c>
      <c r="N946" s="304">
        <f t="shared" ca="1" si="423"/>
        <v>-86.713738335123395</v>
      </c>
      <c r="P946" s="310">
        <f t="shared" ca="1" si="424"/>
        <v>23</v>
      </c>
      <c r="Q946" s="304">
        <f t="shared" ca="1" si="425"/>
        <v>0</v>
      </c>
      <c r="R946" s="306">
        <f t="shared" ca="1" si="426"/>
        <v>0</v>
      </c>
      <c r="S946" s="307">
        <f t="shared" ca="1" si="427"/>
        <v>7.9789999999999939</v>
      </c>
      <c r="T946" s="304">
        <f t="shared" ca="1" si="407"/>
        <v>78.273989999999941</v>
      </c>
      <c r="U946" s="311">
        <f t="shared" ca="1" si="408"/>
        <v>0</v>
      </c>
      <c r="V946" s="306">
        <f t="shared" ca="1" si="409"/>
        <v>1.2261763617282104</v>
      </c>
      <c r="W946" s="304">
        <f t="shared" ca="1" si="410"/>
        <v>59.456410420472132</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2.3422933895207008</v>
      </c>
      <c r="AH946" s="304">
        <f t="shared" ca="1" si="434"/>
        <v>-7.4515747029458241</v>
      </c>
    </row>
    <row r="947" spans="1:34" x14ac:dyDescent="0.2">
      <c r="A947" s="347">
        <f t="shared" ca="1" si="412"/>
        <v>1E-4</v>
      </c>
      <c r="B947" s="304">
        <f t="shared" ca="1" si="413"/>
        <v>35.822500000000943</v>
      </c>
      <c r="D947" s="306">
        <f t="shared" ca="1" si="414"/>
        <v>-0.42716099065277063</v>
      </c>
      <c r="E947" s="307">
        <f t="shared" ca="1" si="415"/>
        <v>-2.3706417171961816</v>
      </c>
      <c r="F947" s="304">
        <f t="shared" ca="1" si="416"/>
        <v>2.4088189353387102</v>
      </c>
      <c r="G947" s="306">
        <f t="shared" ca="1" si="417"/>
        <v>7.2218839018262182</v>
      </c>
      <c r="H947" s="307">
        <f t="shared" ca="1" si="418"/>
        <v>-125.77600025069574</v>
      </c>
      <c r="I947" s="304">
        <f t="shared" ca="1" si="419"/>
        <v>125.98316493148786</v>
      </c>
      <c r="J947" s="306">
        <f t="shared" ca="1" si="420"/>
        <v>468.65916031958193</v>
      </c>
      <c r="K947" s="307">
        <f t="shared" ca="1" si="421"/>
        <v>-9.6109218491360551</v>
      </c>
      <c r="L947" s="304">
        <f t="shared" ca="1" si="406"/>
        <v>468.75769686507101</v>
      </c>
      <c r="M947" s="306">
        <f t="shared" ca="1" si="422"/>
        <v>-1.5134406870336674</v>
      </c>
      <c r="N947" s="304">
        <f t="shared" ca="1" si="423"/>
        <v>-86.713763910408844</v>
      </c>
      <c r="P947" s="310">
        <f t="shared" ca="1" si="424"/>
        <v>23</v>
      </c>
      <c r="Q947" s="304">
        <f t="shared" ca="1" si="425"/>
        <v>0</v>
      </c>
      <c r="R947" s="306">
        <f t="shared" ca="1" si="426"/>
        <v>0</v>
      </c>
      <c r="S947" s="307">
        <f t="shared" ca="1" si="427"/>
        <v>7.9789999999999939</v>
      </c>
      <c r="T947" s="304">
        <f t="shared" ca="1" si="407"/>
        <v>78.273989999999941</v>
      </c>
      <c r="U947" s="311">
        <f t="shared" ca="1" si="408"/>
        <v>0</v>
      </c>
      <c r="V947" s="306">
        <f t="shared" ca="1" si="409"/>
        <v>1.2261779039636662</v>
      </c>
      <c r="W947" s="304">
        <f t="shared" ca="1" si="410"/>
        <v>59.456706283865508</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2.3422565599991767</v>
      </c>
      <c r="AH947" s="304">
        <f t="shared" ca="1" si="434"/>
        <v>-7.4516117834906854</v>
      </c>
    </row>
    <row r="948" spans="1:34" x14ac:dyDescent="0.2">
      <c r="A948" s="347">
        <f t="shared" ca="1" si="412"/>
        <v>1E-4</v>
      </c>
      <c r="B948" s="304">
        <f t="shared" ca="1" si="413"/>
        <v>35.822600000000946</v>
      </c>
      <c r="D948" s="306">
        <f t="shared" ca="1" si="414"/>
        <v>-0.42715979552067418</v>
      </c>
      <c r="E948" s="307">
        <f t="shared" ca="1" si="415"/>
        <v>-2.3706045072381432</v>
      </c>
      <c r="F948" s="304">
        <f t="shared" ca="1" si="416"/>
        <v>2.4087821031897145</v>
      </c>
      <c r="G948" s="306">
        <f t="shared" ca="1" si="417"/>
        <v>7.2218411858466665</v>
      </c>
      <c r="H948" s="307">
        <f t="shared" ca="1" si="418"/>
        <v>-125.77623731114647</v>
      </c>
      <c r="I948" s="304">
        <f t="shared" ca="1" si="419"/>
        <v>125.9833991534735</v>
      </c>
      <c r="J948" s="306">
        <f t="shared" ca="1" si="420"/>
        <v>468.65916031958193</v>
      </c>
      <c r="K948" s="307">
        <f t="shared" ca="1" si="421"/>
        <v>-9.6234994610141467</v>
      </c>
      <c r="L948" s="304">
        <f t="shared" ca="1" si="406"/>
        <v>468.75795491205452</v>
      </c>
      <c r="M948" s="306">
        <f t="shared" ca="1" si="422"/>
        <v>-1.5134411334023057</v>
      </c>
      <c r="N948" s="304">
        <f t="shared" ca="1" si="423"/>
        <v>-86.713789485447919</v>
      </c>
      <c r="P948" s="310">
        <f t="shared" ca="1" si="424"/>
        <v>23</v>
      </c>
      <c r="Q948" s="304">
        <f t="shared" ca="1" si="425"/>
        <v>0</v>
      </c>
      <c r="R948" s="306">
        <f t="shared" ca="1" si="426"/>
        <v>0</v>
      </c>
      <c r="S948" s="307">
        <f t="shared" ca="1" si="427"/>
        <v>7.9789999999999939</v>
      </c>
      <c r="T948" s="304">
        <f t="shared" ca="1" si="407"/>
        <v>78.273989999999941</v>
      </c>
      <c r="U948" s="311">
        <f t="shared" ca="1" si="408"/>
        <v>0</v>
      </c>
      <c r="V948" s="306">
        <f t="shared" ca="1" si="409"/>
        <v>1.2261794462039695</v>
      </c>
      <c r="W948" s="304">
        <f t="shared" ca="1" si="410"/>
        <v>59.45700214498487</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2.3422197307582922</v>
      </c>
      <c r="AH948" s="304">
        <f t="shared" ca="1" si="434"/>
        <v>-7.4516488637505391</v>
      </c>
    </row>
    <row r="949" spans="1:34" x14ac:dyDescent="0.2">
      <c r="A949" s="347">
        <f t="shared" ca="1" si="412"/>
        <v>1E-4</v>
      </c>
      <c r="B949" s="304">
        <f t="shared" ca="1" si="413"/>
        <v>35.82270000000095</v>
      </c>
      <c r="D949" s="306">
        <f t="shared" ca="1" si="414"/>
        <v>-0.42715860037109527</v>
      </c>
      <c r="E949" s="307">
        <f t="shared" ca="1" si="415"/>
        <v>-2.3705672975660566</v>
      </c>
      <c r="F949" s="304">
        <f t="shared" ca="1" si="416"/>
        <v>2.4087452713312443</v>
      </c>
      <c r="G949" s="306">
        <f t="shared" ca="1" si="417"/>
        <v>7.2217984699866298</v>
      </c>
      <c r="H949" s="307">
        <f t="shared" ca="1" si="418"/>
        <v>-125.77647436787623</v>
      </c>
      <c r="I949" s="304">
        <f t="shared" ca="1" si="419"/>
        <v>125.98363337177622</v>
      </c>
      <c r="J949" s="306">
        <f t="shared" ca="1" si="420"/>
        <v>468.65916031958193</v>
      </c>
      <c r="K949" s="307">
        <f t="shared" ca="1" si="421"/>
        <v>-9.6360770965980986</v>
      </c>
      <c r="L949" s="304">
        <f t="shared" ca="1" si="406"/>
        <v>468.75821329686283</v>
      </c>
      <c r="M949" s="306">
        <f t="shared" ca="1" si="422"/>
        <v>-1.5134415797666441</v>
      </c>
      <c r="N949" s="304">
        <f t="shared" ca="1" si="423"/>
        <v>-86.713815060240634</v>
      </c>
      <c r="P949" s="310">
        <f t="shared" ca="1" si="424"/>
        <v>23</v>
      </c>
      <c r="Q949" s="304">
        <f t="shared" ca="1" si="425"/>
        <v>0</v>
      </c>
      <c r="R949" s="306">
        <f t="shared" ca="1" si="426"/>
        <v>0</v>
      </c>
      <c r="S949" s="307">
        <f t="shared" ca="1" si="427"/>
        <v>7.9789999999999939</v>
      </c>
      <c r="T949" s="304">
        <f t="shared" ca="1" si="407"/>
        <v>78.273989999999941</v>
      </c>
      <c r="U949" s="311">
        <f t="shared" ca="1" si="408"/>
        <v>0</v>
      </c>
      <c r="V949" s="306">
        <f t="shared" ca="1" si="409"/>
        <v>1.2261809884491208</v>
      </c>
      <c r="W949" s="304">
        <f t="shared" ca="1" si="410"/>
        <v>59.457298003830182</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2.3421829017980356</v>
      </c>
      <c r="AH949" s="304">
        <f t="shared" ca="1" si="434"/>
        <v>-7.4516859437253933</v>
      </c>
    </row>
    <row r="950" spans="1:34" x14ac:dyDescent="0.2">
      <c r="A950" s="347">
        <f t="shared" ca="1" si="412"/>
        <v>1E-4</v>
      </c>
      <c r="B950" s="304">
        <f t="shared" ca="1" si="413"/>
        <v>35.822800000000953</v>
      </c>
      <c r="D950" s="306">
        <f t="shared" ca="1" si="414"/>
        <v>-0.42715740520403467</v>
      </c>
      <c r="E950" s="307">
        <f t="shared" ca="1" si="415"/>
        <v>-2.3705300881799269</v>
      </c>
      <c r="F950" s="304">
        <f t="shared" ca="1" si="416"/>
        <v>2.4087084397633052</v>
      </c>
      <c r="G950" s="306">
        <f t="shared" ca="1" si="417"/>
        <v>7.221755754246109</v>
      </c>
      <c r="H950" s="307">
        <f t="shared" ca="1" si="418"/>
        <v>-125.77671142088505</v>
      </c>
      <c r="I950" s="304">
        <f t="shared" ca="1" si="419"/>
        <v>125.98386758639609</v>
      </c>
      <c r="J950" s="306">
        <f t="shared" ca="1" si="420"/>
        <v>468.65916031958193</v>
      </c>
      <c r="K950" s="307">
        <f t="shared" ca="1" si="421"/>
        <v>-9.6486547558875362</v>
      </c>
      <c r="L950" s="304">
        <f t="shared" ca="1" si="406"/>
        <v>468.75847201949739</v>
      </c>
      <c r="M950" s="306">
        <f t="shared" ca="1" si="422"/>
        <v>-1.5134420261266825</v>
      </c>
      <c r="N950" s="304">
        <f t="shared" ca="1" si="423"/>
        <v>-86.713840634786976</v>
      </c>
      <c r="P950" s="310">
        <f t="shared" ca="1" si="424"/>
        <v>23</v>
      </c>
      <c r="Q950" s="304">
        <f t="shared" ca="1" si="425"/>
        <v>0</v>
      </c>
      <c r="R950" s="306">
        <f t="shared" ca="1" si="426"/>
        <v>0</v>
      </c>
      <c r="S950" s="307">
        <f t="shared" ca="1" si="427"/>
        <v>7.9789999999999939</v>
      </c>
      <c r="T950" s="304">
        <f t="shared" ca="1" si="407"/>
        <v>78.273989999999941</v>
      </c>
      <c r="U950" s="311">
        <f t="shared" ca="1" si="408"/>
        <v>0</v>
      </c>
      <c r="V950" s="306">
        <f t="shared" ca="1" si="409"/>
        <v>1.2261825306991192</v>
      </c>
      <c r="W950" s="304">
        <f t="shared" ca="1" si="410"/>
        <v>59.457593860401452</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2.3421460731184167</v>
      </c>
      <c r="AH950" s="304">
        <f t="shared" ca="1" si="434"/>
        <v>-7.4517230234152434</v>
      </c>
    </row>
    <row r="951" spans="1:34" x14ac:dyDescent="0.2">
      <c r="A951" s="347">
        <f t="shared" ca="1" si="412"/>
        <v>1E-4</v>
      </c>
      <c r="B951" s="304">
        <f t="shared" ca="1" si="413"/>
        <v>35.822900000000956</v>
      </c>
      <c r="D951" s="306">
        <f t="shared" ca="1" si="414"/>
        <v>-0.42715621001949311</v>
      </c>
      <c r="E951" s="307">
        <f t="shared" ca="1" si="415"/>
        <v>-2.3704928790797526</v>
      </c>
      <c r="F951" s="304">
        <f t="shared" ca="1" si="416"/>
        <v>2.4086716084858959</v>
      </c>
      <c r="G951" s="306">
        <f t="shared" ca="1" si="417"/>
        <v>7.2217130386251069</v>
      </c>
      <c r="H951" s="307">
        <f t="shared" ca="1" si="418"/>
        <v>-125.77694847017295</v>
      </c>
      <c r="I951" s="304">
        <f t="shared" ca="1" si="419"/>
        <v>125.9841017973331</v>
      </c>
      <c r="J951" s="306">
        <f t="shared" ca="1" si="420"/>
        <v>468.65916031958193</v>
      </c>
      <c r="K951" s="307">
        <f t="shared" ca="1" si="421"/>
        <v>-9.6612324388820898</v>
      </c>
      <c r="L951" s="304">
        <f t="shared" ca="1" si="406"/>
        <v>468.75873107995938</v>
      </c>
      <c r="M951" s="306">
        <f t="shared" ca="1" si="422"/>
        <v>-1.5134424724824214</v>
      </c>
      <c r="N951" s="304">
        <f t="shared" ca="1" si="423"/>
        <v>-86.713866209086973</v>
      </c>
      <c r="P951" s="310">
        <f t="shared" ca="1" si="424"/>
        <v>23</v>
      </c>
      <c r="Q951" s="304">
        <f t="shared" ca="1" si="425"/>
        <v>0</v>
      </c>
      <c r="R951" s="306">
        <f t="shared" ca="1" si="426"/>
        <v>0</v>
      </c>
      <c r="S951" s="307">
        <f t="shared" ca="1" si="427"/>
        <v>7.9789999999999939</v>
      </c>
      <c r="T951" s="304">
        <f t="shared" ca="1" si="407"/>
        <v>78.273989999999941</v>
      </c>
      <c r="U951" s="311">
        <f t="shared" ca="1" si="408"/>
        <v>0</v>
      </c>
      <c r="V951" s="306">
        <f t="shared" ca="1" si="409"/>
        <v>1.2261840729539646</v>
      </c>
      <c r="W951" s="304">
        <f t="shared" ca="1" si="410"/>
        <v>59.457889714698624</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2.3421092447194294</v>
      </c>
      <c r="AH951" s="304">
        <f t="shared" ca="1" si="434"/>
        <v>-7.4517601028200904</v>
      </c>
    </row>
    <row r="952" spans="1:34" x14ac:dyDescent="0.2">
      <c r="A952" s="347">
        <f t="shared" ca="1" si="412"/>
        <v>1E-4</v>
      </c>
      <c r="B952" s="304">
        <f t="shared" ca="1" si="413"/>
        <v>35.82300000000096</v>
      </c>
      <c r="D952" s="306">
        <f t="shared" ca="1" si="414"/>
        <v>-0.42715501481746943</v>
      </c>
      <c r="E952" s="307">
        <f t="shared" ca="1" si="415"/>
        <v>-2.3704556702655433</v>
      </c>
      <c r="F952" s="304">
        <f t="shared" ca="1" si="416"/>
        <v>2.4086347774990253</v>
      </c>
      <c r="G952" s="306">
        <f t="shared" ca="1" si="417"/>
        <v>7.2216703231236252</v>
      </c>
      <c r="H952" s="307">
        <f t="shared" ca="1" si="418"/>
        <v>-125.77718551573999</v>
      </c>
      <c r="I952" s="304">
        <f t="shared" ca="1" si="419"/>
        <v>125.98433600458732</v>
      </c>
      <c r="J952" s="306">
        <f t="shared" ca="1" si="420"/>
        <v>468.65916031958193</v>
      </c>
      <c r="K952" s="307">
        <f t="shared" ca="1" si="421"/>
        <v>-9.6738101455813847</v>
      </c>
      <c r="L952" s="304">
        <f t="shared" ca="1" si="406"/>
        <v>468.75899047825027</v>
      </c>
      <c r="M952" s="306">
        <f t="shared" ca="1" si="422"/>
        <v>-1.5134429188338605</v>
      </c>
      <c r="N952" s="304">
        <f t="shared" ca="1" si="423"/>
        <v>-86.713891783140625</v>
      </c>
      <c r="P952" s="310">
        <f t="shared" ca="1" si="424"/>
        <v>23</v>
      </c>
      <c r="Q952" s="304">
        <f t="shared" ca="1" si="425"/>
        <v>0</v>
      </c>
      <c r="R952" s="306">
        <f t="shared" ca="1" si="426"/>
        <v>0</v>
      </c>
      <c r="S952" s="307">
        <f t="shared" ca="1" si="427"/>
        <v>7.9789999999999939</v>
      </c>
      <c r="T952" s="304">
        <f t="shared" ca="1" si="407"/>
        <v>78.273989999999941</v>
      </c>
      <c r="U952" s="311">
        <f t="shared" ca="1" si="408"/>
        <v>0</v>
      </c>
      <c r="V952" s="306">
        <f t="shared" ca="1" si="409"/>
        <v>1.2261856152136579</v>
      </c>
      <c r="W952" s="304">
        <f t="shared" ca="1" si="410"/>
        <v>59.458185566721802</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2.3420724166010851</v>
      </c>
      <c r="AH952" s="304">
        <f t="shared" ca="1" si="434"/>
        <v>-7.4517971819399262</v>
      </c>
    </row>
    <row r="953" spans="1:34" x14ac:dyDescent="0.2">
      <c r="A953" s="347">
        <f t="shared" ca="1" si="412"/>
        <v>1E-4</v>
      </c>
      <c r="B953" s="304">
        <f t="shared" ca="1" si="413"/>
        <v>35.823100000000963</v>
      </c>
      <c r="D953" s="306">
        <f t="shared" ca="1" si="414"/>
        <v>-0.42715381959796528</v>
      </c>
      <c r="E953" s="307">
        <f t="shared" ca="1" si="415"/>
        <v>-2.370418461737283</v>
      </c>
      <c r="F953" s="304">
        <f t="shared" ca="1" si="416"/>
        <v>2.4085979468026784</v>
      </c>
      <c r="G953" s="306">
        <f t="shared" ca="1" si="417"/>
        <v>7.2216276077416657</v>
      </c>
      <c r="H953" s="307">
        <f t="shared" ca="1" si="418"/>
        <v>-125.77742255758616</v>
      </c>
      <c r="I953" s="304">
        <f t="shared" ca="1" si="419"/>
        <v>125.98457020815874</v>
      </c>
      <c r="J953" s="306">
        <f t="shared" ca="1" si="420"/>
        <v>468.65916031958193</v>
      </c>
      <c r="K953" s="307">
        <f t="shared" ca="1" si="421"/>
        <v>-9.6863878759850515</v>
      </c>
      <c r="L953" s="304">
        <f t="shared" ca="1" si="406"/>
        <v>468.75925021437138</v>
      </c>
      <c r="M953" s="306">
        <f t="shared" ca="1" si="422"/>
        <v>-1.5134433651809998</v>
      </c>
      <c r="N953" s="304">
        <f t="shared" ca="1" si="423"/>
        <v>-86.713917356947888</v>
      </c>
      <c r="P953" s="310">
        <f t="shared" ca="1" si="424"/>
        <v>23</v>
      </c>
      <c r="Q953" s="304">
        <f t="shared" ca="1" si="425"/>
        <v>0</v>
      </c>
      <c r="R953" s="306">
        <f t="shared" ca="1" si="426"/>
        <v>0</v>
      </c>
      <c r="S953" s="307">
        <f t="shared" ca="1" si="427"/>
        <v>7.9789999999999939</v>
      </c>
      <c r="T953" s="304">
        <f t="shared" ca="1" si="407"/>
        <v>78.273989999999941</v>
      </c>
      <c r="U953" s="311">
        <f t="shared" ca="1" si="408"/>
        <v>0</v>
      </c>
      <c r="V953" s="306">
        <f t="shared" ca="1" si="409"/>
        <v>1.2261871574781986</v>
      </c>
      <c r="W953" s="304">
        <f t="shared" ca="1" si="410"/>
        <v>59.458481416470903</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2.3420355887633679</v>
      </c>
      <c r="AH953" s="304">
        <f t="shared" ca="1" si="434"/>
        <v>-7.4518342607747652</v>
      </c>
    </row>
    <row r="954" spans="1:34" x14ac:dyDescent="0.2">
      <c r="A954" s="347">
        <f t="shared" ca="1" si="412"/>
        <v>1E-4</v>
      </c>
      <c r="B954" s="304">
        <f t="shared" ca="1" si="413"/>
        <v>35.823200000000966</v>
      </c>
      <c r="D954" s="306">
        <f t="shared" ca="1" si="414"/>
        <v>-0.42715262436098256</v>
      </c>
      <c r="E954" s="307">
        <f t="shared" ca="1" si="415"/>
        <v>-2.3703812534949842</v>
      </c>
      <c r="F954" s="304">
        <f t="shared" ca="1" si="416"/>
        <v>2.4085611163968679</v>
      </c>
      <c r="G954" s="306">
        <f t="shared" ca="1" si="417"/>
        <v>7.2215848924792292</v>
      </c>
      <c r="H954" s="307">
        <f t="shared" ca="1" si="418"/>
        <v>-125.77765959571151</v>
      </c>
      <c r="I954" s="304">
        <f t="shared" ca="1" si="419"/>
        <v>125.98480440804742</v>
      </c>
      <c r="J954" s="306">
        <f t="shared" ca="1" si="420"/>
        <v>468.65916031958193</v>
      </c>
      <c r="K954" s="307">
        <f t="shared" ca="1" si="421"/>
        <v>-9.6989656300927169</v>
      </c>
      <c r="L954" s="304">
        <f t="shared" ca="1" si="406"/>
        <v>468.75951028832395</v>
      </c>
      <c r="M954" s="306">
        <f t="shared" ca="1" si="422"/>
        <v>-1.5134438115238398</v>
      </c>
      <c r="N954" s="304">
        <f t="shared" ca="1" si="423"/>
        <v>-86.71394293050885</v>
      </c>
      <c r="P954" s="310">
        <f t="shared" ca="1" si="424"/>
        <v>23</v>
      </c>
      <c r="Q954" s="304">
        <f t="shared" ca="1" si="425"/>
        <v>0</v>
      </c>
      <c r="R954" s="306">
        <f t="shared" ca="1" si="426"/>
        <v>0</v>
      </c>
      <c r="S954" s="307">
        <f t="shared" ca="1" si="427"/>
        <v>7.9789999999999939</v>
      </c>
      <c r="T954" s="304">
        <f t="shared" ca="1" si="407"/>
        <v>78.273989999999941</v>
      </c>
      <c r="U954" s="311">
        <f t="shared" ca="1" si="408"/>
        <v>0</v>
      </c>
      <c r="V954" s="306">
        <f t="shared" ca="1" si="409"/>
        <v>1.2261886997475864</v>
      </c>
      <c r="W954" s="304">
        <f t="shared" ca="1" si="410"/>
        <v>59.458777263945933</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2.3419987612062911</v>
      </c>
      <c r="AH954" s="304">
        <f t="shared" ca="1" si="434"/>
        <v>-7.4518713393245957</v>
      </c>
    </row>
    <row r="955" spans="1:34" x14ac:dyDescent="0.2">
      <c r="A955" s="347">
        <f t="shared" ca="1" si="412"/>
        <v>1E-4</v>
      </c>
      <c r="B955" s="304">
        <f t="shared" ca="1" si="413"/>
        <v>35.82330000000097</v>
      </c>
      <c r="D955" s="306">
        <f t="shared" ca="1" si="414"/>
        <v>-0.42715142910651721</v>
      </c>
      <c r="E955" s="307">
        <f t="shared" ca="1" si="415"/>
        <v>-2.3703440455386451</v>
      </c>
      <c r="F955" s="304">
        <f t="shared" ca="1" si="416"/>
        <v>2.4085242862815917</v>
      </c>
      <c r="G955" s="306">
        <f t="shared" ca="1" si="417"/>
        <v>7.2215421773363184</v>
      </c>
      <c r="H955" s="307">
        <f t="shared" ca="1" si="418"/>
        <v>-125.77789663011606</v>
      </c>
      <c r="I955" s="304">
        <f t="shared" ca="1" si="419"/>
        <v>125.98503860425336</v>
      </c>
      <c r="J955" s="306">
        <f t="shared" ca="1" si="420"/>
        <v>468.65916031958193</v>
      </c>
      <c r="K955" s="307">
        <f t="shared" ca="1" si="421"/>
        <v>-9.7115434079040082</v>
      </c>
      <c r="L955" s="304">
        <f t="shared" ca="1" si="406"/>
        <v>468.75977070010947</v>
      </c>
      <c r="M955" s="306">
        <f t="shared" ca="1" si="422"/>
        <v>-1.5134442578623801</v>
      </c>
      <c r="N955" s="304">
        <f t="shared" ca="1" si="423"/>
        <v>-86.713968503823438</v>
      </c>
      <c r="P955" s="310">
        <f t="shared" ca="1" si="424"/>
        <v>23</v>
      </c>
      <c r="Q955" s="304">
        <f t="shared" ca="1" si="425"/>
        <v>0</v>
      </c>
      <c r="R955" s="306">
        <f t="shared" ca="1" si="426"/>
        <v>0</v>
      </c>
      <c r="S955" s="307">
        <f t="shared" ca="1" si="427"/>
        <v>7.9789999999999939</v>
      </c>
      <c r="T955" s="304">
        <f t="shared" ca="1" si="407"/>
        <v>78.273989999999941</v>
      </c>
      <c r="U955" s="311">
        <f t="shared" ca="1" si="408"/>
        <v>0</v>
      </c>
      <c r="V955" s="306">
        <f t="shared" ca="1" si="409"/>
        <v>1.2261902420218211</v>
      </c>
      <c r="W955" s="304">
        <f t="shared" ca="1" si="410"/>
        <v>59.459073109146878</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2.3419619339298512</v>
      </c>
      <c r="AH955" s="304">
        <f t="shared" ca="1" si="434"/>
        <v>-7.4519084175894195</v>
      </c>
    </row>
    <row r="956" spans="1:34" x14ac:dyDescent="0.2">
      <c r="A956" s="347">
        <f t="shared" ca="1" si="412"/>
        <v>1E-4</v>
      </c>
      <c r="B956" s="304">
        <f t="shared" ca="1" si="413"/>
        <v>35.823400000000973</v>
      </c>
      <c r="D956" s="306">
        <f t="shared" ca="1" si="414"/>
        <v>-0.42715023383457335</v>
      </c>
      <c r="E956" s="307">
        <f t="shared" ca="1" si="415"/>
        <v>-2.3703068378682666</v>
      </c>
      <c r="F956" s="304">
        <f t="shared" ca="1" si="416"/>
        <v>2.408487456456851</v>
      </c>
      <c r="G956" s="306">
        <f t="shared" ca="1" si="417"/>
        <v>7.2214994623129352</v>
      </c>
      <c r="H956" s="307">
        <f t="shared" ca="1" si="418"/>
        <v>-125.77813366079985</v>
      </c>
      <c r="I956" s="304">
        <f t="shared" ca="1" si="419"/>
        <v>125.9852727967766</v>
      </c>
      <c r="J956" s="306">
        <f t="shared" ca="1" si="420"/>
        <v>468.65916031958193</v>
      </c>
      <c r="K956" s="307">
        <f t="shared" ca="1" si="421"/>
        <v>-9.7241212094185538</v>
      </c>
      <c r="L956" s="304">
        <f t="shared" ca="1" si="406"/>
        <v>468.76003144972913</v>
      </c>
      <c r="M956" s="306">
        <f t="shared" ca="1" si="422"/>
        <v>-1.513444704196621</v>
      </c>
      <c r="N956" s="304">
        <f t="shared" ca="1" si="423"/>
        <v>-86.713994076891694</v>
      </c>
      <c r="P956" s="310">
        <f t="shared" ca="1" si="424"/>
        <v>23</v>
      </c>
      <c r="Q956" s="304">
        <f t="shared" ca="1" si="425"/>
        <v>0</v>
      </c>
      <c r="R956" s="306">
        <f t="shared" ca="1" si="426"/>
        <v>0</v>
      </c>
      <c r="S956" s="307">
        <f t="shared" ca="1" si="427"/>
        <v>7.9789999999999939</v>
      </c>
      <c r="T956" s="304">
        <f t="shared" ca="1" si="407"/>
        <v>78.273989999999941</v>
      </c>
      <c r="U956" s="311">
        <f t="shared" ca="1" si="408"/>
        <v>0</v>
      </c>
      <c r="V956" s="306">
        <f t="shared" ca="1" si="409"/>
        <v>1.2261917843009038</v>
      </c>
      <c r="W956" s="304">
        <f t="shared" ca="1" si="410"/>
        <v>59.459368952073781</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2.3419251069340516</v>
      </c>
      <c r="AH956" s="304">
        <f t="shared" ca="1" si="434"/>
        <v>-7.4519454955692348</v>
      </c>
    </row>
    <row r="957" spans="1:34" x14ac:dyDescent="0.2">
      <c r="A957" s="347">
        <f t="shared" ca="1" si="412"/>
        <v>1E-4</v>
      </c>
      <c r="B957" s="304">
        <f t="shared" ca="1" si="413"/>
        <v>35.823500000000976</v>
      </c>
      <c r="D957" s="306">
        <f t="shared" ca="1" si="414"/>
        <v>-0.42714903854515041</v>
      </c>
      <c r="E957" s="307">
        <f t="shared" ca="1" si="415"/>
        <v>-2.3702696304838451</v>
      </c>
      <c r="F957" s="304">
        <f t="shared" ca="1" si="416"/>
        <v>2.4084506269226424</v>
      </c>
      <c r="G957" s="306">
        <f t="shared" ca="1" si="417"/>
        <v>7.2214567474090803</v>
      </c>
      <c r="H957" s="307">
        <f t="shared" ca="1" si="418"/>
        <v>-125.7783706877629</v>
      </c>
      <c r="I957" s="304">
        <f t="shared" ca="1" si="419"/>
        <v>125.98550698561718</v>
      </c>
      <c r="J957" s="306">
        <f t="shared" ca="1" si="420"/>
        <v>468.65916031958193</v>
      </c>
      <c r="K957" s="307">
        <f t="shared" ca="1" si="421"/>
        <v>-9.7366990346359827</v>
      </c>
      <c r="L957" s="304">
        <f t="shared" ca="1" si="406"/>
        <v>468.76029253718434</v>
      </c>
      <c r="M957" s="306">
        <f t="shared" ca="1" si="422"/>
        <v>-1.5134451505265625</v>
      </c>
      <c r="N957" s="304">
        <f t="shared" ca="1" si="423"/>
        <v>-86.714019649713606</v>
      </c>
      <c r="P957" s="310">
        <f t="shared" ca="1" si="424"/>
        <v>23</v>
      </c>
      <c r="Q957" s="304">
        <f t="shared" ca="1" si="425"/>
        <v>0</v>
      </c>
      <c r="R957" s="306">
        <f t="shared" ca="1" si="426"/>
        <v>0</v>
      </c>
      <c r="S957" s="307">
        <f t="shared" ca="1" si="427"/>
        <v>7.9789999999999939</v>
      </c>
      <c r="T957" s="304">
        <f t="shared" ca="1" si="407"/>
        <v>78.273989999999941</v>
      </c>
      <c r="U957" s="311">
        <f t="shared" ca="1" si="408"/>
        <v>0</v>
      </c>
      <c r="V957" s="306">
        <f t="shared" ca="1" si="409"/>
        <v>1.2261933265848333</v>
      </c>
      <c r="W957" s="304">
        <f t="shared" ca="1" si="410"/>
        <v>59.459664792726613</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2.3418882802188863</v>
      </c>
      <c r="AH957" s="304">
        <f t="shared" ca="1" si="434"/>
        <v>-7.4519825732640461</v>
      </c>
    </row>
    <row r="958" spans="1:34" x14ac:dyDescent="0.2">
      <c r="A958" s="347">
        <f t="shared" ca="1" si="412"/>
        <v>1E-4</v>
      </c>
      <c r="B958" s="304">
        <f t="shared" ca="1" si="413"/>
        <v>35.82360000000098</v>
      </c>
      <c r="D958" s="306">
        <f t="shared" ca="1" si="414"/>
        <v>-0.42714784323824911</v>
      </c>
      <c r="E958" s="307">
        <f t="shared" ca="1" si="415"/>
        <v>-2.3702324233853824</v>
      </c>
      <c r="F958" s="304">
        <f t="shared" ca="1" si="416"/>
        <v>2.4084137976789681</v>
      </c>
      <c r="G958" s="306">
        <f t="shared" ca="1" si="417"/>
        <v>7.2214140326247565</v>
      </c>
      <c r="H958" s="307">
        <f t="shared" ca="1" si="418"/>
        <v>-125.77860771100524</v>
      </c>
      <c r="I958" s="304">
        <f t="shared" ca="1" si="419"/>
        <v>125.9857411707751</v>
      </c>
      <c r="J958" s="306">
        <f t="shared" ca="1" si="420"/>
        <v>468.65916031958193</v>
      </c>
      <c r="K958" s="307">
        <f t="shared" ca="1" si="421"/>
        <v>-9.7492768835559218</v>
      </c>
      <c r="L958" s="304">
        <f t="shared" ca="1" si="406"/>
        <v>468.76055396247648</v>
      </c>
      <c r="M958" s="306">
        <f t="shared" ca="1" si="422"/>
        <v>-1.5134455968522047</v>
      </c>
      <c r="N958" s="304">
        <f t="shared" ca="1" si="423"/>
        <v>-86.714045222289201</v>
      </c>
      <c r="P958" s="310">
        <f t="shared" ca="1" si="424"/>
        <v>23</v>
      </c>
      <c r="Q958" s="304">
        <f t="shared" ca="1" si="425"/>
        <v>0</v>
      </c>
      <c r="R958" s="306">
        <f t="shared" ca="1" si="426"/>
        <v>0</v>
      </c>
      <c r="S958" s="307">
        <f t="shared" ca="1" si="427"/>
        <v>7.9789999999999939</v>
      </c>
      <c r="T958" s="304">
        <f t="shared" ca="1" si="407"/>
        <v>78.273989999999941</v>
      </c>
      <c r="U958" s="311">
        <f t="shared" ca="1" si="408"/>
        <v>0</v>
      </c>
      <c r="V958" s="306">
        <f t="shared" ca="1" si="409"/>
        <v>1.22619486887361</v>
      </c>
      <c r="W958" s="304">
        <f t="shared" ca="1" si="410"/>
        <v>59.459960631105353</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2.3418514537843587</v>
      </c>
      <c r="AH958" s="304">
        <f t="shared" ca="1" si="434"/>
        <v>-7.4520196506738516</v>
      </c>
    </row>
    <row r="959" spans="1:34" x14ac:dyDescent="0.2">
      <c r="A959" s="347">
        <f t="shared" ca="1" si="412"/>
        <v>1E-4</v>
      </c>
      <c r="B959" s="304">
        <f t="shared" ca="1" si="413"/>
        <v>35.823700000000983</v>
      </c>
      <c r="D959" s="306">
        <f t="shared" ca="1" si="414"/>
        <v>-0.42714664791386847</v>
      </c>
      <c r="E959" s="307">
        <f t="shared" ca="1" si="415"/>
        <v>-2.370195216572883</v>
      </c>
      <c r="F959" s="304">
        <f t="shared" ca="1" si="416"/>
        <v>2.4083769687258325</v>
      </c>
      <c r="G959" s="306">
        <f t="shared" ca="1" si="417"/>
        <v>7.2213713179599655</v>
      </c>
      <c r="H959" s="307">
        <f t="shared" ca="1" si="418"/>
        <v>-125.7788447305269</v>
      </c>
      <c r="I959" s="304">
        <f t="shared" ca="1" si="419"/>
        <v>125.98597535225042</v>
      </c>
      <c r="J959" s="306">
        <f t="shared" ca="1" si="420"/>
        <v>468.65916031958193</v>
      </c>
      <c r="K959" s="307">
        <f t="shared" ca="1" si="421"/>
        <v>-9.761854756177998</v>
      </c>
      <c r="L959" s="304">
        <f t="shared" ca="1" si="406"/>
        <v>468.76081572560685</v>
      </c>
      <c r="M959" s="306">
        <f t="shared" ca="1" si="422"/>
        <v>-1.5134460431735475</v>
      </c>
      <c r="N959" s="304">
        <f t="shared" ca="1" si="423"/>
        <v>-86.714070794618451</v>
      </c>
      <c r="P959" s="310">
        <f t="shared" ca="1" si="424"/>
        <v>23</v>
      </c>
      <c r="Q959" s="304">
        <f t="shared" ca="1" si="425"/>
        <v>0</v>
      </c>
      <c r="R959" s="306">
        <f t="shared" ca="1" si="426"/>
        <v>0</v>
      </c>
      <c r="S959" s="307">
        <f t="shared" ca="1" si="427"/>
        <v>7.9789999999999939</v>
      </c>
      <c r="T959" s="304">
        <f t="shared" ca="1" si="407"/>
        <v>78.273989999999941</v>
      </c>
      <c r="U959" s="311">
        <f t="shared" ca="1" si="408"/>
        <v>0</v>
      </c>
      <c r="V959" s="306">
        <f t="shared" ca="1" si="409"/>
        <v>1.2261964111672343</v>
      </c>
      <c r="W959" s="304">
        <f t="shared" ca="1" si="410"/>
        <v>59.460256467210051</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2.3418146276304741</v>
      </c>
      <c r="AH959" s="304">
        <f t="shared" ca="1" si="434"/>
        <v>-7.452056727798646</v>
      </c>
    </row>
    <row r="960" spans="1:34" x14ac:dyDescent="0.2">
      <c r="A960" s="347">
        <f t="shared" ca="1" si="412"/>
        <v>1E-4</v>
      </c>
      <c r="B960" s="304">
        <f t="shared" ca="1" si="413"/>
        <v>35.823800000000986</v>
      </c>
      <c r="D960" s="306">
        <f t="shared" ca="1" si="414"/>
        <v>-0.42714545257201131</v>
      </c>
      <c r="E960" s="307">
        <f t="shared" ca="1" si="415"/>
        <v>-2.3701580100463397</v>
      </c>
      <c r="F960" s="304">
        <f t="shared" ca="1" si="416"/>
        <v>2.4083401400632289</v>
      </c>
      <c r="G960" s="306">
        <f t="shared" ca="1" si="417"/>
        <v>7.2213286034147082</v>
      </c>
      <c r="H960" s="307">
        <f t="shared" ca="1" si="418"/>
        <v>-125.7790817463279</v>
      </c>
      <c r="I960" s="304">
        <f t="shared" ca="1" si="419"/>
        <v>125.98620953004314</v>
      </c>
      <c r="J960" s="306">
        <f t="shared" ca="1" si="420"/>
        <v>468.65916031958193</v>
      </c>
      <c r="K960" s="307">
        <f t="shared" ca="1" si="421"/>
        <v>-9.7744326525018401</v>
      </c>
      <c r="L960" s="304">
        <f t="shared" ca="1" si="406"/>
        <v>468.7610778265767</v>
      </c>
      <c r="M960" s="306">
        <f t="shared" ca="1" si="422"/>
        <v>-1.5134464894905912</v>
      </c>
      <c r="N960" s="304">
        <f t="shared" ca="1" si="423"/>
        <v>-86.714096366701384</v>
      </c>
      <c r="P960" s="310">
        <f t="shared" ca="1" si="424"/>
        <v>23</v>
      </c>
      <c r="Q960" s="304">
        <f t="shared" ca="1" si="425"/>
        <v>0</v>
      </c>
      <c r="R960" s="306">
        <f t="shared" ca="1" si="426"/>
        <v>0</v>
      </c>
      <c r="S960" s="307">
        <f t="shared" ca="1" si="427"/>
        <v>7.9789999999999939</v>
      </c>
      <c r="T960" s="304">
        <f t="shared" ca="1" si="407"/>
        <v>78.273989999999941</v>
      </c>
      <c r="U960" s="311">
        <f t="shared" ca="1" si="408"/>
        <v>0</v>
      </c>
      <c r="V960" s="306">
        <f t="shared" ca="1" si="409"/>
        <v>1.2261979534657053</v>
      </c>
      <c r="W960" s="304">
        <f t="shared" ca="1" si="410"/>
        <v>59.460552301040615</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2.3417778017572219</v>
      </c>
      <c r="AH960" s="304">
        <f t="shared" ca="1" si="434"/>
        <v>-7.4520938046384382</v>
      </c>
    </row>
    <row r="961" spans="1:34" x14ac:dyDescent="0.2">
      <c r="A961" s="347">
        <f t="shared" ca="1" si="412"/>
        <v>1E-4</v>
      </c>
      <c r="B961" s="304">
        <f t="shared" ca="1" si="413"/>
        <v>35.82390000000099</v>
      </c>
      <c r="D961" s="306">
        <f t="shared" ca="1" si="414"/>
        <v>-0.42714425721267468</v>
      </c>
      <c r="E961" s="307">
        <f t="shared" ca="1" si="415"/>
        <v>-2.3701208038057642</v>
      </c>
      <c r="F961" s="304">
        <f t="shared" ca="1" si="416"/>
        <v>2.4083033116911685</v>
      </c>
      <c r="G961" s="306">
        <f t="shared" ca="1" si="417"/>
        <v>7.2212858889889873</v>
      </c>
      <c r="H961" s="307">
        <f t="shared" ca="1" si="418"/>
        <v>-125.77931875840828</v>
      </c>
      <c r="I961" s="304">
        <f t="shared" ca="1" si="419"/>
        <v>125.9864437041533</v>
      </c>
      <c r="J961" s="306">
        <f t="shared" ca="1" si="420"/>
        <v>468.65916031958193</v>
      </c>
      <c r="K961" s="307">
        <f t="shared" ca="1" si="421"/>
        <v>-9.7870105725270768</v>
      </c>
      <c r="L961" s="304">
        <f t="shared" ca="1" si="406"/>
        <v>468.76134026538745</v>
      </c>
      <c r="M961" s="306">
        <f t="shared" ca="1" si="422"/>
        <v>-1.5134469358033358</v>
      </c>
      <c r="N961" s="304">
        <f t="shared" ca="1" si="423"/>
        <v>-86.714121938537986</v>
      </c>
      <c r="P961" s="310">
        <f t="shared" ca="1" si="424"/>
        <v>23</v>
      </c>
      <c r="Q961" s="304">
        <f t="shared" ca="1" si="425"/>
        <v>0</v>
      </c>
      <c r="R961" s="306">
        <f t="shared" ca="1" si="426"/>
        <v>0</v>
      </c>
      <c r="S961" s="307">
        <f t="shared" ca="1" si="427"/>
        <v>7.9789999999999939</v>
      </c>
      <c r="T961" s="304">
        <f t="shared" ca="1" si="407"/>
        <v>78.273989999999941</v>
      </c>
      <c r="U961" s="311">
        <f t="shared" ca="1" si="408"/>
        <v>0</v>
      </c>
      <c r="V961" s="306">
        <f t="shared" ca="1" si="409"/>
        <v>1.2261994957690234</v>
      </c>
      <c r="W961" s="304">
        <f t="shared" ca="1" si="410"/>
        <v>59.460848132597121</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2.3417409761646191</v>
      </c>
      <c r="AH961" s="304">
        <f t="shared" ca="1" si="434"/>
        <v>-7.4521308811932148</v>
      </c>
    </row>
    <row r="962" spans="1:34" x14ac:dyDescent="0.2">
      <c r="A962" s="347">
        <f t="shared" ca="1" si="412"/>
        <v>1E-4</v>
      </c>
      <c r="B962" s="304">
        <f t="shared" ca="1" si="413"/>
        <v>35.824000000000993</v>
      </c>
      <c r="D962" s="306">
        <f t="shared" ca="1" si="414"/>
        <v>-0.42714306183586154</v>
      </c>
      <c r="E962" s="307">
        <f t="shared" ca="1" si="415"/>
        <v>-2.3700835978511474</v>
      </c>
      <c r="F962" s="304">
        <f t="shared" ca="1" si="416"/>
        <v>2.4082664836096428</v>
      </c>
      <c r="G962" s="306">
        <f t="shared" ca="1" si="417"/>
        <v>7.2212431746828036</v>
      </c>
      <c r="H962" s="307">
        <f t="shared" ca="1" si="418"/>
        <v>-125.77955576676807</v>
      </c>
      <c r="I962" s="304">
        <f t="shared" ca="1" si="419"/>
        <v>125.98667787458093</v>
      </c>
      <c r="J962" s="306">
        <f t="shared" ca="1" si="420"/>
        <v>468.65916031958193</v>
      </c>
      <c r="K962" s="307">
        <f t="shared" ca="1" si="421"/>
        <v>-9.7995885162533352</v>
      </c>
      <c r="L962" s="304">
        <f t="shared" ca="1" si="406"/>
        <v>468.76160304204041</v>
      </c>
      <c r="M962" s="306">
        <f t="shared" ca="1" si="422"/>
        <v>-1.5134473821117813</v>
      </c>
      <c r="N962" s="304">
        <f t="shared" ca="1" si="423"/>
        <v>-86.714147510128271</v>
      </c>
      <c r="P962" s="310">
        <f t="shared" ca="1" si="424"/>
        <v>23</v>
      </c>
      <c r="Q962" s="304">
        <f t="shared" ca="1" si="425"/>
        <v>0</v>
      </c>
      <c r="R962" s="306">
        <f t="shared" ca="1" si="426"/>
        <v>0</v>
      </c>
      <c r="S962" s="307">
        <f t="shared" ca="1" si="427"/>
        <v>7.9789999999999939</v>
      </c>
      <c r="T962" s="304">
        <f t="shared" ca="1" si="407"/>
        <v>78.273989999999941</v>
      </c>
      <c r="U962" s="311">
        <f t="shared" ca="1" si="408"/>
        <v>0</v>
      </c>
      <c r="V962" s="306">
        <f t="shared" ca="1" si="409"/>
        <v>1.2262010380771884</v>
      </c>
      <c r="W962" s="304">
        <f t="shared" ca="1" si="410"/>
        <v>59.461143961879522</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2.3417041508526495</v>
      </c>
      <c r="AH962" s="304">
        <f t="shared" ca="1" si="434"/>
        <v>-7.4521679574629864</v>
      </c>
    </row>
    <row r="963" spans="1:34" x14ac:dyDescent="0.2">
      <c r="A963" s="347">
        <f t="shared" ca="1" si="412"/>
        <v>1E-4</v>
      </c>
      <c r="B963" s="304">
        <f t="shared" ca="1" si="413"/>
        <v>35.824100000000996</v>
      </c>
      <c r="D963" s="306">
        <f t="shared" ca="1" si="414"/>
        <v>-0.42714186644157071</v>
      </c>
      <c r="E963" s="307">
        <f t="shared" ca="1" si="415"/>
        <v>-2.3700463921824939</v>
      </c>
      <c r="F963" s="304">
        <f t="shared" ca="1" si="416"/>
        <v>2.4082296558186567</v>
      </c>
      <c r="G963" s="306">
        <f t="shared" ca="1" si="417"/>
        <v>7.221200460496159</v>
      </c>
      <c r="H963" s="307">
        <f t="shared" ca="1" si="418"/>
        <v>-125.77979277140729</v>
      </c>
      <c r="I963" s="304">
        <f t="shared" ca="1" si="419"/>
        <v>125.98691204132606</v>
      </c>
      <c r="J963" s="306">
        <f t="shared" ca="1" si="420"/>
        <v>468.65916031958193</v>
      </c>
      <c r="K963" s="307">
        <f t="shared" ca="1" si="421"/>
        <v>-9.8121664836802438</v>
      </c>
      <c r="L963" s="304">
        <f t="shared" ca="1" si="406"/>
        <v>468.76186615653694</v>
      </c>
      <c r="M963" s="306">
        <f t="shared" ca="1" si="422"/>
        <v>-1.5134478284159278</v>
      </c>
      <c r="N963" s="304">
        <f t="shared" ca="1" si="423"/>
        <v>-86.714173081472254</v>
      </c>
      <c r="P963" s="310">
        <f t="shared" ca="1" si="424"/>
        <v>23</v>
      </c>
      <c r="Q963" s="304">
        <f t="shared" ca="1" si="425"/>
        <v>0</v>
      </c>
      <c r="R963" s="306">
        <f t="shared" ca="1" si="426"/>
        <v>0</v>
      </c>
      <c r="S963" s="307">
        <f t="shared" ca="1" si="427"/>
        <v>7.9789999999999939</v>
      </c>
      <c r="T963" s="304">
        <f t="shared" ca="1" si="407"/>
        <v>78.273989999999941</v>
      </c>
      <c r="U963" s="311">
        <f t="shared" ca="1" si="408"/>
        <v>0</v>
      </c>
      <c r="V963" s="306">
        <f t="shared" ca="1" si="409"/>
        <v>1.2262025803902008</v>
      </c>
      <c r="W963" s="304">
        <f t="shared" ca="1" si="410"/>
        <v>59.461439788887844</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2.3416673258213256</v>
      </c>
      <c r="AH963" s="304">
        <f t="shared" ca="1" si="434"/>
        <v>-7.4522050334477461</v>
      </c>
    </row>
    <row r="964" spans="1:34" x14ac:dyDescent="0.2">
      <c r="A964" s="347">
        <f t="shared" ca="1" si="412"/>
        <v>1E-4</v>
      </c>
      <c r="B964" s="304">
        <f t="shared" ca="1" si="413"/>
        <v>35.824200000000999</v>
      </c>
      <c r="D964" s="306">
        <f t="shared" ca="1" si="414"/>
        <v>-0.42714067102980324</v>
      </c>
      <c r="E964" s="307">
        <f t="shared" ca="1" si="415"/>
        <v>-2.370009186799801</v>
      </c>
      <c r="F964" s="304">
        <f t="shared" ca="1" si="416"/>
        <v>2.408192828318207</v>
      </c>
      <c r="G964" s="306">
        <f t="shared" ca="1" si="417"/>
        <v>7.2211577464290562</v>
      </c>
      <c r="H964" s="307">
        <f t="shared" ca="1" si="418"/>
        <v>-125.78002977232596</v>
      </c>
      <c r="I964" s="304">
        <f t="shared" ca="1" si="419"/>
        <v>125.98714620438872</v>
      </c>
      <c r="J964" s="306">
        <f t="shared" ca="1" si="420"/>
        <v>468.65916031958193</v>
      </c>
      <c r="K964" s="307">
        <f t="shared" ca="1" si="421"/>
        <v>-9.8247444748074297</v>
      </c>
      <c r="L964" s="304">
        <f t="shared" ref="L964:L1004" ca="1" si="435">SQRT(pos_x^2+pos_z^2)</f>
        <v>468.76212960887835</v>
      </c>
      <c r="M964" s="306">
        <f t="shared" ca="1" si="422"/>
        <v>-1.5134482747157754</v>
      </c>
      <c r="N964" s="304">
        <f t="shared" ca="1" si="423"/>
        <v>-86.714198652569905</v>
      </c>
      <c r="P964" s="310">
        <f t="shared" ca="1" si="424"/>
        <v>23</v>
      </c>
      <c r="Q964" s="304">
        <f t="shared" ca="1" si="425"/>
        <v>0</v>
      </c>
      <c r="R964" s="306">
        <f t="shared" ca="1" si="426"/>
        <v>0</v>
      </c>
      <c r="S964" s="307">
        <f t="shared" ca="1" si="427"/>
        <v>7.9789999999999939</v>
      </c>
      <c r="T964" s="304">
        <f t="shared" ref="T964:T1004" ca="1" si="436">m*g</f>
        <v>78.273989999999941</v>
      </c>
      <c r="U964" s="311">
        <f t="shared" ref="U964:U1004" ca="1" si="437">IF(pos_xz&lt;L_rampe,Poids*COS(Beta),0)</f>
        <v>0</v>
      </c>
      <c r="V964" s="306">
        <f t="shared" ref="V964:V1004" ca="1" si="438">Rho_moyen*(20000-Alt_rampe-pos_z)/(20000+Alt_rampe+pos_z)</f>
        <v>1.2262041227080602</v>
      </c>
      <c r="W964" s="304">
        <f t="shared" ref="W964:W1003" ca="1" si="439">1/2*Rho*Sref*Cx*vit_xz^2</f>
        <v>59.461735613622082</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2.3416305010706431</v>
      </c>
      <c r="AH964" s="304">
        <f t="shared" ca="1" si="434"/>
        <v>-7.4522421091474982</v>
      </c>
    </row>
    <row r="965" spans="1:34" x14ac:dyDescent="0.2">
      <c r="A965" s="347">
        <f t="shared" ref="A965:A1004" ca="1" si="441">IF(B964+0.01&lt;=T_ini+ROUNDUP(Temps_fin_propu,0), 0.01, IF(K964&gt;0, 0.1, 0.0001))</f>
        <v>1E-4</v>
      </c>
      <c r="B965" s="304">
        <f t="shared" ref="B965:B1004" ca="1" si="442">B964+pas</f>
        <v>35.824300000001003</v>
      </c>
      <c r="D965" s="306">
        <f t="shared" ref="D965:D1004" ca="1" si="443">IF(AND(L964&lt;L_rampe,Poussee&lt;Poids*SIN(M964)),0,(-W964+Poussee)/m*COS(M964)-U964/m*SIN(M964))</f>
        <v>-0.42713947560056009</v>
      </c>
      <c r="E965" s="307">
        <f t="shared" ref="E965:E1004" ca="1" si="444">IF(AND(L964&lt;L_rampe,Poussee&lt;Poids*SIN(M964)),0,(-W964+Poussee)/m*SIN(M964)+U964/m*COS(M964)-Poids/m)</f>
        <v>-2.3699719817030696</v>
      </c>
      <c r="F965" s="304">
        <f t="shared" ref="F965:F1004" ca="1" si="445">SQRT(acc_x^2+acc_z^2)</f>
        <v>2.4081560011082952</v>
      </c>
      <c r="G965" s="306">
        <f t="shared" ref="G965:G1004" ca="1" si="446">G964+acc_x*pas</f>
        <v>7.2211150324814959</v>
      </c>
      <c r="H965" s="307">
        <f t="shared" ref="H965:H1004" ca="1" si="447">H964+acc_z*pas</f>
        <v>-125.78026676952413</v>
      </c>
      <c r="I965" s="304">
        <f t="shared" ref="I965:I1004" ca="1" si="448">SQRT(vit_x^2+vit_z^2)</f>
        <v>125.98738036376892</v>
      </c>
      <c r="J965" s="306">
        <f t="shared" ref="J965:J1004" ca="1" si="449">J964+0.5*(vit_x+G964)*pas*(K964&gt;=0)</f>
        <v>468.65916031958193</v>
      </c>
      <c r="K965" s="307">
        <f t="shared" ref="K965:K1004" ca="1" si="450">K964+0.5*(vit_z+H964)*pas</f>
        <v>-9.8373224896345217</v>
      </c>
      <c r="L965" s="304">
        <f t="shared" ca="1" si="435"/>
        <v>468.76239339906596</v>
      </c>
      <c r="M965" s="306">
        <f t="shared" ref="M965:M1004" ca="1" si="451">IF(AND(L964&gt;L_rampe,G965&gt;0),ATAN2(G965,H965),$M$4)</f>
        <v>-1.5134487210113241</v>
      </c>
      <c r="N965" s="304">
        <f t="shared" ref="N965:N1004" ca="1" si="452">DEGREES(Beta)</f>
        <v>-86.714224223421269</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7.9789999999999939</v>
      </c>
      <c r="T965" s="304">
        <f t="shared" ca="1" si="436"/>
        <v>78.273989999999941</v>
      </c>
      <c r="U965" s="311">
        <f t="shared" ca="1" si="437"/>
        <v>0</v>
      </c>
      <c r="V965" s="306">
        <f t="shared" ca="1" si="438"/>
        <v>1.2262056650307664</v>
      </c>
      <c r="W965" s="304">
        <f t="shared" ca="1" si="439"/>
        <v>59.462031436082185</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2.3415936766006009</v>
      </c>
      <c r="AH965" s="304">
        <f t="shared" ref="AH965:AH1004" ca="1" si="463">IF(AND(L964&lt;L_rampe,Poussee&lt;Poids*SIN(M964)), g*SIN(M964), (-W964+Poussee)/m)</f>
        <v>-7.4522791845622418</v>
      </c>
    </row>
    <row r="966" spans="1:34" x14ac:dyDescent="0.2">
      <c r="A966" s="347">
        <f t="shared" ca="1" si="441"/>
        <v>1E-4</v>
      </c>
      <c r="B966" s="304">
        <f t="shared" ca="1" si="442"/>
        <v>35.824400000001006</v>
      </c>
      <c r="D966" s="306">
        <f t="shared" ca="1" si="443"/>
        <v>-0.42713828015384003</v>
      </c>
      <c r="E966" s="307">
        <f t="shared" ca="1" si="444"/>
        <v>-2.3699347768923076</v>
      </c>
      <c r="F966" s="304">
        <f t="shared" ca="1" si="445"/>
        <v>2.4081191741889296</v>
      </c>
      <c r="G966" s="306">
        <f t="shared" ca="1" si="446"/>
        <v>7.2210723186534809</v>
      </c>
      <c r="H966" s="307">
        <f t="shared" ca="1" si="447"/>
        <v>-125.78050376300182</v>
      </c>
      <c r="I966" s="304">
        <f t="shared" ca="1" si="448"/>
        <v>125.9876145194667</v>
      </c>
      <c r="J966" s="306">
        <f t="shared" ca="1" si="449"/>
        <v>468.65916031958193</v>
      </c>
      <c r="K966" s="307">
        <f t="shared" ca="1" si="450"/>
        <v>-9.8499005281611485</v>
      </c>
      <c r="L966" s="304">
        <f t="shared" ca="1" si="435"/>
        <v>468.76265752710111</v>
      </c>
      <c r="M966" s="306">
        <f t="shared" ca="1" si="451"/>
        <v>-1.5134491673025738</v>
      </c>
      <c r="N966" s="304">
        <f t="shared" ca="1" si="452"/>
        <v>-86.714249794026315</v>
      </c>
      <c r="P966" s="310">
        <f t="shared" ca="1" si="453"/>
        <v>23</v>
      </c>
      <c r="Q966" s="304">
        <f t="shared" ca="1" si="454"/>
        <v>0</v>
      </c>
      <c r="R966" s="306">
        <f t="shared" ca="1" si="455"/>
        <v>0</v>
      </c>
      <c r="S966" s="307">
        <f t="shared" ca="1" si="456"/>
        <v>7.9789999999999939</v>
      </c>
      <c r="T966" s="304">
        <f t="shared" ca="1" si="436"/>
        <v>78.273989999999941</v>
      </c>
      <c r="U966" s="311">
        <f t="shared" ca="1" si="437"/>
        <v>0</v>
      </c>
      <c r="V966" s="306">
        <f t="shared" ca="1" si="438"/>
        <v>1.2262072073583199</v>
      </c>
      <c r="W966" s="304">
        <f t="shared" ca="1" si="439"/>
        <v>59.462327256268217</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2.3415568524112027</v>
      </c>
      <c r="AH966" s="304">
        <f t="shared" ca="1" si="463"/>
        <v>-7.4523162596919699</v>
      </c>
    </row>
    <row r="967" spans="1:34" x14ac:dyDescent="0.2">
      <c r="A967" s="347">
        <f t="shared" ca="1" si="441"/>
        <v>1E-4</v>
      </c>
      <c r="B967" s="304">
        <f t="shared" ca="1" si="442"/>
        <v>35.824500000001009</v>
      </c>
      <c r="D967" s="306">
        <f t="shared" ca="1" si="443"/>
        <v>-0.42713708468964606</v>
      </c>
      <c r="E967" s="307">
        <f t="shared" ca="1" si="444"/>
        <v>-2.3698975723675026</v>
      </c>
      <c r="F967" s="304">
        <f t="shared" ca="1" si="445"/>
        <v>2.4080823475600979</v>
      </c>
      <c r="G967" s="306">
        <f t="shared" ca="1" si="446"/>
        <v>7.221029604945012</v>
      </c>
      <c r="H967" s="307">
        <f t="shared" ca="1" si="447"/>
        <v>-125.78074075275906</v>
      </c>
      <c r="I967" s="304">
        <f t="shared" ca="1" si="448"/>
        <v>125.9878486714821</v>
      </c>
      <c r="J967" s="306">
        <f t="shared" ca="1" si="449"/>
        <v>468.65916031958193</v>
      </c>
      <c r="K967" s="307">
        <f t="shared" ca="1" si="450"/>
        <v>-9.862478590386937</v>
      </c>
      <c r="L967" s="304">
        <f t="shared" ca="1" si="435"/>
        <v>468.76292199298507</v>
      </c>
      <c r="M967" s="306">
        <f t="shared" ca="1" si="451"/>
        <v>-1.513449613589525</v>
      </c>
      <c r="N967" s="304">
        <f t="shared" ca="1" si="452"/>
        <v>-86.71427536438506</v>
      </c>
      <c r="P967" s="310">
        <f t="shared" ca="1" si="453"/>
        <v>23</v>
      </c>
      <c r="Q967" s="304">
        <f t="shared" ca="1" si="454"/>
        <v>0</v>
      </c>
      <c r="R967" s="306">
        <f t="shared" ca="1" si="455"/>
        <v>0</v>
      </c>
      <c r="S967" s="307">
        <f t="shared" ca="1" si="456"/>
        <v>7.9789999999999939</v>
      </c>
      <c r="T967" s="304">
        <f t="shared" ca="1" si="436"/>
        <v>78.273989999999941</v>
      </c>
      <c r="U967" s="311">
        <f t="shared" ca="1" si="437"/>
        <v>0</v>
      </c>
      <c r="V967" s="306">
        <f t="shared" ca="1" si="438"/>
        <v>1.2262087496907199</v>
      </c>
      <c r="W967" s="304">
        <f t="shared" ca="1" si="439"/>
        <v>59.462623074180129</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2.3415200285024458</v>
      </c>
      <c r="AH967" s="304">
        <f t="shared" ca="1" si="463"/>
        <v>-7.4523533345366921</v>
      </c>
    </row>
    <row r="968" spans="1:34" x14ac:dyDescent="0.2">
      <c r="A968" s="347">
        <f t="shared" ca="1" si="441"/>
        <v>1E-4</v>
      </c>
      <c r="B968" s="304">
        <f t="shared" ca="1" si="442"/>
        <v>35.824600000001013</v>
      </c>
      <c r="D968" s="306">
        <f t="shared" ca="1" si="443"/>
        <v>-0.42713588920797524</v>
      </c>
      <c r="E968" s="307">
        <f t="shared" ca="1" si="444"/>
        <v>-2.3698603681286663</v>
      </c>
      <c r="F968" s="304">
        <f t="shared" ca="1" si="445"/>
        <v>2.4080455212218115</v>
      </c>
      <c r="G968" s="306">
        <f t="shared" ca="1" si="446"/>
        <v>7.2209868913560911</v>
      </c>
      <c r="H968" s="307">
        <f t="shared" ca="1" si="447"/>
        <v>-125.78097773879587</v>
      </c>
      <c r="I968" s="304">
        <f t="shared" ca="1" si="448"/>
        <v>125.98808281981515</v>
      </c>
      <c r="J968" s="306">
        <f t="shared" ca="1" si="449"/>
        <v>468.65916031958193</v>
      </c>
      <c r="K968" s="307">
        <f t="shared" ca="1" si="450"/>
        <v>-9.8750566763115142</v>
      </c>
      <c r="L968" s="304">
        <f t="shared" ca="1" si="435"/>
        <v>468.76318679671931</v>
      </c>
      <c r="M968" s="306">
        <f t="shared" ca="1" si="451"/>
        <v>-1.5134500598721774</v>
      </c>
      <c r="N968" s="304">
        <f t="shared" ca="1" si="452"/>
        <v>-86.714300934497516</v>
      </c>
      <c r="P968" s="310">
        <f t="shared" ca="1" si="453"/>
        <v>23</v>
      </c>
      <c r="Q968" s="304">
        <f t="shared" ca="1" si="454"/>
        <v>0</v>
      </c>
      <c r="R968" s="306">
        <f t="shared" ca="1" si="455"/>
        <v>0</v>
      </c>
      <c r="S968" s="307">
        <f t="shared" ca="1" si="456"/>
        <v>7.9789999999999939</v>
      </c>
      <c r="T968" s="304">
        <f t="shared" ca="1" si="436"/>
        <v>78.273989999999941</v>
      </c>
      <c r="U968" s="311">
        <f t="shared" ca="1" si="437"/>
        <v>0</v>
      </c>
      <c r="V968" s="306">
        <f t="shared" ca="1" si="438"/>
        <v>1.2262102920279669</v>
      </c>
      <c r="W968" s="304">
        <f t="shared" ca="1" si="439"/>
        <v>59.462918889817949</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2.3414832048743355</v>
      </c>
      <c r="AH968" s="304">
        <f t="shared" ca="1" si="463"/>
        <v>-7.4523904090963997</v>
      </c>
    </row>
    <row r="969" spans="1:34" x14ac:dyDescent="0.2">
      <c r="A969" s="347">
        <f t="shared" ca="1" si="441"/>
        <v>1E-4</v>
      </c>
      <c r="B969" s="304">
        <f t="shared" ca="1" si="442"/>
        <v>35.824700000001016</v>
      </c>
      <c r="D969" s="306">
        <f t="shared" ca="1" si="443"/>
        <v>-0.42713469370883045</v>
      </c>
      <c r="E969" s="307">
        <f t="shared" ca="1" si="444"/>
        <v>-2.3698231641757905</v>
      </c>
      <c r="F969" s="304">
        <f t="shared" ca="1" si="445"/>
        <v>2.4080086951740629</v>
      </c>
      <c r="G969" s="306">
        <f t="shared" ca="1" si="446"/>
        <v>7.2209441778867198</v>
      </c>
      <c r="H969" s="307">
        <f t="shared" ca="1" si="447"/>
        <v>-125.78121472111229</v>
      </c>
      <c r="I969" s="304">
        <f t="shared" ca="1" si="448"/>
        <v>125.98831696446584</v>
      </c>
      <c r="J969" s="306">
        <f t="shared" ca="1" si="449"/>
        <v>468.65916031958193</v>
      </c>
      <c r="K969" s="307">
        <f t="shared" ca="1" si="450"/>
        <v>-9.8876347859345088</v>
      </c>
      <c r="L969" s="304">
        <f t="shared" ca="1" si="435"/>
        <v>468.76345193830502</v>
      </c>
      <c r="M969" s="306">
        <f t="shared" ca="1" si="451"/>
        <v>-1.513450506150531</v>
      </c>
      <c r="N969" s="304">
        <f t="shared" ca="1" si="452"/>
        <v>-86.714326504363669</v>
      </c>
      <c r="P969" s="310">
        <f t="shared" ca="1" si="453"/>
        <v>23</v>
      </c>
      <c r="Q969" s="304">
        <f t="shared" ca="1" si="454"/>
        <v>0</v>
      </c>
      <c r="R969" s="306">
        <f t="shared" ca="1" si="455"/>
        <v>0</v>
      </c>
      <c r="S969" s="307">
        <f t="shared" ca="1" si="456"/>
        <v>7.9789999999999939</v>
      </c>
      <c r="T969" s="304">
        <f t="shared" ca="1" si="436"/>
        <v>78.273989999999941</v>
      </c>
      <c r="U969" s="311">
        <f t="shared" ca="1" si="437"/>
        <v>0</v>
      </c>
      <c r="V969" s="306">
        <f t="shared" ca="1" si="438"/>
        <v>1.2262118343700605</v>
      </c>
      <c r="W969" s="304">
        <f t="shared" ca="1" si="439"/>
        <v>59.463214703181634</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2.3414463815268638</v>
      </c>
      <c r="AH969" s="304">
        <f t="shared" ca="1" si="463"/>
        <v>-7.4524274833710988</v>
      </c>
    </row>
    <row r="970" spans="1:34" x14ac:dyDescent="0.2">
      <c r="A970" s="347">
        <f t="shared" ca="1" si="441"/>
        <v>1E-4</v>
      </c>
      <c r="B970" s="304">
        <f t="shared" ca="1" si="442"/>
        <v>35.824800000001019</v>
      </c>
      <c r="D970" s="306">
        <f t="shared" ca="1" si="443"/>
        <v>-0.42713349819221214</v>
      </c>
      <c r="E970" s="307">
        <f t="shared" ca="1" si="444"/>
        <v>-2.3697859605088833</v>
      </c>
      <c r="F970" s="304">
        <f t="shared" ca="1" si="445"/>
        <v>2.4079718694168601</v>
      </c>
      <c r="G970" s="306">
        <f t="shared" ca="1" si="446"/>
        <v>7.220901464536901</v>
      </c>
      <c r="H970" s="307">
        <f t="shared" ca="1" si="447"/>
        <v>-125.78145169970834</v>
      </c>
      <c r="I970" s="304">
        <f t="shared" ca="1" si="448"/>
        <v>125.98855110543424</v>
      </c>
      <c r="J970" s="306">
        <f t="shared" ca="1" si="449"/>
        <v>468.65916031958193</v>
      </c>
      <c r="K970" s="307">
        <f t="shared" ca="1" si="450"/>
        <v>-9.9002129192555497</v>
      </c>
      <c r="L970" s="304">
        <f t="shared" ca="1" si="435"/>
        <v>468.76371741774363</v>
      </c>
      <c r="M970" s="306">
        <f t="shared" ca="1" si="451"/>
        <v>-1.5134509524245863</v>
      </c>
      <c r="N970" s="304">
        <f t="shared" ca="1" si="452"/>
        <v>-86.714352073983534</v>
      </c>
      <c r="P970" s="310">
        <f t="shared" ca="1" si="453"/>
        <v>23</v>
      </c>
      <c r="Q970" s="304">
        <f t="shared" ca="1" si="454"/>
        <v>0</v>
      </c>
      <c r="R970" s="306">
        <f t="shared" ca="1" si="455"/>
        <v>0</v>
      </c>
      <c r="S970" s="307">
        <f t="shared" ca="1" si="456"/>
        <v>7.9789999999999939</v>
      </c>
      <c r="T970" s="304">
        <f t="shared" ca="1" si="436"/>
        <v>78.273989999999941</v>
      </c>
      <c r="U970" s="311">
        <f t="shared" ca="1" si="437"/>
        <v>0</v>
      </c>
      <c r="V970" s="306">
        <f t="shared" ca="1" si="438"/>
        <v>1.2262133767170014</v>
      </c>
      <c r="W970" s="304">
        <f t="shared" ca="1" si="439"/>
        <v>59.463510514271221</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2.3414095584600414</v>
      </c>
      <c r="AH970" s="304">
        <f t="shared" ca="1" si="463"/>
        <v>-7.4524645573607824</v>
      </c>
    </row>
    <row r="971" spans="1:34" x14ac:dyDescent="0.2">
      <c r="A971" s="347">
        <f t="shared" ca="1" si="441"/>
        <v>1E-4</v>
      </c>
      <c r="B971" s="304">
        <f t="shared" ca="1" si="442"/>
        <v>35.824900000001023</v>
      </c>
      <c r="D971" s="306">
        <f t="shared" ca="1" si="443"/>
        <v>-0.42713230265811819</v>
      </c>
      <c r="E971" s="307">
        <f t="shared" ca="1" si="444"/>
        <v>-2.3697487571279403</v>
      </c>
      <c r="F971" s="304">
        <f t="shared" ca="1" si="445"/>
        <v>2.4079350439501988</v>
      </c>
      <c r="G971" s="306">
        <f t="shared" ca="1" si="446"/>
        <v>7.2208587513066353</v>
      </c>
      <c r="H971" s="307">
        <f t="shared" ca="1" si="447"/>
        <v>-125.78168867458406</v>
      </c>
      <c r="I971" s="304">
        <f t="shared" ca="1" si="448"/>
        <v>125.98878524272035</v>
      </c>
      <c r="J971" s="306">
        <f t="shared" ca="1" si="449"/>
        <v>468.65916031958193</v>
      </c>
      <c r="K971" s="307">
        <f t="shared" ca="1" si="450"/>
        <v>-9.9127910762742637</v>
      </c>
      <c r="L971" s="304">
        <f t="shared" ca="1" si="435"/>
        <v>468.76398323503633</v>
      </c>
      <c r="M971" s="306">
        <f t="shared" ca="1" si="451"/>
        <v>-1.5134513986943428</v>
      </c>
      <c r="N971" s="304">
        <f t="shared" ca="1" si="452"/>
        <v>-86.714377643357111</v>
      </c>
      <c r="P971" s="310">
        <f t="shared" ca="1" si="453"/>
        <v>23</v>
      </c>
      <c r="Q971" s="304">
        <f t="shared" ca="1" si="454"/>
        <v>0</v>
      </c>
      <c r="R971" s="306">
        <f t="shared" ca="1" si="455"/>
        <v>0</v>
      </c>
      <c r="S971" s="307">
        <f t="shared" ca="1" si="456"/>
        <v>7.9789999999999939</v>
      </c>
      <c r="T971" s="304">
        <f t="shared" ca="1" si="436"/>
        <v>78.273989999999941</v>
      </c>
      <c r="U971" s="311">
        <f t="shared" ca="1" si="437"/>
        <v>0</v>
      </c>
      <c r="V971" s="306">
        <f t="shared" ca="1" si="438"/>
        <v>1.2262149190687888</v>
      </c>
      <c r="W971" s="304">
        <f t="shared" ca="1" si="439"/>
        <v>59.463806323086679</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2.3413727356738638</v>
      </c>
      <c r="AH971" s="304">
        <f t="shared" ca="1" si="463"/>
        <v>-7.4525016310654548</v>
      </c>
    </row>
    <row r="972" spans="1:34" x14ac:dyDescent="0.2">
      <c r="A972" s="347">
        <f t="shared" ca="1" si="441"/>
        <v>1E-4</v>
      </c>
      <c r="B972" s="304">
        <f t="shared" ca="1" si="442"/>
        <v>35.825000000001026</v>
      </c>
      <c r="D972" s="306">
        <f t="shared" ca="1" si="443"/>
        <v>-0.42713110710655255</v>
      </c>
      <c r="E972" s="307">
        <f t="shared" ca="1" si="444"/>
        <v>-2.3697115540329632</v>
      </c>
      <c r="F972" s="304">
        <f t="shared" ca="1" si="445"/>
        <v>2.4078982187740805</v>
      </c>
      <c r="G972" s="306">
        <f t="shared" ca="1" si="446"/>
        <v>7.2208160381959248</v>
      </c>
      <c r="H972" s="307">
        <f t="shared" ca="1" si="447"/>
        <v>-125.78192564573946</v>
      </c>
      <c r="I972" s="304">
        <f t="shared" ca="1" si="448"/>
        <v>125.98901937632422</v>
      </c>
      <c r="J972" s="306">
        <f t="shared" ca="1" si="449"/>
        <v>468.65916031958193</v>
      </c>
      <c r="K972" s="307">
        <f t="shared" ca="1" si="450"/>
        <v>-9.9253692569902796</v>
      </c>
      <c r="L972" s="304">
        <f t="shared" ca="1" si="435"/>
        <v>468.7642493901846</v>
      </c>
      <c r="M972" s="306">
        <f t="shared" ca="1" si="451"/>
        <v>-1.5134518449598011</v>
      </c>
      <c r="N972" s="304">
        <f t="shared" ca="1" si="452"/>
        <v>-86.714403212484413</v>
      </c>
      <c r="P972" s="310">
        <f t="shared" ca="1" si="453"/>
        <v>23</v>
      </c>
      <c r="Q972" s="304">
        <f t="shared" ca="1" si="454"/>
        <v>0</v>
      </c>
      <c r="R972" s="306">
        <f t="shared" ca="1" si="455"/>
        <v>0</v>
      </c>
      <c r="S972" s="307">
        <f t="shared" ca="1" si="456"/>
        <v>7.9789999999999939</v>
      </c>
      <c r="T972" s="304">
        <f t="shared" ca="1" si="436"/>
        <v>78.273989999999941</v>
      </c>
      <c r="U972" s="311">
        <f t="shared" ca="1" si="437"/>
        <v>0</v>
      </c>
      <c r="V972" s="306">
        <f t="shared" ca="1" si="438"/>
        <v>1.2262164614254232</v>
      </c>
      <c r="W972" s="304">
        <f t="shared" ca="1" si="439"/>
        <v>59.464102129628039</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2.3413359131683293</v>
      </c>
      <c r="AH972" s="304">
        <f t="shared" ca="1" si="463"/>
        <v>-7.4525387044851144</v>
      </c>
    </row>
    <row r="973" spans="1:34" x14ac:dyDescent="0.2">
      <c r="A973" s="347">
        <f t="shared" ca="1" si="441"/>
        <v>1E-4</v>
      </c>
      <c r="B973" s="304">
        <f t="shared" ca="1" si="442"/>
        <v>35.825100000001029</v>
      </c>
      <c r="D973" s="306">
        <f t="shared" ca="1" si="443"/>
        <v>-0.42712991153751129</v>
      </c>
      <c r="E973" s="307">
        <f t="shared" ca="1" si="444"/>
        <v>-2.3696743512239484</v>
      </c>
      <c r="F973" s="304">
        <f t="shared" ca="1" si="445"/>
        <v>2.4078613938885027</v>
      </c>
      <c r="G973" s="306">
        <f t="shared" ca="1" si="446"/>
        <v>7.220773325204771</v>
      </c>
      <c r="H973" s="307">
        <f t="shared" ca="1" si="447"/>
        <v>-125.78216261317459</v>
      </c>
      <c r="I973" s="304">
        <f t="shared" ca="1" si="448"/>
        <v>125.98925350624586</v>
      </c>
      <c r="J973" s="306">
        <f t="shared" ca="1" si="449"/>
        <v>468.65916031958193</v>
      </c>
      <c r="K973" s="307">
        <f t="shared" ca="1" si="450"/>
        <v>-9.9379474614032262</v>
      </c>
      <c r="L973" s="304">
        <f t="shared" ca="1" si="435"/>
        <v>468.76451588318969</v>
      </c>
      <c r="M973" s="306">
        <f t="shared" ca="1" si="451"/>
        <v>-1.5134522912209609</v>
      </c>
      <c r="N973" s="304">
        <f t="shared" ca="1" si="452"/>
        <v>-86.714428781365427</v>
      </c>
      <c r="P973" s="310">
        <f t="shared" ca="1" si="453"/>
        <v>23</v>
      </c>
      <c r="Q973" s="304">
        <f t="shared" ca="1" si="454"/>
        <v>0</v>
      </c>
      <c r="R973" s="306">
        <f t="shared" ca="1" si="455"/>
        <v>0</v>
      </c>
      <c r="S973" s="307">
        <f t="shared" ca="1" si="456"/>
        <v>7.9789999999999939</v>
      </c>
      <c r="T973" s="304">
        <f t="shared" ca="1" si="436"/>
        <v>78.273989999999941</v>
      </c>
      <c r="U973" s="311">
        <f t="shared" ca="1" si="437"/>
        <v>0</v>
      </c>
      <c r="V973" s="306">
        <f t="shared" ca="1" si="438"/>
        <v>1.2262180037869042</v>
      </c>
      <c r="W973" s="304">
        <f t="shared" ca="1" si="439"/>
        <v>59.464397933895242</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2.3412990909434415</v>
      </c>
      <c r="AH973" s="304">
        <f t="shared" ca="1" si="463"/>
        <v>-7.4525757776197628</v>
      </c>
    </row>
    <row r="974" spans="1:34" x14ac:dyDescent="0.2">
      <c r="A974" s="347">
        <f t="shared" ca="1" si="441"/>
        <v>1E-4</v>
      </c>
      <c r="B974" s="304">
        <f t="shared" ca="1" si="442"/>
        <v>35.825200000001033</v>
      </c>
      <c r="D974" s="306">
        <f t="shared" ca="1" si="443"/>
        <v>-0.42712871595099816</v>
      </c>
      <c r="E974" s="307">
        <f t="shared" ca="1" si="444"/>
        <v>-2.3696371487009067</v>
      </c>
      <c r="F974" s="304">
        <f t="shared" ca="1" si="445"/>
        <v>2.4078245692934757</v>
      </c>
      <c r="G974" s="306">
        <f t="shared" ca="1" si="446"/>
        <v>7.2207306123331758</v>
      </c>
      <c r="H974" s="307">
        <f t="shared" ca="1" si="447"/>
        <v>-125.78239957688946</v>
      </c>
      <c r="I974" s="304">
        <f t="shared" ca="1" si="448"/>
        <v>125.98948763248531</v>
      </c>
      <c r="J974" s="306">
        <f t="shared" ca="1" si="449"/>
        <v>468.65916031958193</v>
      </c>
      <c r="K974" s="307">
        <f t="shared" ca="1" si="450"/>
        <v>-9.9505256895127285</v>
      </c>
      <c r="L974" s="304">
        <f t="shared" ca="1" si="435"/>
        <v>468.7647827140529</v>
      </c>
      <c r="M974" s="306">
        <f t="shared" ca="1" si="451"/>
        <v>-1.5134527374778224</v>
      </c>
      <c r="N974" s="304">
        <f t="shared" ca="1" si="452"/>
        <v>-86.714454350000182</v>
      </c>
      <c r="P974" s="310">
        <f t="shared" ca="1" si="453"/>
        <v>23</v>
      </c>
      <c r="Q974" s="304">
        <f t="shared" ca="1" si="454"/>
        <v>0</v>
      </c>
      <c r="R974" s="306">
        <f t="shared" ca="1" si="455"/>
        <v>0</v>
      </c>
      <c r="S974" s="307">
        <f t="shared" ca="1" si="456"/>
        <v>7.9789999999999939</v>
      </c>
      <c r="T974" s="304">
        <f t="shared" ca="1" si="436"/>
        <v>78.273989999999941</v>
      </c>
      <c r="U974" s="311">
        <f t="shared" ca="1" si="437"/>
        <v>0</v>
      </c>
      <c r="V974" s="306">
        <f t="shared" ca="1" si="438"/>
        <v>1.2262195461532319</v>
      </c>
      <c r="W974" s="304">
        <f t="shared" ca="1" si="439"/>
        <v>59.464693735888339</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2.341262268999202</v>
      </c>
      <c r="AH974" s="304">
        <f t="shared" ca="1" si="463"/>
        <v>-7.4526128504693929</v>
      </c>
    </row>
    <row r="975" spans="1:34" x14ac:dyDescent="0.2">
      <c r="A975" s="347">
        <f t="shared" ca="1" si="441"/>
        <v>1E-4</v>
      </c>
      <c r="B975" s="304">
        <f t="shared" ca="1" si="442"/>
        <v>35.825300000001036</v>
      </c>
      <c r="D975" s="306">
        <f t="shared" ca="1" si="443"/>
        <v>-0.42712752034701279</v>
      </c>
      <c r="E975" s="307">
        <f t="shared" ca="1" si="444"/>
        <v>-2.3695999464638282</v>
      </c>
      <c r="F975" s="304">
        <f t="shared" ca="1" si="445"/>
        <v>2.40778774498899</v>
      </c>
      <c r="G975" s="306">
        <f t="shared" ca="1" si="446"/>
        <v>7.220687899581141</v>
      </c>
      <c r="H975" s="307">
        <f t="shared" ca="1" si="447"/>
        <v>-125.78263653688411</v>
      </c>
      <c r="I975" s="304">
        <f t="shared" ca="1" si="448"/>
        <v>125.98972175504259</v>
      </c>
      <c r="J975" s="306">
        <f t="shared" ca="1" si="449"/>
        <v>468.65916031958193</v>
      </c>
      <c r="K975" s="307">
        <f t="shared" ca="1" si="450"/>
        <v>-9.9631039413184173</v>
      </c>
      <c r="L975" s="304">
        <f t="shared" ca="1" si="435"/>
        <v>468.7650498827756</v>
      </c>
      <c r="M975" s="306">
        <f t="shared" ca="1" si="451"/>
        <v>-1.5134531837303855</v>
      </c>
      <c r="N975" s="304">
        <f t="shared" ca="1" si="452"/>
        <v>-86.714479918388633</v>
      </c>
      <c r="P975" s="310">
        <f t="shared" ca="1" si="453"/>
        <v>23</v>
      </c>
      <c r="Q975" s="304">
        <f t="shared" ca="1" si="454"/>
        <v>0</v>
      </c>
      <c r="R975" s="306">
        <f t="shared" ca="1" si="455"/>
        <v>0</v>
      </c>
      <c r="S975" s="307">
        <f t="shared" ca="1" si="456"/>
        <v>7.9789999999999939</v>
      </c>
      <c r="T975" s="304">
        <f t="shared" ca="1" si="436"/>
        <v>78.273989999999941</v>
      </c>
      <c r="U975" s="311">
        <f t="shared" ca="1" si="437"/>
        <v>0</v>
      </c>
      <c r="V975" s="306">
        <f t="shared" ca="1" si="438"/>
        <v>1.226221088524406</v>
      </c>
      <c r="W975" s="304">
        <f t="shared" ca="1" si="439"/>
        <v>59.464989535607288</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2.3412254473356073</v>
      </c>
      <c r="AH975" s="304">
        <f t="shared" ca="1" si="463"/>
        <v>-7.452649923034012</v>
      </c>
    </row>
    <row r="976" spans="1:34" x14ac:dyDescent="0.2">
      <c r="A976" s="347">
        <f t="shared" ca="1" si="441"/>
        <v>1E-4</v>
      </c>
      <c r="B976" s="304">
        <f t="shared" ca="1" si="442"/>
        <v>35.825400000001039</v>
      </c>
      <c r="D976" s="306">
        <f t="shared" ca="1" si="443"/>
        <v>-0.42712632472555562</v>
      </c>
      <c r="E976" s="307">
        <f t="shared" ca="1" si="444"/>
        <v>-2.3695627445127192</v>
      </c>
      <c r="F976" s="304">
        <f t="shared" ca="1" si="445"/>
        <v>2.4077509209750518</v>
      </c>
      <c r="G976" s="306">
        <f t="shared" ca="1" si="446"/>
        <v>7.2206451869486683</v>
      </c>
      <c r="H976" s="307">
        <f t="shared" ca="1" si="447"/>
        <v>-125.78287349315856</v>
      </c>
      <c r="I976" s="304">
        <f t="shared" ca="1" si="448"/>
        <v>125.98995587391774</v>
      </c>
      <c r="J976" s="306">
        <f t="shared" ca="1" si="449"/>
        <v>468.65916031958193</v>
      </c>
      <c r="K976" s="307">
        <f t="shared" ca="1" si="450"/>
        <v>-9.9756822168199193</v>
      </c>
      <c r="L976" s="304">
        <f t="shared" ca="1" si="435"/>
        <v>468.7653173893591</v>
      </c>
      <c r="M976" s="306">
        <f t="shared" ca="1" si="451"/>
        <v>-1.5134536299786505</v>
      </c>
      <c r="N976" s="304">
        <f t="shared" ca="1" si="452"/>
        <v>-86.71450548653084</v>
      </c>
      <c r="P976" s="310">
        <f t="shared" ca="1" si="453"/>
        <v>23</v>
      </c>
      <c r="Q976" s="304">
        <f t="shared" ca="1" si="454"/>
        <v>0</v>
      </c>
      <c r="R976" s="306">
        <f t="shared" ca="1" si="455"/>
        <v>0</v>
      </c>
      <c r="S976" s="307">
        <f t="shared" ca="1" si="456"/>
        <v>7.9789999999999939</v>
      </c>
      <c r="T976" s="304">
        <f t="shared" ca="1" si="436"/>
        <v>78.273989999999941</v>
      </c>
      <c r="U976" s="311">
        <f t="shared" ca="1" si="437"/>
        <v>0</v>
      </c>
      <c r="V976" s="306">
        <f t="shared" ca="1" si="438"/>
        <v>1.2262226309004272</v>
      </c>
      <c r="W976" s="304">
        <f t="shared" ca="1" si="439"/>
        <v>59.465285333052115</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2.3411886259526629</v>
      </c>
      <c r="AH976" s="304">
        <f t="shared" ca="1" si="463"/>
        <v>-7.4526869953136146</v>
      </c>
    </row>
    <row r="977" spans="1:34" x14ac:dyDescent="0.2">
      <c r="A977" s="347">
        <f t="shared" ca="1" si="441"/>
        <v>1E-4</v>
      </c>
      <c r="B977" s="304">
        <f t="shared" ca="1" si="442"/>
        <v>35.825500000001043</v>
      </c>
      <c r="D977" s="306">
        <f t="shared" ca="1" si="443"/>
        <v>-0.42712512908662625</v>
      </c>
      <c r="E977" s="307">
        <f t="shared" ca="1" si="444"/>
        <v>-2.3695255428475752</v>
      </c>
      <c r="F977" s="304">
        <f t="shared" ca="1" si="445"/>
        <v>2.4077140972516573</v>
      </c>
      <c r="G977" s="306">
        <f t="shared" ca="1" si="446"/>
        <v>7.2206024744357595</v>
      </c>
      <c r="H977" s="307">
        <f t="shared" ca="1" si="447"/>
        <v>-125.78311044571285</v>
      </c>
      <c r="I977" s="304">
        <f t="shared" ca="1" si="448"/>
        <v>125.99018998911076</v>
      </c>
      <c r="J977" s="306">
        <f t="shared" ca="1" si="449"/>
        <v>468.65916031958193</v>
      </c>
      <c r="K977" s="307">
        <f t="shared" ca="1" si="450"/>
        <v>-9.9882605160168634</v>
      </c>
      <c r="L977" s="304">
        <f t="shared" ca="1" si="435"/>
        <v>468.7655852338047</v>
      </c>
      <c r="M977" s="306">
        <f t="shared" ca="1" si="451"/>
        <v>-1.5134540762226174</v>
      </c>
      <c r="N977" s="304">
        <f t="shared" ca="1" si="452"/>
        <v>-86.714531054426772</v>
      </c>
      <c r="P977" s="310">
        <f t="shared" ca="1" si="453"/>
        <v>23</v>
      </c>
      <c r="Q977" s="304">
        <f t="shared" ca="1" si="454"/>
        <v>0</v>
      </c>
      <c r="R977" s="306">
        <f t="shared" ca="1" si="455"/>
        <v>0</v>
      </c>
      <c r="S977" s="307">
        <f t="shared" ca="1" si="456"/>
        <v>7.9789999999999939</v>
      </c>
      <c r="T977" s="304">
        <f t="shared" ca="1" si="436"/>
        <v>78.273989999999941</v>
      </c>
      <c r="U977" s="311">
        <f t="shared" ca="1" si="437"/>
        <v>0</v>
      </c>
      <c r="V977" s="306">
        <f t="shared" ca="1" si="438"/>
        <v>1.2262241732812946</v>
      </c>
      <c r="W977" s="304">
        <f t="shared" ca="1" si="439"/>
        <v>59.46558112822278</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2.3411518048503632</v>
      </c>
      <c r="AH977" s="304">
        <f t="shared" ca="1" si="463"/>
        <v>-7.4527240673082042</v>
      </c>
    </row>
    <row r="978" spans="1:34" x14ac:dyDescent="0.2">
      <c r="A978" s="347">
        <f t="shared" ca="1" si="441"/>
        <v>1E-4</v>
      </c>
      <c r="B978" s="304">
        <f t="shared" ca="1" si="442"/>
        <v>35.825600000001046</v>
      </c>
      <c r="D978" s="306">
        <f t="shared" ca="1" si="443"/>
        <v>-0.42712393343022509</v>
      </c>
      <c r="E978" s="307">
        <f t="shared" ca="1" si="444"/>
        <v>-2.3694883414684043</v>
      </c>
      <c r="F978" s="304">
        <f t="shared" ca="1" si="445"/>
        <v>2.4076772738188139</v>
      </c>
      <c r="G978" s="306">
        <f t="shared" ca="1" si="446"/>
        <v>7.2205597620424165</v>
      </c>
      <c r="H978" s="307">
        <f t="shared" ca="1" si="447"/>
        <v>-125.78334739454699</v>
      </c>
      <c r="I978" s="304">
        <f t="shared" ca="1" si="448"/>
        <v>125.99042410062169</v>
      </c>
      <c r="J978" s="306">
        <f t="shared" ca="1" si="449"/>
        <v>468.65916031958193</v>
      </c>
      <c r="K978" s="307">
        <f t="shared" ca="1" si="450"/>
        <v>-10.000838838908876</v>
      </c>
      <c r="L978" s="304">
        <f t="shared" ca="1" si="435"/>
        <v>468.76585341611371</v>
      </c>
      <c r="M978" s="306">
        <f t="shared" ca="1" si="451"/>
        <v>-1.5134545224622862</v>
      </c>
      <c r="N978" s="304">
        <f t="shared" ca="1" si="452"/>
        <v>-86.714556622076444</v>
      </c>
      <c r="P978" s="310">
        <f t="shared" ca="1" si="453"/>
        <v>23</v>
      </c>
      <c r="Q978" s="304">
        <f t="shared" ca="1" si="454"/>
        <v>0</v>
      </c>
      <c r="R978" s="306">
        <f t="shared" ca="1" si="455"/>
        <v>0</v>
      </c>
      <c r="S978" s="307">
        <f t="shared" ca="1" si="456"/>
        <v>7.9789999999999939</v>
      </c>
      <c r="T978" s="304">
        <f t="shared" ca="1" si="436"/>
        <v>78.273989999999941</v>
      </c>
      <c r="U978" s="311">
        <f t="shared" ca="1" si="437"/>
        <v>0</v>
      </c>
      <c r="V978" s="306">
        <f t="shared" ca="1" si="438"/>
        <v>1.2262257156670089</v>
      </c>
      <c r="W978" s="304">
        <f t="shared" ca="1" si="439"/>
        <v>59.46587692111931</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2.3411149840287164</v>
      </c>
      <c r="AH978" s="304">
        <f t="shared" ca="1" si="463"/>
        <v>-7.4527611390177748</v>
      </c>
    </row>
    <row r="979" spans="1:34" x14ac:dyDescent="0.2">
      <c r="A979" s="347">
        <f t="shared" ca="1" si="441"/>
        <v>1E-4</v>
      </c>
      <c r="B979" s="304">
        <f t="shared" ca="1" si="442"/>
        <v>35.825700000001049</v>
      </c>
      <c r="D979" s="306">
        <f t="shared" ca="1" si="443"/>
        <v>-0.42712273775635323</v>
      </c>
      <c r="E979" s="307">
        <f t="shared" ca="1" si="444"/>
        <v>-2.3694511403752001</v>
      </c>
      <c r="F979" s="304">
        <f t="shared" ca="1" si="445"/>
        <v>2.4076404506765163</v>
      </c>
      <c r="G979" s="306">
        <f t="shared" ca="1" si="446"/>
        <v>7.2205170497686408</v>
      </c>
      <c r="H979" s="307">
        <f t="shared" ca="1" si="447"/>
        <v>-125.78358433966103</v>
      </c>
      <c r="I979" s="304">
        <f t="shared" ca="1" si="448"/>
        <v>125.9906582084506</v>
      </c>
      <c r="J979" s="306">
        <f t="shared" ca="1" si="449"/>
        <v>468.65916031958193</v>
      </c>
      <c r="K979" s="307">
        <f t="shared" ca="1" si="450"/>
        <v>-10.013417185495587</v>
      </c>
      <c r="L979" s="304">
        <f t="shared" ca="1" si="435"/>
        <v>468.7661219362875</v>
      </c>
      <c r="M979" s="306">
        <f t="shared" ca="1" si="451"/>
        <v>-1.5134549686976568</v>
      </c>
      <c r="N979" s="304">
        <f t="shared" ca="1" si="452"/>
        <v>-86.714582189479856</v>
      </c>
      <c r="P979" s="310">
        <f t="shared" ca="1" si="453"/>
        <v>23</v>
      </c>
      <c r="Q979" s="304">
        <f t="shared" ca="1" si="454"/>
        <v>0</v>
      </c>
      <c r="R979" s="306">
        <f t="shared" ca="1" si="455"/>
        <v>0</v>
      </c>
      <c r="S979" s="307">
        <f t="shared" ca="1" si="456"/>
        <v>7.9789999999999939</v>
      </c>
      <c r="T979" s="304">
        <f t="shared" ca="1" si="436"/>
        <v>78.273989999999941</v>
      </c>
      <c r="U979" s="311">
        <f t="shared" ca="1" si="437"/>
        <v>0</v>
      </c>
      <c r="V979" s="306">
        <f t="shared" ca="1" si="438"/>
        <v>1.2262272580575695</v>
      </c>
      <c r="W979" s="304">
        <f t="shared" ca="1" si="439"/>
        <v>59.466172711741706</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2.341078163487718</v>
      </c>
      <c r="AH979" s="304">
        <f t="shared" ca="1" si="463"/>
        <v>-7.4527982104423307</v>
      </c>
    </row>
    <row r="980" spans="1:34" x14ac:dyDescent="0.2">
      <c r="A980" s="347">
        <f t="shared" ca="1" si="441"/>
        <v>1E-4</v>
      </c>
      <c r="B980" s="304">
        <f t="shared" ca="1" si="442"/>
        <v>35.825800000001053</v>
      </c>
      <c r="D980" s="306">
        <f t="shared" ca="1" si="443"/>
        <v>-0.42712154206501146</v>
      </c>
      <c r="E980" s="307">
        <f t="shared" ca="1" si="444"/>
        <v>-2.3694139395679636</v>
      </c>
      <c r="F980" s="304">
        <f t="shared" ca="1" si="445"/>
        <v>2.4076036278247654</v>
      </c>
      <c r="G980" s="306">
        <f t="shared" ca="1" si="446"/>
        <v>7.2204743376144345</v>
      </c>
      <c r="H980" s="307">
        <f t="shared" ca="1" si="447"/>
        <v>-125.78382128105498</v>
      </c>
      <c r="I980" s="304">
        <f t="shared" ca="1" si="448"/>
        <v>125.99089231259745</v>
      </c>
      <c r="J980" s="306">
        <f t="shared" ca="1" si="449"/>
        <v>468.65916031958193</v>
      </c>
      <c r="K980" s="307">
        <f t="shared" ca="1" si="450"/>
        <v>-10.025995555776623</v>
      </c>
      <c r="L980" s="304">
        <f t="shared" ca="1" si="435"/>
        <v>468.76639079432738</v>
      </c>
      <c r="M980" s="306">
        <f t="shared" ca="1" si="451"/>
        <v>-1.5134554149287296</v>
      </c>
      <c r="N980" s="304">
        <f t="shared" ca="1" si="452"/>
        <v>-86.714607756637008</v>
      </c>
      <c r="P980" s="310">
        <f t="shared" ca="1" si="453"/>
        <v>23</v>
      </c>
      <c r="Q980" s="304">
        <f t="shared" ca="1" si="454"/>
        <v>0</v>
      </c>
      <c r="R980" s="306">
        <f t="shared" ca="1" si="455"/>
        <v>0</v>
      </c>
      <c r="S980" s="307">
        <f t="shared" ca="1" si="456"/>
        <v>7.9789999999999939</v>
      </c>
      <c r="T980" s="304">
        <f t="shared" ca="1" si="436"/>
        <v>78.273989999999941</v>
      </c>
      <c r="U980" s="311">
        <f t="shared" ca="1" si="437"/>
        <v>0</v>
      </c>
      <c r="V980" s="306">
        <f t="shared" ca="1" si="438"/>
        <v>1.2262288004529769</v>
      </c>
      <c r="W980" s="304">
        <f t="shared" ca="1" si="439"/>
        <v>59.466468500089945</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2.3410413432273689</v>
      </c>
      <c r="AH980" s="304">
        <f t="shared" ca="1" si="463"/>
        <v>-7.452835281581871</v>
      </c>
    </row>
    <row r="981" spans="1:34" x14ac:dyDescent="0.2">
      <c r="A981" s="347">
        <f t="shared" ca="1" si="441"/>
        <v>1E-4</v>
      </c>
      <c r="B981" s="304">
        <f t="shared" ca="1" si="442"/>
        <v>35.825900000001056</v>
      </c>
      <c r="D981" s="306">
        <f t="shared" ca="1" si="443"/>
        <v>-0.427120346356199</v>
      </c>
      <c r="E981" s="307">
        <f t="shared" ca="1" si="444"/>
        <v>-2.3693767390466984</v>
      </c>
      <c r="F981" s="304">
        <f t="shared" ca="1" si="445"/>
        <v>2.4075668052635644</v>
      </c>
      <c r="G981" s="306">
        <f t="shared" ca="1" si="446"/>
        <v>7.2204316255797991</v>
      </c>
      <c r="H981" s="307">
        <f t="shared" ca="1" si="447"/>
        <v>-125.78405821872889</v>
      </c>
      <c r="I981" s="304">
        <f t="shared" ca="1" si="448"/>
        <v>125.99112641306233</v>
      </c>
      <c r="J981" s="306">
        <f t="shared" ca="1" si="449"/>
        <v>468.65916031958193</v>
      </c>
      <c r="K981" s="307">
        <f t="shared" ca="1" si="450"/>
        <v>-10.038573949751612</v>
      </c>
      <c r="L981" s="304">
        <f t="shared" ca="1" si="435"/>
        <v>468.76665999023464</v>
      </c>
      <c r="M981" s="306">
        <f t="shared" ca="1" si="451"/>
        <v>-1.5134558611555047</v>
      </c>
      <c r="N981" s="304">
        <f t="shared" ca="1" si="452"/>
        <v>-86.714633323547929</v>
      </c>
      <c r="P981" s="310">
        <f t="shared" ca="1" si="453"/>
        <v>23</v>
      </c>
      <c r="Q981" s="304">
        <f t="shared" ca="1" si="454"/>
        <v>0</v>
      </c>
      <c r="R981" s="306">
        <f t="shared" ca="1" si="455"/>
        <v>0</v>
      </c>
      <c r="S981" s="307">
        <f t="shared" ca="1" si="456"/>
        <v>7.9789999999999939</v>
      </c>
      <c r="T981" s="304">
        <f t="shared" ca="1" si="436"/>
        <v>78.273989999999941</v>
      </c>
      <c r="U981" s="311">
        <f t="shared" ca="1" si="437"/>
        <v>0</v>
      </c>
      <c r="V981" s="306">
        <f t="shared" ca="1" si="438"/>
        <v>1.2262303428532304</v>
      </c>
      <c r="W981" s="304">
        <f t="shared" ca="1" si="439"/>
        <v>59.466764286164029</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2.3410045232476708</v>
      </c>
      <c r="AH981" s="304">
        <f t="shared" ca="1" si="463"/>
        <v>-7.452872352436394</v>
      </c>
    </row>
    <row r="982" spans="1:34" x14ac:dyDescent="0.2">
      <c r="A982" s="347">
        <f t="shared" ca="1" si="441"/>
        <v>1E-4</v>
      </c>
      <c r="B982" s="304">
        <f t="shared" ca="1" si="442"/>
        <v>35.826000000001059</v>
      </c>
      <c r="D982" s="306">
        <f t="shared" ca="1" si="443"/>
        <v>-0.42711915062991496</v>
      </c>
      <c r="E982" s="307">
        <f t="shared" ca="1" si="444"/>
        <v>-2.3693395388114036</v>
      </c>
      <c r="F982" s="304">
        <f t="shared" ca="1" si="445"/>
        <v>2.4075299829929127</v>
      </c>
      <c r="G982" s="306">
        <f t="shared" ca="1" si="446"/>
        <v>7.2203889136647366</v>
      </c>
      <c r="H982" s="307">
        <f t="shared" ca="1" si="447"/>
        <v>-125.78429515268277</v>
      </c>
      <c r="I982" s="304">
        <f t="shared" ca="1" si="448"/>
        <v>125.99136050984522</v>
      </c>
      <c r="J982" s="306">
        <f t="shared" ca="1" si="449"/>
        <v>468.65916031958193</v>
      </c>
      <c r="K982" s="307">
        <f t="shared" ca="1" si="450"/>
        <v>-10.051152367420183</v>
      </c>
      <c r="L982" s="304">
        <f t="shared" ca="1" si="435"/>
        <v>468.76692952401055</v>
      </c>
      <c r="M982" s="306">
        <f t="shared" ca="1" si="451"/>
        <v>-1.5134563073779816</v>
      </c>
      <c r="N982" s="304">
        <f t="shared" ca="1" si="452"/>
        <v>-86.71465889021259</v>
      </c>
      <c r="P982" s="310">
        <f t="shared" ca="1" si="453"/>
        <v>23</v>
      </c>
      <c r="Q982" s="304">
        <f t="shared" ca="1" si="454"/>
        <v>0</v>
      </c>
      <c r="R982" s="306">
        <f t="shared" ca="1" si="455"/>
        <v>0</v>
      </c>
      <c r="S982" s="307">
        <f t="shared" ca="1" si="456"/>
        <v>7.9789999999999939</v>
      </c>
      <c r="T982" s="304">
        <f t="shared" ca="1" si="436"/>
        <v>78.273989999999941</v>
      </c>
      <c r="U982" s="311">
        <f t="shared" ca="1" si="437"/>
        <v>0</v>
      </c>
      <c r="V982" s="306">
        <f t="shared" ca="1" si="438"/>
        <v>1.2262318852583307</v>
      </c>
      <c r="W982" s="304">
        <f t="shared" ca="1" si="439"/>
        <v>59.467060069963956</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2.340967703548622</v>
      </c>
      <c r="AH982" s="304">
        <f t="shared" ca="1" si="463"/>
        <v>-7.4529094230058996</v>
      </c>
    </row>
    <row r="983" spans="1:34" x14ac:dyDescent="0.2">
      <c r="A983" s="347">
        <f t="shared" ca="1" si="441"/>
        <v>1E-4</v>
      </c>
      <c r="B983" s="304">
        <f t="shared" ca="1" si="442"/>
        <v>35.826100000001063</v>
      </c>
      <c r="D983" s="306">
        <f t="shared" ca="1" si="443"/>
        <v>-0.4271179548861635</v>
      </c>
      <c r="E983" s="307">
        <f t="shared" ca="1" si="444"/>
        <v>-2.3693023388620782</v>
      </c>
      <c r="F983" s="304">
        <f t="shared" ca="1" si="445"/>
        <v>2.4074931610128103</v>
      </c>
      <c r="G983" s="306">
        <f t="shared" ca="1" si="446"/>
        <v>7.2203462018692477</v>
      </c>
      <c r="H983" s="307">
        <f t="shared" ca="1" si="447"/>
        <v>-125.78453208291666</v>
      </c>
      <c r="I983" s="304">
        <f t="shared" ca="1" si="448"/>
        <v>125.99159460294618</v>
      </c>
      <c r="J983" s="306">
        <f t="shared" ca="1" si="449"/>
        <v>468.65916031958193</v>
      </c>
      <c r="K983" s="307">
        <f t="shared" ca="1" si="450"/>
        <v>-10.063730808781964</v>
      </c>
      <c r="L983" s="304">
        <f t="shared" ca="1" si="435"/>
        <v>468.76719939565652</v>
      </c>
      <c r="M983" s="306">
        <f t="shared" ca="1" si="451"/>
        <v>-1.5134567535961609</v>
      </c>
      <c r="N983" s="304">
        <f t="shared" ca="1" si="452"/>
        <v>-86.714684456631005</v>
      </c>
      <c r="P983" s="310">
        <f t="shared" ca="1" si="453"/>
        <v>23</v>
      </c>
      <c r="Q983" s="304">
        <f t="shared" ca="1" si="454"/>
        <v>0</v>
      </c>
      <c r="R983" s="306">
        <f t="shared" ca="1" si="455"/>
        <v>0</v>
      </c>
      <c r="S983" s="307">
        <f t="shared" ca="1" si="456"/>
        <v>7.9789999999999939</v>
      </c>
      <c r="T983" s="304">
        <f t="shared" ca="1" si="436"/>
        <v>78.273989999999941</v>
      </c>
      <c r="U983" s="311">
        <f t="shared" ca="1" si="437"/>
        <v>0</v>
      </c>
      <c r="V983" s="306">
        <f t="shared" ca="1" si="438"/>
        <v>1.2262334276682774</v>
      </c>
      <c r="W983" s="304">
        <f t="shared" ca="1" si="439"/>
        <v>59.467355851489735</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2.3409308841302261</v>
      </c>
      <c r="AH983" s="304">
        <f t="shared" ca="1" si="463"/>
        <v>-7.4529464932903879</v>
      </c>
    </row>
    <row r="984" spans="1:34" x14ac:dyDescent="0.2">
      <c r="A984" s="347">
        <f t="shared" ca="1" si="441"/>
        <v>1E-4</v>
      </c>
      <c r="B984" s="304">
        <f t="shared" ca="1" si="442"/>
        <v>35.826200000001066</v>
      </c>
      <c r="D984" s="306">
        <f t="shared" ca="1" si="443"/>
        <v>-0.42711675912494224</v>
      </c>
      <c r="E984" s="307">
        <f t="shared" ca="1" si="444"/>
        <v>-2.3692651391987223</v>
      </c>
      <c r="F984" s="304">
        <f t="shared" ca="1" si="445"/>
        <v>2.4074563393232569</v>
      </c>
      <c r="G984" s="306">
        <f t="shared" ca="1" si="446"/>
        <v>7.2203034901933352</v>
      </c>
      <c r="H984" s="307">
        <f t="shared" ca="1" si="447"/>
        <v>-125.78476900943058</v>
      </c>
      <c r="I984" s="304">
        <f t="shared" ca="1" si="448"/>
        <v>125.99182869236522</v>
      </c>
      <c r="J984" s="306">
        <f t="shared" ca="1" si="449"/>
        <v>468.65916031958193</v>
      </c>
      <c r="K984" s="307">
        <f t="shared" ca="1" si="450"/>
        <v>-10.07630927383658</v>
      </c>
      <c r="L984" s="304">
        <f t="shared" ca="1" si="435"/>
        <v>468.76746960517386</v>
      </c>
      <c r="M984" s="306">
        <f t="shared" ca="1" si="451"/>
        <v>-1.5134571998100426</v>
      </c>
      <c r="N984" s="304">
        <f t="shared" ca="1" si="452"/>
        <v>-86.714710022803175</v>
      </c>
      <c r="P984" s="310">
        <f t="shared" ca="1" si="453"/>
        <v>23</v>
      </c>
      <c r="Q984" s="304">
        <f t="shared" ca="1" si="454"/>
        <v>0</v>
      </c>
      <c r="R984" s="306">
        <f t="shared" ca="1" si="455"/>
        <v>0</v>
      </c>
      <c r="S984" s="307">
        <f t="shared" ca="1" si="456"/>
        <v>7.9789999999999939</v>
      </c>
      <c r="T984" s="304">
        <f t="shared" ca="1" si="436"/>
        <v>78.273989999999941</v>
      </c>
      <c r="U984" s="311">
        <f t="shared" ca="1" si="437"/>
        <v>0</v>
      </c>
      <c r="V984" s="306">
        <f t="shared" ca="1" si="438"/>
        <v>1.2262349700830704</v>
      </c>
      <c r="W984" s="304">
        <f t="shared" ca="1" si="439"/>
        <v>59.467651630741351</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2.3408940649924794</v>
      </c>
      <c r="AH984" s="304">
        <f t="shared" ca="1" si="463"/>
        <v>-7.4529835632898589</v>
      </c>
    </row>
    <row r="985" spans="1:34" x14ac:dyDescent="0.2">
      <c r="A985" s="347">
        <f t="shared" ca="1" si="441"/>
        <v>1E-4</v>
      </c>
      <c r="B985" s="304">
        <f t="shared" ca="1" si="442"/>
        <v>35.826300000001069</v>
      </c>
      <c r="D985" s="306">
        <f t="shared" ca="1" si="443"/>
        <v>-0.42711556334625189</v>
      </c>
      <c r="E985" s="307">
        <f t="shared" ca="1" si="444"/>
        <v>-2.3692279398213394</v>
      </c>
      <c r="F985" s="304">
        <f t="shared" ca="1" si="445"/>
        <v>2.407419517924255</v>
      </c>
      <c r="G985" s="306">
        <f t="shared" ca="1" si="446"/>
        <v>7.2202607786370008</v>
      </c>
      <c r="H985" s="307">
        <f t="shared" ca="1" si="447"/>
        <v>-125.78500593222456</v>
      </c>
      <c r="I985" s="304">
        <f t="shared" ca="1" si="448"/>
        <v>125.99206277810238</v>
      </c>
      <c r="J985" s="306">
        <f t="shared" ca="1" si="449"/>
        <v>468.65916031958193</v>
      </c>
      <c r="K985" s="307">
        <f t="shared" ca="1" si="450"/>
        <v>-10.088887762583663</v>
      </c>
      <c r="L985" s="304">
        <f t="shared" ca="1" si="435"/>
        <v>468.76774015256382</v>
      </c>
      <c r="M985" s="306">
        <f t="shared" ca="1" si="451"/>
        <v>-1.5134576460196265</v>
      </c>
      <c r="N985" s="304">
        <f t="shared" ca="1" si="452"/>
        <v>-86.714735588729113</v>
      </c>
      <c r="P985" s="310">
        <f t="shared" ca="1" si="453"/>
        <v>23</v>
      </c>
      <c r="Q985" s="304">
        <f t="shared" ca="1" si="454"/>
        <v>0</v>
      </c>
      <c r="R985" s="306">
        <f t="shared" ca="1" si="455"/>
        <v>0</v>
      </c>
      <c r="S985" s="307">
        <f t="shared" ca="1" si="456"/>
        <v>7.9789999999999939</v>
      </c>
      <c r="T985" s="304">
        <f t="shared" ca="1" si="436"/>
        <v>78.273989999999941</v>
      </c>
      <c r="U985" s="311">
        <f t="shared" ca="1" si="437"/>
        <v>0</v>
      </c>
      <c r="V985" s="306">
        <f t="shared" ca="1" si="438"/>
        <v>1.2262365125027095</v>
      </c>
      <c r="W985" s="304">
        <f t="shared" ca="1" si="439"/>
        <v>59.467947407718796</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2.3408572461353874</v>
      </c>
      <c r="AH985" s="304">
        <f t="shared" ca="1" si="463"/>
        <v>-7.4530206330043107</v>
      </c>
    </row>
    <row r="986" spans="1:34" x14ac:dyDescent="0.2">
      <c r="A986" s="347">
        <f t="shared" ca="1" si="441"/>
        <v>1E-4</v>
      </c>
      <c r="B986" s="304">
        <f t="shared" ca="1" si="442"/>
        <v>35.826400000001072</v>
      </c>
      <c r="D986" s="306">
        <f t="shared" ca="1" si="443"/>
        <v>-0.42711436755009335</v>
      </c>
      <c r="E986" s="307">
        <f t="shared" ca="1" si="444"/>
        <v>-2.3691907407299286</v>
      </c>
      <c r="F986" s="304">
        <f t="shared" ca="1" si="445"/>
        <v>2.4073826968158065</v>
      </c>
      <c r="G986" s="306">
        <f t="shared" ca="1" si="446"/>
        <v>7.2202180672002454</v>
      </c>
      <c r="H986" s="307">
        <f t="shared" ca="1" si="447"/>
        <v>-125.78524285129863</v>
      </c>
      <c r="I986" s="304">
        <f t="shared" ca="1" si="448"/>
        <v>125.99229686015768</v>
      </c>
      <c r="J986" s="306">
        <f t="shared" ca="1" si="449"/>
        <v>468.65916031958193</v>
      </c>
      <c r="K986" s="307">
        <f t="shared" ca="1" si="450"/>
        <v>-10.10146627502284</v>
      </c>
      <c r="L986" s="304">
        <f t="shared" ca="1" si="435"/>
        <v>468.76801103782776</v>
      </c>
      <c r="M986" s="306">
        <f t="shared" ca="1" si="451"/>
        <v>-1.513458092224913</v>
      </c>
      <c r="N986" s="304">
        <f t="shared" ca="1" si="452"/>
        <v>-86.714761154408833</v>
      </c>
      <c r="P986" s="310">
        <f t="shared" ca="1" si="453"/>
        <v>23</v>
      </c>
      <c r="Q986" s="304">
        <f t="shared" ca="1" si="454"/>
        <v>0</v>
      </c>
      <c r="R986" s="306">
        <f t="shared" ca="1" si="455"/>
        <v>0</v>
      </c>
      <c r="S986" s="307">
        <f t="shared" ca="1" si="456"/>
        <v>7.9789999999999939</v>
      </c>
      <c r="T986" s="304">
        <f t="shared" ca="1" si="436"/>
        <v>78.273989999999941</v>
      </c>
      <c r="U986" s="311">
        <f t="shared" ca="1" si="437"/>
        <v>0</v>
      </c>
      <c r="V986" s="306">
        <f t="shared" ca="1" si="438"/>
        <v>1.2262380549271952</v>
      </c>
      <c r="W986" s="304">
        <f t="shared" ca="1" si="439"/>
        <v>59.468243182422064</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2.3408204275589464</v>
      </c>
      <c r="AH986" s="304">
        <f t="shared" ca="1" si="463"/>
        <v>-7.4530577024337434</v>
      </c>
    </row>
    <row r="987" spans="1:34" x14ac:dyDescent="0.2">
      <c r="A987" s="347">
        <f t="shared" ca="1" si="441"/>
        <v>1E-4</v>
      </c>
      <c r="B987" s="304">
        <f t="shared" ca="1" si="442"/>
        <v>35.826500000001076</v>
      </c>
      <c r="D987" s="306">
        <f t="shared" ca="1" si="443"/>
        <v>-0.42711317173646574</v>
      </c>
      <c r="E987" s="307">
        <f t="shared" ca="1" si="444"/>
        <v>-2.3691535419244909</v>
      </c>
      <c r="F987" s="304">
        <f t="shared" ca="1" si="445"/>
        <v>2.4073458759979101</v>
      </c>
      <c r="G987" s="306">
        <f t="shared" ca="1" si="446"/>
        <v>7.2201753558830717</v>
      </c>
      <c r="H987" s="307">
        <f t="shared" ca="1" si="447"/>
        <v>-125.78547976665283</v>
      </c>
      <c r="I987" s="304">
        <f t="shared" ca="1" si="448"/>
        <v>125.99253093853115</v>
      </c>
      <c r="J987" s="306">
        <f t="shared" ca="1" si="449"/>
        <v>468.65916031958193</v>
      </c>
      <c r="K987" s="307">
        <f t="shared" ca="1" si="450"/>
        <v>-10.114044811153738</v>
      </c>
      <c r="L987" s="304">
        <f t="shared" ca="1" si="435"/>
        <v>468.768282260967</v>
      </c>
      <c r="M987" s="306">
        <f t="shared" ca="1" si="451"/>
        <v>-1.5134585384259018</v>
      </c>
      <c r="N987" s="304">
        <f t="shared" ca="1" si="452"/>
        <v>-86.714786719842309</v>
      </c>
      <c r="P987" s="310">
        <f t="shared" ca="1" si="453"/>
        <v>23</v>
      </c>
      <c r="Q987" s="304">
        <f t="shared" ca="1" si="454"/>
        <v>0</v>
      </c>
      <c r="R987" s="306">
        <f t="shared" ca="1" si="455"/>
        <v>0</v>
      </c>
      <c r="S987" s="307">
        <f t="shared" ca="1" si="456"/>
        <v>7.9789999999999939</v>
      </c>
      <c r="T987" s="304">
        <f t="shared" ca="1" si="436"/>
        <v>78.273989999999941</v>
      </c>
      <c r="U987" s="311">
        <f t="shared" ca="1" si="437"/>
        <v>0</v>
      </c>
      <c r="V987" s="306">
        <f t="shared" ca="1" si="438"/>
        <v>1.2262395973565272</v>
      </c>
      <c r="W987" s="304">
        <f t="shared" ca="1" si="439"/>
        <v>59.468538954851176</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2.3407836092631591</v>
      </c>
      <c r="AH987" s="304">
        <f t="shared" ca="1" si="463"/>
        <v>-7.4530947715781561</v>
      </c>
    </row>
    <row r="988" spans="1:34" x14ac:dyDescent="0.2">
      <c r="A988" s="347">
        <f t="shared" ca="1" si="441"/>
        <v>1E-4</v>
      </c>
      <c r="B988" s="304">
        <f t="shared" ca="1" si="442"/>
        <v>35.826600000001079</v>
      </c>
      <c r="D988" s="306">
        <f t="shared" ca="1" si="443"/>
        <v>-0.42711197590537175</v>
      </c>
      <c r="E988" s="307">
        <f t="shared" ca="1" si="444"/>
        <v>-2.3691163434050218</v>
      </c>
      <c r="F988" s="304">
        <f t="shared" ca="1" si="445"/>
        <v>2.4073090554705625</v>
      </c>
      <c r="G988" s="306">
        <f t="shared" ca="1" si="446"/>
        <v>7.2201326446854814</v>
      </c>
      <c r="H988" s="307">
        <f t="shared" ca="1" si="447"/>
        <v>-125.78571667828717</v>
      </c>
      <c r="I988" s="304">
        <f t="shared" ca="1" si="448"/>
        <v>125.99276501322282</v>
      </c>
      <c r="J988" s="306">
        <f t="shared" ca="1" si="449"/>
        <v>468.65916031958193</v>
      </c>
      <c r="K988" s="307">
        <f t="shared" ca="1" si="450"/>
        <v>-10.126623370975985</v>
      </c>
      <c r="L988" s="304">
        <f t="shared" ca="1" si="435"/>
        <v>468.76855382198278</v>
      </c>
      <c r="M988" s="306">
        <f t="shared" ca="1" si="451"/>
        <v>-1.5134589846225934</v>
      </c>
      <c r="N988" s="304">
        <f t="shared" ca="1" si="452"/>
        <v>-86.714812285029566</v>
      </c>
      <c r="P988" s="310">
        <f t="shared" ca="1" si="453"/>
        <v>23</v>
      </c>
      <c r="Q988" s="304">
        <f t="shared" ca="1" si="454"/>
        <v>0</v>
      </c>
      <c r="R988" s="306">
        <f t="shared" ca="1" si="455"/>
        <v>0</v>
      </c>
      <c r="S988" s="307">
        <f t="shared" ca="1" si="456"/>
        <v>7.9789999999999939</v>
      </c>
      <c r="T988" s="304">
        <f t="shared" ca="1" si="436"/>
        <v>78.273989999999941</v>
      </c>
      <c r="U988" s="311">
        <f t="shared" ca="1" si="437"/>
        <v>0</v>
      </c>
      <c r="V988" s="306">
        <f t="shared" ca="1" si="438"/>
        <v>1.2262411397907051</v>
      </c>
      <c r="W988" s="304">
        <f t="shared" ca="1" si="439"/>
        <v>59.468834725006111</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2.3407467912480264</v>
      </c>
      <c r="AH988" s="304">
        <f t="shared" ca="1" si="463"/>
        <v>-7.4531318404375515</v>
      </c>
    </row>
    <row r="989" spans="1:34" x14ac:dyDescent="0.2">
      <c r="A989" s="347">
        <f t="shared" ca="1" si="441"/>
        <v>1E-4</v>
      </c>
      <c r="B989" s="304">
        <f t="shared" ca="1" si="442"/>
        <v>35.826700000001082</v>
      </c>
      <c r="D989" s="306">
        <f t="shared" ca="1" si="443"/>
        <v>-0.42711078005680869</v>
      </c>
      <c r="E989" s="307">
        <f t="shared" ca="1" si="444"/>
        <v>-2.3690791451715283</v>
      </c>
      <c r="F989" s="304">
        <f t="shared" ca="1" si="445"/>
        <v>2.407272235233771</v>
      </c>
      <c r="G989" s="306">
        <f t="shared" ca="1" si="446"/>
        <v>7.2200899336074755</v>
      </c>
      <c r="H989" s="307">
        <f t="shared" ca="1" si="447"/>
        <v>-125.78595358620169</v>
      </c>
      <c r="I989" s="304">
        <f t="shared" ca="1" si="448"/>
        <v>125.99299908423271</v>
      </c>
      <c r="J989" s="306">
        <f t="shared" ca="1" si="449"/>
        <v>468.65916031958193</v>
      </c>
      <c r="K989" s="307">
        <f t="shared" ca="1" si="450"/>
        <v>-10.139201954489209</v>
      </c>
      <c r="L989" s="304">
        <f t="shared" ca="1" si="435"/>
        <v>468.76882572087652</v>
      </c>
      <c r="M989" s="306">
        <f t="shared" ca="1" si="451"/>
        <v>-1.5134594308149873</v>
      </c>
      <c r="N989" s="304">
        <f t="shared" ca="1" si="452"/>
        <v>-86.714837849970579</v>
      </c>
      <c r="P989" s="310">
        <f t="shared" ca="1" si="453"/>
        <v>23</v>
      </c>
      <c r="Q989" s="304">
        <f t="shared" ca="1" si="454"/>
        <v>0</v>
      </c>
      <c r="R989" s="306">
        <f t="shared" ca="1" si="455"/>
        <v>0</v>
      </c>
      <c r="S989" s="307">
        <f t="shared" ca="1" si="456"/>
        <v>7.9789999999999939</v>
      </c>
      <c r="T989" s="304">
        <f t="shared" ca="1" si="436"/>
        <v>78.273989999999941</v>
      </c>
      <c r="U989" s="311">
        <f t="shared" ca="1" si="437"/>
        <v>0</v>
      </c>
      <c r="V989" s="306">
        <f t="shared" ca="1" si="438"/>
        <v>1.2262426822297299</v>
      </c>
      <c r="W989" s="304">
        <f t="shared" ca="1" si="439"/>
        <v>59.469130492886862</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2.3407099735135466</v>
      </c>
      <c r="AH989" s="304">
        <f t="shared" ca="1" si="463"/>
        <v>-7.453168909011926</v>
      </c>
    </row>
    <row r="990" spans="1:34" x14ac:dyDescent="0.2">
      <c r="A990" s="347">
        <f t="shared" ca="1" si="441"/>
        <v>1E-4</v>
      </c>
      <c r="B990" s="304">
        <f t="shared" ca="1" si="442"/>
        <v>35.826800000001086</v>
      </c>
      <c r="D990" s="306">
        <f t="shared" ca="1" si="443"/>
        <v>-0.42710958419078077</v>
      </c>
      <c r="E990" s="307">
        <f t="shared" ca="1" si="444"/>
        <v>-2.3690419472240078</v>
      </c>
      <c r="F990" s="304">
        <f t="shared" ca="1" si="445"/>
        <v>2.4072354152875328</v>
      </c>
      <c r="G990" s="306">
        <f t="shared" ca="1" si="446"/>
        <v>7.2200472226490566</v>
      </c>
      <c r="H990" s="307">
        <f t="shared" ca="1" si="447"/>
        <v>-125.78619049039641</v>
      </c>
      <c r="I990" s="304">
        <f t="shared" ca="1" si="448"/>
        <v>125.99323315156086</v>
      </c>
      <c r="J990" s="306">
        <f t="shared" ca="1" si="449"/>
        <v>468.65916031958193</v>
      </c>
      <c r="K990" s="307">
        <f t="shared" ca="1" si="450"/>
        <v>-10.151780561693039</v>
      </c>
      <c r="L990" s="304">
        <f t="shared" ca="1" si="435"/>
        <v>468.76909795764948</v>
      </c>
      <c r="M990" s="306">
        <f t="shared" ca="1" si="451"/>
        <v>-1.513459877003084</v>
      </c>
      <c r="N990" s="304">
        <f t="shared" ca="1" si="452"/>
        <v>-86.714863414665402</v>
      </c>
      <c r="P990" s="310">
        <f t="shared" ca="1" si="453"/>
        <v>23</v>
      </c>
      <c r="Q990" s="304">
        <f t="shared" ca="1" si="454"/>
        <v>0</v>
      </c>
      <c r="R990" s="306">
        <f t="shared" ca="1" si="455"/>
        <v>0</v>
      </c>
      <c r="S990" s="307">
        <f t="shared" ca="1" si="456"/>
        <v>7.9789999999999939</v>
      </c>
      <c r="T990" s="304">
        <f t="shared" ca="1" si="436"/>
        <v>78.273989999999941</v>
      </c>
      <c r="U990" s="311">
        <f t="shared" ca="1" si="437"/>
        <v>0</v>
      </c>
      <c r="V990" s="306">
        <f t="shared" ca="1" si="438"/>
        <v>1.2262442246736003</v>
      </c>
      <c r="W990" s="304">
        <f t="shared" ca="1" si="439"/>
        <v>59.469426258493421</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2.3406731560597231</v>
      </c>
      <c r="AH990" s="304">
        <f t="shared" ca="1" si="463"/>
        <v>-7.4532059773012795</v>
      </c>
    </row>
    <row r="991" spans="1:34" x14ac:dyDescent="0.2">
      <c r="A991" s="347">
        <f t="shared" ca="1" si="441"/>
        <v>1E-4</v>
      </c>
      <c r="B991" s="304">
        <f t="shared" ca="1" si="442"/>
        <v>35.826900000001089</v>
      </c>
      <c r="D991" s="306">
        <f t="shared" ca="1" si="443"/>
        <v>-0.42710838830728542</v>
      </c>
      <c r="E991" s="307">
        <f t="shared" ca="1" si="444"/>
        <v>-2.3690047495624622</v>
      </c>
      <c r="F991" s="304">
        <f t="shared" ca="1" si="445"/>
        <v>2.4071985956318502</v>
      </c>
      <c r="G991" s="306">
        <f t="shared" ca="1" si="446"/>
        <v>7.2200045118102256</v>
      </c>
      <c r="H991" s="307">
        <f t="shared" ca="1" si="447"/>
        <v>-125.78642739087137</v>
      </c>
      <c r="I991" s="304">
        <f t="shared" ca="1" si="448"/>
        <v>125.99346721520729</v>
      </c>
      <c r="J991" s="306">
        <f t="shared" ca="1" si="449"/>
        <v>468.65916031958193</v>
      </c>
      <c r="K991" s="307">
        <f t="shared" ca="1" si="450"/>
        <v>-10.164359192587103</v>
      </c>
      <c r="L991" s="304">
        <f t="shared" ca="1" si="435"/>
        <v>468.76937053230296</v>
      </c>
      <c r="M991" s="306">
        <f t="shared" ca="1" si="451"/>
        <v>-1.5134603231868835</v>
      </c>
      <c r="N991" s="304">
        <f t="shared" ca="1" si="452"/>
        <v>-86.714888979113994</v>
      </c>
      <c r="P991" s="310">
        <f t="shared" ca="1" si="453"/>
        <v>23</v>
      </c>
      <c r="Q991" s="304">
        <f t="shared" ca="1" si="454"/>
        <v>0</v>
      </c>
      <c r="R991" s="306">
        <f t="shared" ca="1" si="455"/>
        <v>0</v>
      </c>
      <c r="S991" s="307">
        <f t="shared" ca="1" si="456"/>
        <v>7.9789999999999939</v>
      </c>
      <c r="T991" s="304">
        <f t="shared" ca="1" si="436"/>
        <v>78.273989999999941</v>
      </c>
      <c r="U991" s="311">
        <f t="shared" ca="1" si="437"/>
        <v>0</v>
      </c>
      <c r="V991" s="306">
        <f t="shared" ca="1" si="438"/>
        <v>1.226245767122317</v>
      </c>
      <c r="W991" s="304">
        <f t="shared" ca="1" si="439"/>
        <v>59.46972202182581</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2.3406363388865561</v>
      </c>
      <c r="AH991" s="304">
        <f t="shared" ca="1" si="463"/>
        <v>-7.4532430453056104</v>
      </c>
    </row>
    <row r="992" spans="1:34" x14ac:dyDescent="0.2">
      <c r="A992" s="347">
        <f t="shared" ca="1" si="441"/>
        <v>1E-4</v>
      </c>
      <c r="B992" s="304">
        <f t="shared" ca="1" si="442"/>
        <v>35.827000000001092</v>
      </c>
      <c r="D992" s="306">
        <f t="shared" ca="1" si="443"/>
        <v>-0.42710719240632372</v>
      </c>
      <c r="E992" s="307">
        <f t="shared" ca="1" si="444"/>
        <v>-2.3689675521868887</v>
      </c>
      <c r="F992" s="304">
        <f t="shared" ca="1" si="445"/>
        <v>2.4071617762667206</v>
      </c>
      <c r="G992" s="306">
        <f t="shared" ca="1" si="446"/>
        <v>7.2199618010909852</v>
      </c>
      <c r="H992" s="307">
        <f t="shared" ca="1" si="447"/>
        <v>-125.78666428762659</v>
      </c>
      <c r="I992" s="304">
        <f t="shared" ca="1" si="448"/>
        <v>125.99370127517203</v>
      </c>
      <c r="J992" s="306">
        <f t="shared" ca="1" si="449"/>
        <v>468.65916031958193</v>
      </c>
      <c r="K992" s="307">
        <f t="shared" ca="1" si="450"/>
        <v>-10.176937847171027</v>
      </c>
      <c r="L992" s="304">
        <f t="shared" ca="1" si="435"/>
        <v>468.76964344483821</v>
      </c>
      <c r="M992" s="306">
        <f t="shared" ca="1" si="451"/>
        <v>-1.5134607693663857</v>
      </c>
      <c r="N992" s="304">
        <f t="shared" ca="1" si="452"/>
        <v>-86.714914543316368</v>
      </c>
      <c r="P992" s="310">
        <f t="shared" ca="1" si="453"/>
        <v>23</v>
      </c>
      <c r="Q992" s="304">
        <f t="shared" ca="1" si="454"/>
        <v>0</v>
      </c>
      <c r="R992" s="306">
        <f t="shared" ca="1" si="455"/>
        <v>0</v>
      </c>
      <c r="S992" s="307">
        <f t="shared" ca="1" si="456"/>
        <v>7.9789999999999939</v>
      </c>
      <c r="T992" s="304">
        <f t="shared" ca="1" si="436"/>
        <v>78.273989999999941</v>
      </c>
      <c r="U992" s="311">
        <f t="shared" ca="1" si="437"/>
        <v>0</v>
      </c>
      <c r="V992" s="306">
        <f t="shared" ca="1" si="438"/>
        <v>1.2262473095758804</v>
      </c>
      <c r="W992" s="304">
        <f t="shared" ca="1" si="439"/>
        <v>59.470017782884007</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2.3405995219940401</v>
      </c>
      <c r="AH992" s="304">
        <f t="shared" ca="1" si="463"/>
        <v>-7.4532801130249222</v>
      </c>
    </row>
    <row r="993" spans="1:34" x14ac:dyDescent="0.2">
      <c r="A993" s="347">
        <f t="shared" ca="1" si="441"/>
        <v>1E-4</v>
      </c>
      <c r="B993" s="304">
        <f t="shared" ca="1" si="442"/>
        <v>35.827100000001096</v>
      </c>
      <c r="D993" s="306">
        <f t="shared" ca="1" si="443"/>
        <v>-0.42710599648789638</v>
      </c>
      <c r="E993" s="307">
        <f t="shared" ca="1" si="444"/>
        <v>-2.3689303550972909</v>
      </c>
      <c r="F993" s="304">
        <f t="shared" ca="1" si="445"/>
        <v>2.4071249571921469</v>
      </c>
      <c r="G993" s="306">
        <f t="shared" ca="1" si="446"/>
        <v>7.2199190904913362</v>
      </c>
      <c r="H993" s="307">
        <f t="shared" ca="1" si="447"/>
        <v>-125.7869011806621</v>
      </c>
      <c r="I993" s="304">
        <f t="shared" ca="1" si="448"/>
        <v>125.99393533145512</v>
      </c>
      <c r="J993" s="306">
        <f t="shared" ca="1" si="449"/>
        <v>468.65916031958193</v>
      </c>
      <c r="K993" s="307">
        <f t="shared" ca="1" si="450"/>
        <v>-10.189516525444441</v>
      </c>
      <c r="L993" s="304">
        <f t="shared" ca="1" si="435"/>
        <v>468.76991669525671</v>
      </c>
      <c r="M993" s="306">
        <f t="shared" ca="1" si="451"/>
        <v>-1.5134612155415907</v>
      </c>
      <c r="N993" s="304">
        <f t="shared" ca="1" si="452"/>
        <v>-86.71494010727254</v>
      </c>
      <c r="P993" s="310">
        <f t="shared" ca="1" si="453"/>
        <v>23</v>
      </c>
      <c r="Q993" s="304">
        <f t="shared" ca="1" si="454"/>
        <v>0</v>
      </c>
      <c r="R993" s="306">
        <f t="shared" ca="1" si="455"/>
        <v>0</v>
      </c>
      <c r="S993" s="307">
        <f t="shared" ca="1" si="456"/>
        <v>7.9789999999999939</v>
      </c>
      <c r="T993" s="304">
        <f t="shared" ca="1" si="436"/>
        <v>78.273989999999941</v>
      </c>
      <c r="U993" s="311">
        <f t="shared" ca="1" si="437"/>
        <v>0</v>
      </c>
      <c r="V993" s="306">
        <f t="shared" ca="1" si="438"/>
        <v>1.2262488520342889</v>
      </c>
      <c r="W993" s="304">
        <f t="shared" ca="1" si="439"/>
        <v>59.470313541667998</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2.3405627053821849</v>
      </c>
      <c r="AH993" s="304">
        <f t="shared" ca="1" si="463"/>
        <v>-7.4533171804592122</v>
      </c>
    </row>
    <row r="994" spans="1:34" x14ac:dyDescent="0.2">
      <c r="A994" s="347">
        <f t="shared" ca="1" si="441"/>
        <v>1E-4</v>
      </c>
      <c r="B994" s="304">
        <f t="shared" ca="1" si="442"/>
        <v>35.827200000001099</v>
      </c>
      <c r="D994" s="306">
        <f t="shared" ca="1" si="443"/>
        <v>-0.42710480055200406</v>
      </c>
      <c r="E994" s="307">
        <f t="shared" ca="1" si="444"/>
        <v>-2.3688931582936696</v>
      </c>
      <c r="F994" s="304">
        <f t="shared" ca="1" si="445"/>
        <v>2.4070881384081315</v>
      </c>
      <c r="G994" s="306">
        <f t="shared" ca="1" si="446"/>
        <v>7.2198763800112813</v>
      </c>
      <c r="H994" s="307">
        <f t="shared" ca="1" si="447"/>
        <v>-125.78713806997793</v>
      </c>
      <c r="I994" s="304">
        <f t="shared" ca="1" si="448"/>
        <v>125.99416938405656</v>
      </c>
      <c r="J994" s="306">
        <f t="shared" ca="1" si="449"/>
        <v>468.65916031958193</v>
      </c>
      <c r="K994" s="307">
        <f t="shared" ca="1" si="450"/>
        <v>-10.202095227406973</v>
      </c>
      <c r="L994" s="304">
        <f t="shared" ca="1" si="435"/>
        <v>468.7701902835596</v>
      </c>
      <c r="M994" s="306">
        <f t="shared" ca="1" si="451"/>
        <v>-1.513461661712499</v>
      </c>
      <c r="N994" s="304">
        <f t="shared" ca="1" si="452"/>
        <v>-86.714965670982522</v>
      </c>
      <c r="P994" s="310">
        <f t="shared" ca="1" si="453"/>
        <v>23</v>
      </c>
      <c r="Q994" s="304">
        <f t="shared" ca="1" si="454"/>
        <v>0</v>
      </c>
      <c r="R994" s="306">
        <f t="shared" ca="1" si="455"/>
        <v>0</v>
      </c>
      <c r="S994" s="307">
        <f t="shared" ca="1" si="456"/>
        <v>7.9789999999999939</v>
      </c>
      <c r="T994" s="304">
        <f t="shared" ca="1" si="436"/>
        <v>78.273989999999941</v>
      </c>
      <c r="U994" s="311">
        <f t="shared" ca="1" si="437"/>
        <v>0</v>
      </c>
      <c r="V994" s="306">
        <f t="shared" ca="1" si="438"/>
        <v>1.2262503944975442</v>
      </c>
      <c r="W994" s="304">
        <f t="shared" ca="1" si="439"/>
        <v>59.470609298177806</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2.3405258890509844</v>
      </c>
      <c r="AH994" s="304">
        <f t="shared" ca="1" si="463"/>
        <v>-7.4533542476084778</v>
      </c>
    </row>
    <row r="995" spans="1:34" x14ac:dyDescent="0.2">
      <c r="A995" s="347">
        <f t="shared" ca="1" si="441"/>
        <v>1E-4</v>
      </c>
      <c r="B995" s="304">
        <f t="shared" ca="1" si="442"/>
        <v>35.827300000001102</v>
      </c>
      <c r="D995" s="306">
        <f t="shared" ca="1" si="443"/>
        <v>-0.42710360459864455</v>
      </c>
      <c r="E995" s="307">
        <f t="shared" ca="1" si="444"/>
        <v>-2.3688559617760223</v>
      </c>
      <c r="F995" s="304">
        <f t="shared" ca="1" si="445"/>
        <v>2.4070513199146708</v>
      </c>
      <c r="G995" s="306">
        <f t="shared" ca="1" si="446"/>
        <v>7.2198336696508214</v>
      </c>
      <c r="H995" s="307">
        <f t="shared" ca="1" si="447"/>
        <v>-125.78737495557411</v>
      </c>
      <c r="I995" s="304">
        <f t="shared" ca="1" si="448"/>
        <v>125.9944034329764</v>
      </c>
      <c r="J995" s="306">
        <f t="shared" ca="1" si="449"/>
        <v>468.65916031958193</v>
      </c>
      <c r="K995" s="307">
        <f t="shared" ca="1" si="450"/>
        <v>-10.21467395305825</v>
      </c>
      <c r="L995" s="304">
        <f t="shared" ca="1" si="435"/>
        <v>468.77046420974824</v>
      </c>
      <c r="M995" s="306">
        <f t="shared" ca="1" si="451"/>
        <v>-1.51346210787911</v>
      </c>
      <c r="N995" s="304">
        <f t="shared" ca="1" si="452"/>
        <v>-86.714991234446302</v>
      </c>
      <c r="P995" s="310">
        <f t="shared" ca="1" si="453"/>
        <v>23</v>
      </c>
      <c r="Q995" s="304">
        <f t="shared" ca="1" si="454"/>
        <v>0</v>
      </c>
      <c r="R995" s="306">
        <f t="shared" ca="1" si="455"/>
        <v>0</v>
      </c>
      <c r="S995" s="307">
        <f t="shared" ca="1" si="456"/>
        <v>7.9789999999999939</v>
      </c>
      <c r="T995" s="304">
        <f t="shared" ca="1" si="436"/>
        <v>78.273989999999941</v>
      </c>
      <c r="U995" s="311">
        <f t="shared" ca="1" si="437"/>
        <v>0</v>
      </c>
      <c r="V995" s="306">
        <f t="shared" ca="1" si="438"/>
        <v>1.2262519369656453</v>
      </c>
      <c r="W995" s="304">
        <f t="shared" ca="1" si="439"/>
        <v>59.470905052413407</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2.3404890730004437</v>
      </c>
      <c r="AH995" s="304">
        <f t="shared" ca="1" si="463"/>
        <v>-7.4533913144727224</v>
      </c>
    </row>
    <row r="996" spans="1:34" x14ac:dyDescent="0.2">
      <c r="A996" s="347">
        <f t="shared" ca="1" si="441"/>
        <v>1E-4</v>
      </c>
      <c r="B996" s="304">
        <f t="shared" ca="1" si="442"/>
        <v>35.827400000001106</v>
      </c>
      <c r="D996" s="306">
        <f t="shared" ca="1" si="443"/>
        <v>-0.42710240862782184</v>
      </c>
      <c r="E996" s="307">
        <f t="shared" ca="1" si="444"/>
        <v>-2.3688187655443516</v>
      </c>
      <c r="F996" s="304">
        <f t="shared" ca="1" si="445"/>
        <v>2.4070145017117683</v>
      </c>
      <c r="G996" s="306">
        <f t="shared" ca="1" si="446"/>
        <v>7.2197909594099583</v>
      </c>
      <c r="H996" s="307">
        <f t="shared" ca="1" si="447"/>
        <v>-125.78761183745067</v>
      </c>
      <c r="I996" s="304">
        <f t="shared" ca="1" si="448"/>
        <v>125.99463747821467</v>
      </c>
      <c r="J996" s="306">
        <f t="shared" ca="1" si="449"/>
        <v>468.65916031958193</v>
      </c>
      <c r="K996" s="307">
        <f t="shared" ca="1" si="450"/>
        <v>-10.227252702397902</v>
      </c>
      <c r="L996" s="304">
        <f t="shared" ca="1" si="435"/>
        <v>468.770738473824</v>
      </c>
      <c r="M996" s="306">
        <f t="shared" ca="1" si="451"/>
        <v>-1.5134625540414239</v>
      </c>
      <c r="N996" s="304">
        <f t="shared" ca="1" si="452"/>
        <v>-86.715016797663864</v>
      </c>
      <c r="P996" s="310">
        <f t="shared" ca="1" si="453"/>
        <v>23</v>
      </c>
      <c r="Q996" s="304">
        <f t="shared" ca="1" si="454"/>
        <v>0</v>
      </c>
      <c r="R996" s="306">
        <f t="shared" ca="1" si="455"/>
        <v>0</v>
      </c>
      <c r="S996" s="307">
        <f t="shared" ca="1" si="456"/>
        <v>7.9789999999999939</v>
      </c>
      <c r="T996" s="304">
        <f t="shared" ca="1" si="436"/>
        <v>78.273989999999941</v>
      </c>
      <c r="U996" s="311">
        <f t="shared" ca="1" si="437"/>
        <v>0</v>
      </c>
      <c r="V996" s="306">
        <f t="shared" ca="1" si="438"/>
        <v>1.2262534794385929</v>
      </c>
      <c r="W996" s="304">
        <f t="shared" ca="1" si="439"/>
        <v>59.471200804374831</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2.3404522572305613</v>
      </c>
      <c r="AH996" s="304">
        <f t="shared" ca="1" si="463"/>
        <v>-7.4534283810519426</v>
      </c>
    </row>
    <row r="997" spans="1:34" x14ac:dyDescent="0.2">
      <c r="A997" s="347">
        <f t="shared" ca="1" si="441"/>
        <v>1E-4</v>
      </c>
      <c r="B997" s="304">
        <f t="shared" ca="1" si="442"/>
        <v>35.827500000001109</v>
      </c>
      <c r="D997" s="306">
        <f t="shared" ca="1" si="443"/>
        <v>-0.42710121263953532</v>
      </c>
      <c r="E997" s="307">
        <f t="shared" ca="1" si="444"/>
        <v>-2.3687815695986538</v>
      </c>
      <c r="F997" s="304">
        <f t="shared" ca="1" si="445"/>
        <v>2.4069776837994206</v>
      </c>
      <c r="G997" s="306">
        <f t="shared" ca="1" si="446"/>
        <v>7.2197482492886946</v>
      </c>
      <c r="H997" s="307">
        <f t="shared" ca="1" si="447"/>
        <v>-125.78784871560762</v>
      </c>
      <c r="I997" s="304">
        <f t="shared" ca="1" si="448"/>
        <v>125.99487151977138</v>
      </c>
      <c r="J997" s="306">
        <f t="shared" ca="1" si="449"/>
        <v>468.65916031958193</v>
      </c>
      <c r="K997" s="307">
        <f t="shared" ca="1" si="450"/>
        <v>-10.239831475425554</v>
      </c>
      <c r="L997" s="304">
        <f t="shared" ca="1" si="435"/>
        <v>468.77101307578812</v>
      </c>
      <c r="M997" s="306">
        <f t="shared" ca="1" si="451"/>
        <v>-1.5134630001994409</v>
      </c>
      <c r="N997" s="304">
        <f t="shared" ca="1" si="452"/>
        <v>-86.715042360635238</v>
      </c>
      <c r="P997" s="310">
        <f t="shared" ca="1" si="453"/>
        <v>23</v>
      </c>
      <c r="Q997" s="304">
        <f t="shared" ca="1" si="454"/>
        <v>0</v>
      </c>
      <c r="R997" s="306">
        <f t="shared" ca="1" si="455"/>
        <v>0</v>
      </c>
      <c r="S997" s="307">
        <f t="shared" ca="1" si="456"/>
        <v>7.9789999999999939</v>
      </c>
      <c r="T997" s="304">
        <f t="shared" ca="1" si="436"/>
        <v>78.273989999999941</v>
      </c>
      <c r="U997" s="311">
        <f t="shared" ca="1" si="437"/>
        <v>0</v>
      </c>
      <c r="V997" s="306">
        <f t="shared" ca="1" si="438"/>
        <v>1.2262550219163857</v>
      </c>
      <c r="W997" s="304">
        <f t="shared" ca="1" si="439"/>
        <v>59.471496554062014</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2.3404154417413308</v>
      </c>
      <c r="AH997" s="304">
        <f t="shared" ca="1" si="463"/>
        <v>-7.4534654473461428</v>
      </c>
    </row>
    <row r="998" spans="1:34" x14ac:dyDescent="0.2">
      <c r="A998" s="347">
        <f t="shared" ca="1" si="441"/>
        <v>1E-4</v>
      </c>
      <c r="B998" s="304">
        <f t="shared" ca="1" si="442"/>
        <v>35.827600000001112</v>
      </c>
      <c r="D998" s="306">
        <f t="shared" ca="1" si="443"/>
        <v>-0.4271000166337855</v>
      </c>
      <c r="E998" s="307">
        <f t="shared" ca="1" si="444"/>
        <v>-2.368744373938938</v>
      </c>
      <c r="F998" s="304">
        <f t="shared" ca="1" si="445"/>
        <v>2.4069408661776364</v>
      </c>
      <c r="G998" s="306">
        <f t="shared" ca="1" si="446"/>
        <v>7.2197055392870313</v>
      </c>
      <c r="H998" s="307">
        <f t="shared" ca="1" si="447"/>
        <v>-125.78808559004501</v>
      </c>
      <c r="I998" s="304">
        <f t="shared" ca="1" si="448"/>
        <v>125.99510555764657</v>
      </c>
      <c r="J998" s="306">
        <f t="shared" ca="1" si="449"/>
        <v>468.65916031958193</v>
      </c>
      <c r="K998" s="307">
        <f t="shared" ca="1" si="450"/>
        <v>-10.252410272140837</v>
      </c>
      <c r="L998" s="304">
        <f t="shared" ca="1" si="435"/>
        <v>468.77128801564191</v>
      </c>
      <c r="M998" s="306">
        <f t="shared" ca="1" si="451"/>
        <v>-1.5134634463531613</v>
      </c>
      <c r="N998" s="304">
        <f t="shared" ca="1" si="452"/>
        <v>-86.715067923360422</v>
      </c>
      <c r="P998" s="310">
        <f t="shared" ca="1" si="453"/>
        <v>23</v>
      </c>
      <c r="Q998" s="304">
        <f t="shared" ca="1" si="454"/>
        <v>0</v>
      </c>
      <c r="R998" s="306">
        <f t="shared" ca="1" si="455"/>
        <v>0</v>
      </c>
      <c r="S998" s="307">
        <f t="shared" ca="1" si="456"/>
        <v>7.9789999999999939</v>
      </c>
      <c r="T998" s="304">
        <f t="shared" ca="1" si="436"/>
        <v>78.273989999999941</v>
      </c>
      <c r="U998" s="311">
        <f t="shared" ca="1" si="437"/>
        <v>0</v>
      </c>
      <c r="V998" s="306">
        <f t="shared" ca="1" si="438"/>
        <v>1.2262565643990249</v>
      </c>
      <c r="W998" s="304">
        <f t="shared" ca="1" si="439"/>
        <v>59.471792301474999</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2.3403786265327655</v>
      </c>
      <c r="AH998" s="304">
        <f t="shared" ca="1" si="463"/>
        <v>-7.453502513355315</v>
      </c>
    </row>
    <row r="999" spans="1:34" x14ac:dyDescent="0.2">
      <c r="A999" s="347">
        <f t="shared" ca="1" si="441"/>
        <v>1E-4</v>
      </c>
      <c r="B999" s="304">
        <f t="shared" ca="1" si="442"/>
        <v>35.827700000001116</v>
      </c>
      <c r="D999" s="306">
        <f t="shared" ca="1" si="443"/>
        <v>-0.42709882061057014</v>
      </c>
      <c r="E999" s="307">
        <f t="shared" ca="1" si="444"/>
        <v>-2.368707178565197</v>
      </c>
      <c r="F999" s="304">
        <f t="shared" ca="1" si="445"/>
        <v>2.4069040488464091</v>
      </c>
      <c r="G999" s="306">
        <f t="shared" ca="1" si="446"/>
        <v>7.2196628294049701</v>
      </c>
      <c r="H999" s="307">
        <f t="shared" ca="1" si="447"/>
        <v>-125.78832246076287</v>
      </c>
      <c r="I999" s="304">
        <f t="shared" ca="1" si="448"/>
        <v>125.99533959184026</v>
      </c>
      <c r="J999" s="306">
        <f t="shared" ca="1" si="449"/>
        <v>468.65916031958193</v>
      </c>
      <c r="K999" s="307">
        <f t="shared" ca="1" si="450"/>
        <v>-10.264989092543377</v>
      </c>
      <c r="L999" s="304">
        <f t="shared" ca="1" si="435"/>
        <v>468.77156329338669</v>
      </c>
      <c r="M999" s="306">
        <f t="shared" ca="1" si="451"/>
        <v>-1.513463892502585</v>
      </c>
      <c r="N999" s="304">
        <f t="shared" ca="1" si="452"/>
        <v>-86.715093485839432</v>
      </c>
      <c r="P999" s="310">
        <f t="shared" ca="1" si="453"/>
        <v>23</v>
      </c>
      <c r="Q999" s="304">
        <f t="shared" ca="1" si="454"/>
        <v>0</v>
      </c>
      <c r="R999" s="306">
        <f t="shared" ca="1" si="455"/>
        <v>0</v>
      </c>
      <c r="S999" s="307">
        <f t="shared" ca="1" si="456"/>
        <v>7.9789999999999939</v>
      </c>
      <c r="T999" s="304">
        <f t="shared" ca="1" si="436"/>
        <v>78.273989999999941</v>
      </c>
      <c r="U999" s="311">
        <f t="shared" ca="1" si="437"/>
        <v>0</v>
      </c>
      <c r="V999" s="306">
        <f t="shared" ca="1" si="438"/>
        <v>1.2262581068865099</v>
      </c>
      <c r="W999" s="304">
        <f t="shared" ca="1" si="439"/>
        <v>59.47208804661377</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2.3403418116048584</v>
      </c>
      <c r="AH999" s="304">
        <f t="shared" ca="1" si="463"/>
        <v>-7.4535395790794645</v>
      </c>
    </row>
    <row r="1000" spans="1:34" x14ac:dyDescent="0.2">
      <c r="A1000" s="347">
        <f t="shared" ca="1" si="441"/>
        <v>1E-4</v>
      </c>
      <c r="B1000" s="304">
        <f t="shared" ca="1" si="442"/>
        <v>35.827800000001119</v>
      </c>
      <c r="D1000" s="306">
        <f t="shared" ca="1" si="443"/>
        <v>-0.42709762456989159</v>
      </c>
      <c r="E1000" s="307">
        <f t="shared" ca="1" si="444"/>
        <v>-2.3686699834774343</v>
      </c>
      <c r="F1000" s="304">
        <f t="shared" ca="1" si="445"/>
        <v>2.4068672318057418</v>
      </c>
      <c r="G1000" s="306">
        <f t="shared" ca="1" si="446"/>
        <v>7.2196201196425127</v>
      </c>
      <c r="H1000" s="307">
        <f t="shared" ca="1" si="447"/>
        <v>-125.78855932776122</v>
      </c>
      <c r="I1000" s="304">
        <f t="shared" ca="1" si="448"/>
        <v>125.99557362235251</v>
      </c>
      <c r="J1000" s="306">
        <f t="shared" ca="1" si="449"/>
        <v>468.65916031958193</v>
      </c>
      <c r="K1000" s="307">
        <f t="shared" ca="1" si="450"/>
        <v>-10.277567936632803</v>
      </c>
      <c r="L1000" s="304">
        <f t="shared" ca="1" si="435"/>
        <v>468.7718389090237</v>
      </c>
      <c r="M1000" s="306">
        <f t="shared" ca="1" si="451"/>
        <v>-1.5134643386477118</v>
      </c>
      <c r="N1000" s="304">
        <f t="shared" ca="1" si="452"/>
        <v>-86.715119048072253</v>
      </c>
      <c r="P1000" s="310">
        <f t="shared" ca="1" si="453"/>
        <v>23</v>
      </c>
      <c r="Q1000" s="304">
        <f t="shared" ca="1" si="454"/>
        <v>0</v>
      </c>
      <c r="R1000" s="306">
        <f t="shared" ca="1" si="455"/>
        <v>0</v>
      </c>
      <c r="S1000" s="307">
        <f t="shared" ca="1" si="456"/>
        <v>7.9789999999999939</v>
      </c>
      <c r="T1000" s="304">
        <f t="shared" ca="1" si="436"/>
        <v>78.273989999999941</v>
      </c>
      <c r="U1000" s="311">
        <f t="shared" ca="1" si="437"/>
        <v>0</v>
      </c>
      <c r="V1000" s="306">
        <f t="shared" ca="1" si="438"/>
        <v>1.2262596493788407</v>
      </c>
      <c r="W1000" s="304">
        <f t="shared" ca="1" si="439"/>
        <v>59.472383789478336</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2.3403049969576131</v>
      </c>
      <c r="AH1000" s="304">
        <f t="shared" ca="1" si="463"/>
        <v>-7.4535766445185878</v>
      </c>
    </row>
    <row r="1001" spans="1:34" x14ac:dyDescent="0.2">
      <c r="A1001" s="347">
        <f t="shared" ca="1" si="441"/>
        <v>1E-4</v>
      </c>
      <c r="B1001" s="304">
        <f t="shared" ca="1" si="442"/>
        <v>35.827900000001122</v>
      </c>
      <c r="D1001" s="306">
        <f t="shared" ca="1" si="443"/>
        <v>-0.42709642851175089</v>
      </c>
      <c r="E1001" s="307">
        <f t="shared" ca="1" si="444"/>
        <v>-2.3686327886756491</v>
      </c>
      <c r="F1001" s="304">
        <f t="shared" ca="1" si="445"/>
        <v>2.4068304150556341</v>
      </c>
      <c r="G1001" s="306">
        <f t="shared" ca="1" si="446"/>
        <v>7.2195774099996619</v>
      </c>
      <c r="H1001" s="307">
        <f t="shared" ca="1" si="447"/>
        <v>-125.78879619104009</v>
      </c>
      <c r="I1001" s="304">
        <f t="shared" ca="1" si="448"/>
        <v>125.99580764918332</v>
      </c>
      <c r="J1001" s="306">
        <f t="shared" ca="1" si="449"/>
        <v>468.65916031958193</v>
      </c>
      <c r="K1001" s="307">
        <f t="shared" ca="1" si="450"/>
        <v>-10.290146804408742</v>
      </c>
      <c r="L1001" s="304">
        <f t="shared" ca="1" si="435"/>
        <v>468.77211486255442</v>
      </c>
      <c r="M1001" s="306">
        <f t="shared" ca="1" si="451"/>
        <v>-1.5134647847885419</v>
      </c>
      <c r="N1001" s="304">
        <f t="shared" ca="1" si="452"/>
        <v>-86.715144610058886</v>
      </c>
      <c r="P1001" s="310">
        <f t="shared" ca="1" si="453"/>
        <v>23</v>
      </c>
      <c r="Q1001" s="304">
        <f t="shared" ca="1" si="454"/>
        <v>0</v>
      </c>
      <c r="R1001" s="306">
        <f t="shared" ca="1" si="455"/>
        <v>0</v>
      </c>
      <c r="S1001" s="307">
        <f t="shared" ca="1" si="456"/>
        <v>7.9789999999999939</v>
      </c>
      <c r="T1001" s="304">
        <f t="shared" ca="1" si="436"/>
        <v>78.273989999999941</v>
      </c>
      <c r="U1001" s="311">
        <f t="shared" ca="1" si="437"/>
        <v>0</v>
      </c>
      <c r="V1001" s="306">
        <f t="shared" ca="1" si="438"/>
        <v>1.2262611918760176</v>
      </c>
      <c r="W1001" s="304">
        <f t="shared" ca="1" si="439"/>
        <v>59.472679530068696</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2.3402681825910223</v>
      </c>
      <c r="AH1001" s="304">
        <f t="shared" ca="1" si="463"/>
        <v>-7.4536137096726884</v>
      </c>
    </row>
    <row r="1002" spans="1:34" x14ac:dyDescent="0.2">
      <c r="A1002" s="347">
        <f t="shared" ca="1" si="441"/>
        <v>1E-4</v>
      </c>
      <c r="B1002" s="304">
        <f t="shared" ca="1" si="442"/>
        <v>35.828000000001126</v>
      </c>
      <c r="D1002" s="306">
        <f t="shared" ca="1" si="443"/>
        <v>-0.42709523243614889</v>
      </c>
      <c r="E1002" s="307">
        <f t="shared" ca="1" si="444"/>
        <v>-2.3685955941598396</v>
      </c>
      <c r="F1002" s="304">
        <f t="shared" ca="1" si="445"/>
        <v>2.4067935985960847</v>
      </c>
      <c r="G1002" s="306">
        <f t="shared" ca="1" si="446"/>
        <v>7.2195347004764185</v>
      </c>
      <c r="H1002" s="307">
        <f t="shared" ca="1" si="447"/>
        <v>-125.78903305059951</v>
      </c>
      <c r="I1002" s="304">
        <f t="shared" ca="1" si="448"/>
        <v>125.99604167233271</v>
      </c>
      <c r="J1002" s="306">
        <f t="shared" ca="1" si="449"/>
        <v>468.65916031958193</v>
      </c>
      <c r="K1002" s="307">
        <f t="shared" ca="1" si="450"/>
        <v>-10.302725695870825</v>
      </c>
      <c r="L1002" s="304">
        <f t="shared" ca="1" si="435"/>
        <v>468.77239115397992</v>
      </c>
      <c r="M1002" s="306">
        <f t="shared" ca="1" si="451"/>
        <v>-1.5134652309250756</v>
      </c>
      <c r="N1002" s="304">
        <f t="shared" ca="1" si="452"/>
        <v>-86.715170171799357</v>
      </c>
      <c r="P1002" s="310">
        <f t="shared" ca="1" si="453"/>
        <v>23</v>
      </c>
      <c r="Q1002" s="304">
        <f t="shared" ca="1" si="454"/>
        <v>0</v>
      </c>
      <c r="R1002" s="306">
        <f t="shared" ca="1" si="455"/>
        <v>0</v>
      </c>
      <c r="S1002" s="307">
        <f t="shared" ca="1" si="456"/>
        <v>7.9789999999999939</v>
      </c>
      <c r="T1002" s="304">
        <f t="shared" ca="1" si="436"/>
        <v>78.273989999999941</v>
      </c>
      <c r="U1002" s="311">
        <f t="shared" ca="1" si="437"/>
        <v>0</v>
      </c>
      <c r="V1002" s="306">
        <f t="shared" ca="1" si="438"/>
        <v>1.2262627343780403</v>
      </c>
      <c r="W1002" s="304">
        <f t="shared" ca="1" si="439"/>
        <v>59.472975268384822</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2.3402313685050951</v>
      </c>
      <c r="AH1002" s="304">
        <f t="shared" ca="1" si="463"/>
        <v>-7.4536507745417646</v>
      </c>
    </row>
    <row r="1003" spans="1:34" x14ac:dyDescent="0.2">
      <c r="A1003" s="347">
        <f t="shared" ca="1" si="441"/>
        <v>1E-4</v>
      </c>
      <c r="B1003" s="304">
        <f t="shared" ca="1" si="442"/>
        <v>35.828100000001129</v>
      </c>
      <c r="D1003" s="306">
        <f t="shared" ca="1" si="443"/>
        <v>-0.42709403634308291</v>
      </c>
      <c r="E1003" s="307">
        <f t="shared" ca="1" si="444"/>
        <v>-2.3685583999300102</v>
      </c>
      <c r="F1003" s="304">
        <f t="shared" ca="1" si="445"/>
        <v>2.4067567824270979</v>
      </c>
      <c r="G1003" s="306">
        <f t="shared" ca="1" si="446"/>
        <v>7.2194919910727844</v>
      </c>
      <c r="H1003" s="307">
        <f t="shared" ca="1" si="447"/>
        <v>-125.7892699064395</v>
      </c>
      <c r="I1003" s="304">
        <f t="shared" ca="1" si="448"/>
        <v>125.9962756918007</v>
      </c>
      <c r="J1003" s="306">
        <f t="shared" ca="1" si="449"/>
        <v>468.65916031958193</v>
      </c>
      <c r="K1003" s="307">
        <f t="shared" ca="1" si="450"/>
        <v>-10.315304611018677</v>
      </c>
      <c r="L1003" s="304">
        <f t="shared" ca="1" si="435"/>
        <v>468.77266778330164</v>
      </c>
      <c r="M1003" s="306">
        <f t="shared" ca="1" si="451"/>
        <v>-1.5134656770573125</v>
      </c>
      <c r="N1003" s="304">
        <f t="shared" ca="1" si="452"/>
        <v>-86.715195733293626</v>
      </c>
      <c r="P1003" s="310">
        <f t="shared" ca="1" si="453"/>
        <v>23</v>
      </c>
      <c r="Q1003" s="304">
        <f t="shared" ca="1" si="454"/>
        <v>0</v>
      </c>
      <c r="R1003" s="306">
        <f t="shared" ca="1" si="455"/>
        <v>0</v>
      </c>
      <c r="S1003" s="307">
        <f t="shared" ca="1" si="456"/>
        <v>7.9789999999999939</v>
      </c>
      <c r="T1003" s="304">
        <f t="shared" ca="1" si="436"/>
        <v>78.273989999999941</v>
      </c>
      <c r="U1003" s="311">
        <f t="shared" ca="1" si="437"/>
        <v>0</v>
      </c>
      <c r="V1003" s="306">
        <f ca="1">Rho_moyen*(20000-Alt_rampe-pos_z)/(20000+Alt_rampe+pos_z)</f>
        <v>1.226264276884909</v>
      </c>
      <c r="W1003" s="304">
        <f t="shared" ca="1" si="439"/>
        <v>59.473271004426707</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2.3401945546998286</v>
      </c>
      <c r="AH1003" s="304">
        <f t="shared" ca="1" si="463"/>
        <v>-7.4536878391258137</v>
      </c>
    </row>
    <row r="1004" spans="1:34" x14ac:dyDescent="0.2">
      <c r="A1004" s="348">
        <f t="shared" ca="1" si="441"/>
        <v>1E-4</v>
      </c>
      <c r="B1004" s="305">
        <f t="shared" ca="1" si="442"/>
        <v>35.828200000001132</v>
      </c>
      <c r="D1004" s="308">
        <f t="shared" ca="1" si="443"/>
        <v>-0.42709284023255689</v>
      </c>
      <c r="E1004" s="309">
        <f t="shared" ca="1" si="444"/>
        <v>-2.3685212059861627</v>
      </c>
      <c r="F1004" s="305">
        <f t="shared" ca="1" si="445"/>
        <v>2.4067199665486756</v>
      </c>
      <c r="G1004" s="308">
        <f t="shared" ca="1" si="446"/>
        <v>7.2194492817887612</v>
      </c>
      <c r="H1004" s="309">
        <f t="shared" ca="1" si="447"/>
        <v>-125.78950675856009</v>
      </c>
      <c r="I1004" s="305">
        <f t="shared" ca="1" si="448"/>
        <v>125.99650970758736</v>
      </c>
      <c r="J1004" s="308">
        <f t="shared" ca="1" si="449"/>
        <v>468.65916031958193</v>
      </c>
      <c r="K1004" s="309">
        <f t="shared" ca="1" si="450"/>
        <v>-10.327883549851927</v>
      </c>
      <c r="L1004" s="305">
        <f t="shared" ca="1" si="435"/>
        <v>468.77294475052088</v>
      </c>
      <c r="M1004" s="308">
        <f t="shared" ca="1" si="451"/>
        <v>-1.5134661231852533</v>
      </c>
      <c r="N1004" s="305">
        <f t="shared" ca="1" si="452"/>
        <v>-86.715221294541763</v>
      </c>
      <c r="P1004" s="312">
        <f t="shared" ca="1" si="453"/>
        <v>23</v>
      </c>
      <c r="Q1004" s="305">
        <f t="shared" ca="1" si="454"/>
        <v>0</v>
      </c>
      <c r="R1004" s="308">
        <f t="shared" ca="1" si="455"/>
        <v>0</v>
      </c>
      <c r="S1004" s="309">
        <f t="shared" ca="1" si="456"/>
        <v>7.9789999999999939</v>
      </c>
      <c r="T1004" s="305">
        <f t="shared" ca="1" si="436"/>
        <v>78.273989999999941</v>
      </c>
      <c r="U1004" s="313">
        <f t="shared" ca="1" si="437"/>
        <v>0</v>
      </c>
      <c r="V1004" s="308">
        <f t="shared" ca="1" si="438"/>
        <v>1.2262658193966232</v>
      </c>
      <c r="W1004" s="305">
        <f ca="1">1/2*Rho*Sref*Cx*vit_xz^2</f>
        <v>59.473566738194371</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2.3401577411752283</v>
      </c>
      <c r="AH1004" s="305">
        <f t="shared" ca="1" si="463"/>
        <v>-7.4537249034248338</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632" t="s">
        <v>281</v>
      </c>
      <c r="D2" s="632"/>
      <c r="M2" s="75"/>
    </row>
    <row r="3" spans="1:13" ht="12.75" customHeight="1" x14ac:dyDescent="0.2">
      <c r="A3" s="56"/>
      <c r="B3" s="2"/>
      <c r="C3" s="632"/>
      <c r="D3" s="632"/>
      <c r="M3" s="75"/>
    </row>
    <row r="4" spans="1:13" x14ac:dyDescent="0.2">
      <c r="A4" s="56"/>
      <c r="B4" s="2"/>
      <c r="C4" s="636" t="str">
        <f>IF(Lang="Français","Abaques de performance",IF(Lang="English","Performance charts",""))</f>
        <v>Abaques de performance</v>
      </c>
      <c r="D4" s="636"/>
      <c r="M4" s="75"/>
    </row>
    <row r="5" spans="1:13" x14ac:dyDescent="0.2">
      <c r="A5" s="56"/>
      <c r="B5" s="2"/>
      <c r="C5" s="636" t="str">
        <f>IF(Lang="Français","Calcul analytique simple",IF(Lang="English","Analytical computation",""))</f>
        <v>Calcul analytique simple</v>
      </c>
      <c r="D5" s="636"/>
      <c r="M5" s="75"/>
    </row>
    <row r="6" spans="1:13" x14ac:dyDescent="0.2">
      <c r="A6" s="56"/>
      <c r="B6" s="87"/>
      <c r="C6" s="1"/>
      <c r="D6" s="1"/>
      <c r="M6" s="75"/>
    </row>
    <row r="7" spans="1:13" x14ac:dyDescent="0.2">
      <c r="A7" s="59"/>
      <c r="B7" s="6"/>
      <c r="C7" s="612" t="str">
        <f>IF(Lang="Français","Fusée",IF(Lang="English","Rocket",""))</f>
        <v>Fusée</v>
      </c>
      <c r="D7" s="612"/>
      <c r="M7" s="75"/>
    </row>
    <row r="8" spans="1:13" ht="15.75" x14ac:dyDescent="0.25">
      <c r="A8" s="59"/>
      <c r="B8" s="140" t="str">
        <f>IF(Lang="Français","Nom",IF(Lang="English","Name",""))</f>
        <v>Nom</v>
      </c>
      <c r="C8" s="633" t="str">
        <f>Nom</f>
        <v>SP02</v>
      </c>
      <c r="D8" s="633"/>
      <c r="M8" s="75"/>
    </row>
    <row r="9" spans="1:13" ht="15.75" x14ac:dyDescent="0.25">
      <c r="A9" s="59"/>
      <c r="B9" s="140" t="s">
        <v>4</v>
      </c>
      <c r="C9" s="633" t="str">
        <f>Club</f>
        <v>L'AéroIPSA</v>
      </c>
      <c r="D9" s="633"/>
      <c r="M9" s="75"/>
    </row>
    <row r="10" spans="1:13" ht="15.75" x14ac:dyDescent="0.25">
      <c r="A10" s="59"/>
      <c r="B10" s="140" t="s">
        <v>563</v>
      </c>
      <c r="C10" s="662" t="str">
        <f>Matricule</f>
        <v>FX0</v>
      </c>
      <c r="D10" s="663"/>
      <c r="M10" s="75"/>
    </row>
    <row r="11" spans="1:13" x14ac:dyDescent="0.2">
      <c r="A11" s="59"/>
      <c r="B11" s="140" t="str">
        <f>IF(Lang="Français","Masse sans propu",IF(Lang="English","Mass without M",""))</f>
        <v>Masse sans propu</v>
      </c>
      <c r="C11" s="664">
        <f>MasseSans</f>
        <v>7.327</v>
      </c>
      <c r="D11" s="664"/>
      <c r="M11" s="75"/>
    </row>
    <row r="12" spans="1:13" x14ac:dyDescent="0.2">
      <c r="A12" s="59"/>
      <c r="B12" s="140" t="str">
        <f>IF(Lang="Français","Masse totale",IF(Lang="English","Total mass",""))</f>
        <v>Masse totale</v>
      </c>
      <c r="C12" s="667" t="str">
        <f ca="1">MassePlein &amp; " kg ±" &amp; MasseSans &amp; " kg"</f>
        <v>9,012 kg ±7,327 kg</v>
      </c>
      <c r="D12" s="667"/>
      <c r="M12" s="75"/>
    </row>
    <row r="13" spans="1:13" x14ac:dyDescent="0.2">
      <c r="A13" s="59"/>
      <c r="B13" s="227" t="str">
        <f>IF(Lang="Français","Propulseur",IF(Lang="English","Motor",""))</f>
        <v>Propulseur</v>
      </c>
      <c r="C13" s="610" t="str">
        <f>Propu</f>
        <v>Barasinga (Pro54-5G C)</v>
      </c>
      <c r="D13" s="611"/>
      <c r="M13" s="75"/>
    </row>
    <row r="14" spans="1:13" x14ac:dyDescent="0.2">
      <c r="A14" s="59"/>
      <c r="B14" s="1"/>
      <c r="C14" s="1"/>
      <c r="D14" s="1"/>
      <c r="M14" s="75"/>
    </row>
    <row r="15" spans="1:13" x14ac:dyDescent="0.2">
      <c r="A15" s="74"/>
      <c r="C15" s="612" t="str">
        <f>IF(Lang="Français","Traînée Aérdynamique",IF(Lang="English","Drag",""))</f>
        <v>Traînée Aérdynamique</v>
      </c>
      <c r="D15" s="612"/>
      <c r="M15" s="75"/>
    </row>
    <row r="16" spans="1:13" x14ac:dyDescent="0.2">
      <c r="A16" s="74"/>
      <c r="B16" s="139" t="str">
        <f>IF(Lang="Français","Diamètre Ø",IF(Lang="English","Diameter Ø",""))</f>
        <v>Diamètre Ø</v>
      </c>
      <c r="C16" s="665">
        <f>D_ref</f>
        <v>94.331384015594537</v>
      </c>
      <c r="D16" s="665"/>
      <c r="M16" s="75"/>
    </row>
    <row r="17" spans="1:13" x14ac:dyDescent="0.2">
      <c r="A17" s="74"/>
      <c r="B17" s="140" t="s">
        <v>5</v>
      </c>
      <c r="C17" s="666">
        <f>Cx</f>
        <v>0.7</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54</v>
      </c>
      <c r="C43" s="403">
        <f t="shared" ref="C43:C69" ca="1" si="1">1/2*Rho_moyen*PI()*D_var^2/4*Cx/10^6</f>
        <v>9.8193227281520882E-4</v>
      </c>
      <c r="D43" s="400">
        <f ca="1">MpropuPlein+0*MasseSans</f>
        <v>1.6850000000000001</v>
      </c>
      <c r="E43" s="400">
        <f t="shared" ref="E43:E69" ca="1" si="2">m_var - 0.5*m_poudre</f>
        <v>1.1685000000000001</v>
      </c>
      <c r="F43" s="400">
        <f t="shared" ref="F43:F69" ca="1" si="3">m_var - m_poudre</f>
        <v>0.65200000000000014</v>
      </c>
      <c r="G43" s="407">
        <f t="shared" ref="G43:G69" ca="1" si="4">MAX(0, (I_total/Temps_fin_propu)/m_prop-g)</f>
        <v>480.87217115245477</v>
      </c>
      <c r="H43" s="406">
        <f t="shared" ref="H43:H69" ca="1" si="5">Q_var/m_prop</f>
        <v>8.403357063031311E-4</v>
      </c>
      <c r="I43" s="403">
        <f t="shared" ref="I43:I69" ca="1" si="6">Q_var/m_bal</f>
        <v>1.5060310932748597E-3</v>
      </c>
      <c r="J43" s="403">
        <f t="shared" ref="J43:J69" ca="1" si="7">1/(2*b_prop)*LN(  ((EXP(2*SQRT(a_prop*b_prop)*Temps_fin_propu)+1)^2)  /  (((1+1)^2)*EXP(2*SQRT(a_prop*b_prop)*Temps_fin_propu)))</f>
        <v>1903.1945358420992</v>
      </c>
      <c r="K43" s="410">
        <f t="shared" ref="K43:K69" ca="1" si="8">SQRT(a_prop/b_prop)  *  (EXP(2*SQRT(a_prop*b_prop)*Temps_fin_propu)-1)/(EXP(2*SQRT(a_prop*b_prop)*Temps_fin_propu)+1)</f>
        <v>740.86493375900318</v>
      </c>
      <c r="L43" s="413">
        <f t="shared" ref="L43:L69" ca="1" si="9">alt_prop + 1/(2*b_bal) * LN(1+b_bal/g*V_prop^2)</f>
        <v>3379.1781597853906</v>
      </c>
      <c r="M43" s="416">
        <f t="shared" ref="M43:M69" ca="1" si="10">Temps_fin_propu + ATAN(SQRT(b_bal/g)*V_prop)/SQRT(b_bal*g)</f>
        <v>15.620425339981127</v>
      </c>
    </row>
    <row r="44" spans="1:13" x14ac:dyDescent="0.2">
      <c r="B44" s="426">
        <f t="shared" ca="1" si="0"/>
        <v>54</v>
      </c>
      <c r="C44" s="404">
        <f t="shared" ca="1" si="1"/>
        <v>9.8193227281520882E-4</v>
      </c>
      <c r="D44" s="401">
        <f ca="1">MpropuPlein+0.25*MasseSans</f>
        <v>3.51675</v>
      </c>
      <c r="E44" s="401">
        <f t="shared" ca="1" si="2"/>
        <v>3.0002500000000003</v>
      </c>
      <c r="F44" s="401">
        <f t="shared" ca="1" si="3"/>
        <v>2.4837500000000001</v>
      </c>
      <c r="G44" s="408">
        <f t="shared" ca="1" si="4"/>
        <v>181.29478026552567</v>
      </c>
      <c r="H44" s="404">
        <f t="shared" ca="1" si="5"/>
        <v>3.2728348398140448E-4</v>
      </c>
      <c r="I44" s="404">
        <f t="shared" ca="1" si="6"/>
        <v>3.9534263626178509E-4</v>
      </c>
      <c r="J44" s="404">
        <f t="shared" ca="1" si="7"/>
        <v>1044.0794561082246</v>
      </c>
      <c r="K44" s="411">
        <f t="shared" ca="1" si="8"/>
        <v>523.70004618452253</v>
      </c>
      <c r="L44" s="414">
        <f t="shared" ca="1" si="9"/>
        <v>4192.3508748327258</v>
      </c>
      <c r="M44" s="417">
        <f t="shared" ca="1" si="10"/>
        <v>24.121376947372188</v>
      </c>
    </row>
    <row r="45" spans="1:13" x14ac:dyDescent="0.2">
      <c r="B45" s="426">
        <f t="shared" ca="1" si="0"/>
        <v>54</v>
      </c>
      <c r="C45" s="404">
        <f t="shared" ca="1" si="1"/>
        <v>9.8193227281520882E-4</v>
      </c>
      <c r="D45" s="401">
        <f ca="1">MpropuPlein+0.5*MasseSans</f>
        <v>5.3484999999999996</v>
      </c>
      <c r="E45" s="401">
        <f t="shared" ca="1" si="2"/>
        <v>4.8319999999999999</v>
      </c>
      <c r="F45" s="401">
        <f t="shared" ca="1" si="3"/>
        <v>4.3155000000000001</v>
      </c>
      <c r="G45" s="408">
        <f t="shared" ca="1" si="4"/>
        <v>108.8493785164825</v>
      </c>
      <c r="H45" s="404">
        <f t="shared" ca="1" si="5"/>
        <v>2.0321446043361112E-4</v>
      </c>
      <c r="I45" s="404">
        <f t="shared" ca="1" si="6"/>
        <v>2.2753615405288121E-4</v>
      </c>
      <c r="J45" s="404">
        <f t="shared" ca="1" si="7"/>
        <v>670.43615378697018</v>
      </c>
      <c r="K45" s="411">
        <f t="shared" ca="1" si="8"/>
        <v>357.43198125519797</v>
      </c>
      <c r="L45" s="414">
        <f t="shared" ca="1" si="9"/>
        <v>3696.4701486523782</v>
      </c>
      <c r="M45" s="417">
        <f t="shared" ca="1" si="10"/>
        <v>25.698488840049524</v>
      </c>
    </row>
    <row r="46" spans="1:13" x14ac:dyDescent="0.2">
      <c r="B46" s="426">
        <f t="shared" ca="1" si="0"/>
        <v>54</v>
      </c>
      <c r="C46" s="404">
        <f t="shared" ca="1" si="1"/>
        <v>9.8193227281520882E-4</v>
      </c>
      <c r="D46" s="401">
        <f ca="1">MpropuPlein+0.75*MasseSans</f>
        <v>7.1802500000000009</v>
      </c>
      <c r="E46" s="401">
        <f t="shared" ca="1" si="2"/>
        <v>6.6637500000000012</v>
      </c>
      <c r="F46" s="401">
        <f t="shared" ca="1" si="3"/>
        <v>6.1472500000000014</v>
      </c>
      <c r="G46" s="408">
        <f t="shared" ca="1" si="4"/>
        <v>76.231960906643152</v>
      </c>
      <c r="H46" s="404">
        <f t="shared" ca="1" si="5"/>
        <v>1.473543084322204E-4</v>
      </c>
      <c r="I46" s="404">
        <f t="shared" ca="1" si="6"/>
        <v>1.5973521051123812E-4</v>
      </c>
      <c r="J46" s="404">
        <f t="shared" ca="1" si="7"/>
        <v>479.82781744073458</v>
      </c>
      <c r="K46" s="411">
        <f t="shared" ca="1" si="8"/>
        <v>261.18836095288219</v>
      </c>
      <c r="L46" s="414">
        <f t="shared" ca="1" si="9"/>
        <v>2818.295223496269</v>
      </c>
      <c r="M46" s="417">
        <f t="shared" ca="1" si="10"/>
        <v>24.093987665557332</v>
      </c>
    </row>
    <row r="47" spans="1:13" x14ac:dyDescent="0.2">
      <c r="B47" s="426">
        <f t="shared" ca="1" si="0"/>
        <v>54</v>
      </c>
      <c r="C47" s="404">
        <f t="shared" ca="1" si="1"/>
        <v>9.8193227281520882E-4</v>
      </c>
      <c r="D47" s="401">
        <f ca="1">MpropuPlein+1*MasseSans</f>
        <v>9.0120000000000005</v>
      </c>
      <c r="E47" s="401">
        <f t="shared" ca="1" si="2"/>
        <v>8.4954999999999998</v>
      </c>
      <c r="F47" s="401">
        <f t="shared" ca="1" si="3"/>
        <v>7.979000000000001</v>
      </c>
      <c r="G47" s="408">
        <f t="shared" ca="1" si="4"/>
        <v>57.680096756123064</v>
      </c>
      <c r="H47" s="404">
        <f t="shared" ca="1" si="5"/>
        <v>1.1558263466720133E-4</v>
      </c>
      <c r="I47" s="404">
        <f t="shared" ca="1" si="6"/>
        <v>1.2306457862078064E-4</v>
      </c>
      <c r="J47" s="404">
        <f t="shared" ca="1" si="7"/>
        <v>366.48948077279113</v>
      </c>
      <c r="K47" s="411">
        <f t="shared" ca="1" si="8"/>
        <v>201.33782039234276</v>
      </c>
      <c r="L47" s="414">
        <f t="shared" ca="1" si="9"/>
        <v>2036.8900169476315</v>
      </c>
      <c r="M47" s="417">
        <f t="shared" ca="1" si="10"/>
        <v>21.418724768495601</v>
      </c>
    </row>
    <row r="48" spans="1:13" x14ac:dyDescent="0.2">
      <c r="B48" s="426">
        <f t="shared" ca="1" si="0"/>
        <v>54</v>
      </c>
      <c r="C48" s="404">
        <f t="shared" ca="1" si="1"/>
        <v>9.8193227281520882E-4</v>
      </c>
      <c r="D48" s="401">
        <f ca="1">MpropuPlein+1.25*MasseSans</f>
        <v>10.84375</v>
      </c>
      <c r="E48" s="401">
        <f t="shared" ca="1" si="2"/>
        <v>10.327249999999999</v>
      </c>
      <c r="F48" s="401">
        <f t="shared" ca="1" si="3"/>
        <v>9.8107500000000005</v>
      </c>
      <c r="G48" s="408">
        <f t="shared" ca="1" si="4"/>
        <v>45.709341256543944</v>
      </c>
      <c r="H48" s="404">
        <f t="shared" ca="1" si="5"/>
        <v>9.5081679325590931E-5</v>
      </c>
      <c r="I48" s="404">
        <f t="shared" ca="1" si="6"/>
        <v>1.0008738096630826E-4</v>
      </c>
      <c r="J48" s="404">
        <f t="shared" ca="1" si="7"/>
        <v>291.84385416547309</v>
      </c>
      <c r="K48" s="411">
        <f t="shared" ca="1" si="8"/>
        <v>161.09980038014106</v>
      </c>
      <c r="L48" s="414">
        <f t="shared" ca="1" si="9"/>
        <v>1465.3459084720657</v>
      </c>
      <c r="M48" s="417">
        <f t="shared" ca="1" si="10"/>
        <v>18.756648969341182</v>
      </c>
    </row>
    <row r="49" spans="2:13" x14ac:dyDescent="0.2">
      <c r="B49" s="426">
        <f t="shared" ca="1" si="0"/>
        <v>54</v>
      </c>
      <c r="C49" s="404">
        <f t="shared" ca="1" si="1"/>
        <v>9.8193227281520882E-4</v>
      </c>
      <c r="D49" s="401">
        <f ca="1">MpropuPlein+1.5*MasseSans</f>
        <v>12.675500000000001</v>
      </c>
      <c r="E49" s="401">
        <f t="shared" ca="1" si="2"/>
        <v>12.159000000000001</v>
      </c>
      <c r="F49" s="401">
        <f t="shared" ca="1" si="3"/>
        <v>11.642500000000002</v>
      </c>
      <c r="G49" s="408">
        <f t="shared" ca="1" si="4"/>
        <v>37.345367792716786</v>
      </c>
      <c r="H49" s="404">
        <f t="shared" ca="1" si="5"/>
        <v>8.0757650531722077E-5</v>
      </c>
      <c r="I49" s="404">
        <f t="shared" ca="1" si="6"/>
        <v>8.4340328350028654E-5</v>
      </c>
      <c r="J49" s="404">
        <f t="shared" ca="1" si="7"/>
        <v>239.11236141218635</v>
      </c>
      <c r="K49" s="411">
        <f t="shared" ca="1" si="8"/>
        <v>132.35938209982376</v>
      </c>
      <c r="L49" s="414">
        <f t="shared" ca="1" si="9"/>
        <v>1070.8547211685013</v>
      </c>
      <c r="M49" s="417">
        <f t="shared" ca="1" si="10"/>
        <v>16.460217106651754</v>
      </c>
    </row>
    <row r="50" spans="2:13" x14ac:dyDescent="0.2">
      <c r="B50" s="426">
        <f t="shared" ca="1" si="0"/>
        <v>54</v>
      </c>
      <c r="C50" s="404">
        <f t="shared" ca="1" si="1"/>
        <v>9.8193227281520882E-4</v>
      </c>
      <c r="D50" s="401">
        <f ca="1">MpropuPlein+1.75*MasseSans</f>
        <v>14.507250000000001</v>
      </c>
      <c r="E50" s="401">
        <f t="shared" ca="1" si="2"/>
        <v>13.99075</v>
      </c>
      <c r="F50" s="401">
        <f t="shared" ca="1" si="3"/>
        <v>13.474250000000001</v>
      </c>
      <c r="G50" s="408">
        <f t="shared" ca="1" si="4"/>
        <v>31.171513999724347</v>
      </c>
      <c r="H50" s="404">
        <f t="shared" ca="1" si="5"/>
        <v>7.0184391316777787E-5</v>
      </c>
      <c r="I50" s="404">
        <f t="shared" ca="1" si="6"/>
        <v>7.2874725703858003E-5</v>
      </c>
      <c r="J50" s="404">
        <f t="shared" ca="1" si="7"/>
        <v>199.93387369526377</v>
      </c>
      <c r="K50" s="411">
        <f t="shared" ca="1" si="8"/>
        <v>110.86569933173604</v>
      </c>
      <c r="L50" s="414">
        <f t="shared" ca="1" si="9"/>
        <v>799.42651812184067</v>
      </c>
      <c r="M50" s="417">
        <f t="shared" ca="1" si="10"/>
        <v>14.565029298943164</v>
      </c>
    </row>
    <row r="51" spans="2:13" x14ac:dyDescent="0.2">
      <c r="B51" s="427">
        <f t="shared" ca="1" si="0"/>
        <v>54</v>
      </c>
      <c r="C51" s="405">
        <f t="shared" ca="1" si="1"/>
        <v>9.8193227281520882E-4</v>
      </c>
      <c r="D51" s="402">
        <f ca="1">MpropuPlein+2*MasseSans</f>
        <v>16.338999999999999</v>
      </c>
      <c r="E51" s="402">
        <f t="shared" ca="1" si="2"/>
        <v>15.822499999999998</v>
      </c>
      <c r="F51" s="402">
        <f t="shared" ca="1" si="3"/>
        <v>15.305999999999999</v>
      </c>
      <c r="G51" s="409">
        <f t="shared" ca="1" si="4"/>
        <v>26.427138062356988</v>
      </c>
      <c r="H51" s="405">
        <f t="shared" ca="1" si="5"/>
        <v>6.2059236708181956E-5</v>
      </c>
      <c r="I51" s="405">
        <f t="shared" ca="1" si="6"/>
        <v>6.4153421717967385E-5</v>
      </c>
      <c r="J51" s="405">
        <f t="shared" ca="1" si="7"/>
        <v>169.70122536082911</v>
      </c>
      <c r="K51" s="412">
        <f t="shared" ca="1" si="8"/>
        <v>94.210579553764816</v>
      </c>
      <c r="L51" s="415">
        <f t="shared" ca="1" si="9"/>
        <v>609.43626918559971</v>
      </c>
      <c r="M51" s="418">
        <f t="shared" ca="1" si="10"/>
        <v>13.013933125325117</v>
      </c>
    </row>
    <row r="52" spans="2:13" x14ac:dyDescent="0.2">
      <c r="B52" s="425">
        <f t="shared" ref="B52:B60" si="11">D_ref</f>
        <v>94.331384015594537</v>
      </c>
      <c r="C52" s="403">
        <f t="shared" si="1"/>
        <v>2.9964458044763696E-3</v>
      </c>
      <c r="D52" s="400">
        <f ca="1">MpropuPlein+0*MasseSans</f>
        <v>1.6850000000000001</v>
      </c>
      <c r="E52" s="400">
        <f t="shared" ca="1" si="2"/>
        <v>1.1685000000000001</v>
      </c>
      <c r="F52" s="400">
        <f t="shared" ca="1" si="3"/>
        <v>0.65200000000000014</v>
      </c>
      <c r="G52" s="407">
        <f t="shared" ca="1" si="4"/>
        <v>480.87217115245477</v>
      </c>
      <c r="H52" s="403">
        <f t="shared" ca="1" si="5"/>
        <v>2.5643524214603074E-3</v>
      </c>
      <c r="I52" s="403">
        <f t="shared" ca="1" si="6"/>
        <v>4.595775773736762E-3</v>
      </c>
      <c r="J52" s="403">
        <f t="shared" ca="1" si="7"/>
        <v>1284.4395701788037</v>
      </c>
      <c r="K52" s="410">
        <f t="shared" ca="1" si="8"/>
        <v>432.73960905359797</v>
      </c>
      <c r="L52" s="413">
        <f t="shared" ca="1" si="9"/>
        <v>1772.4514825487752</v>
      </c>
      <c r="M52" s="416">
        <f t="shared" ca="1" si="10"/>
        <v>10.486932697479894</v>
      </c>
    </row>
    <row r="53" spans="2:13" x14ac:dyDescent="0.2">
      <c r="B53" s="426">
        <f t="shared" si="11"/>
        <v>94.331384015594537</v>
      </c>
      <c r="C53" s="404">
        <f t="shared" si="1"/>
        <v>2.9964458044763696E-3</v>
      </c>
      <c r="D53" s="401">
        <f ca="1">MpropuPlein+0.25*MasseSans</f>
        <v>3.51675</v>
      </c>
      <c r="E53" s="401">
        <f t="shared" ca="1" si="2"/>
        <v>3.0002500000000003</v>
      </c>
      <c r="F53" s="401">
        <f t="shared" ca="1" si="3"/>
        <v>2.4837500000000001</v>
      </c>
      <c r="G53" s="408">
        <f t="shared" ca="1" si="4"/>
        <v>181.29478026552567</v>
      </c>
      <c r="H53" s="404">
        <f t="shared" ca="1" si="5"/>
        <v>9.9873204048874908E-4</v>
      </c>
      <c r="I53" s="404">
        <f t="shared" ca="1" si="6"/>
        <v>1.2064200521293888E-3</v>
      </c>
      <c r="J53" s="404">
        <f t="shared" ca="1" si="7"/>
        <v>881.61401872642307</v>
      </c>
      <c r="K53" s="411">
        <f t="shared" ca="1" si="8"/>
        <v>387.71830952644586</v>
      </c>
      <c r="L53" s="414">
        <f t="shared" ca="1" si="9"/>
        <v>2112.4200804063807</v>
      </c>
      <c r="M53" s="417">
        <f t="shared" ca="1" si="10"/>
        <v>15.928420536318889</v>
      </c>
    </row>
    <row r="54" spans="2:13" x14ac:dyDescent="0.2">
      <c r="B54" s="426">
        <f t="shared" si="11"/>
        <v>94.331384015594537</v>
      </c>
      <c r="C54" s="404">
        <f t="shared" si="1"/>
        <v>2.9964458044763696E-3</v>
      </c>
      <c r="D54" s="401">
        <f ca="1">MpropuPlein+0.5*MasseSans</f>
        <v>5.3484999999999996</v>
      </c>
      <c r="E54" s="401">
        <f t="shared" ca="1" si="2"/>
        <v>4.8319999999999999</v>
      </c>
      <c r="F54" s="401">
        <f t="shared" ca="1" si="3"/>
        <v>4.3155000000000001</v>
      </c>
      <c r="G54" s="408">
        <f t="shared" ca="1" si="4"/>
        <v>108.8493785164825</v>
      </c>
      <c r="H54" s="404">
        <f t="shared" ca="1" si="5"/>
        <v>6.2012537344295735E-4</v>
      </c>
      <c r="I54" s="404">
        <f t="shared" ca="1" si="6"/>
        <v>6.9434499003044126E-4</v>
      </c>
      <c r="J54" s="404">
        <f t="shared" ca="1" si="7"/>
        <v>618.45208611015778</v>
      </c>
      <c r="K54" s="411">
        <f t="shared" ca="1" si="8"/>
        <v>306.61861989278975</v>
      </c>
      <c r="L54" s="414">
        <f t="shared" ca="1" si="9"/>
        <v>2084.0560402771916</v>
      </c>
      <c r="M54" s="417">
        <f t="shared" ca="1" si="10"/>
        <v>18.141635613755771</v>
      </c>
    </row>
    <row r="55" spans="2:13" x14ac:dyDescent="0.2">
      <c r="B55" s="426">
        <f t="shared" si="11"/>
        <v>94.331384015594537</v>
      </c>
      <c r="C55" s="404">
        <f t="shared" si="1"/>
        <v>2.9964458044763696E-3</v>
      </c>
      <c r="D55" s="401">
        <f ca="1">MpropuPlein+0.75*MasseSans</f>
        <v>7.1802500000000009</v>
      </c>
      <c r="E55" s="401">
        <f t="shared" ca="1" si="2"/>
        <v>6.6637500000000012</v>
      </c>
      <c r="F55" s="401">
        <f t="shared" ca="1" si="3"/>
        <v>6.1472500000000014</v>
      </c>
      <c r="G55" s="408">
        <f t="shared" ca="1" si="4"/>
        <v>76.231960906643152</v>
      </c>
      <c r="H55" s="404">
        <f t="shared" ca="1" si="5"/>
        <v>4.4966359849579724E-4</v>
      </c>
      <c r="I55" s="404">
        <f t="shared" ca="1" si="6"/>
        <v>4.8744492325452336E-4</v>
      </c>
      <c r="J55" s="404">
        <f t="shared" ca="1" si="7"/>
        <v>458.83278639892291</v>
      </c>
      <c r="K55" s="411">
        <f t="shared" ca="1" si="8"/>
        <v>239.41274725387919</v>
      </c>
      <c r="L55" s="414">
        <f t="shared" ca="1" si="9"/>
        <v>1841.1145422729369</v>
      </c>
      <c r="M55" s="417">
        <f t="shared" ca="1" si="10"/>
        <v>18.569915748638465</v>
      </c>
    </row>
    <row r="56" spans="2:13" x14ac:dyDescent="0.2">
      <c r="B56" s="426">
        <f t="shared" si="11"/>
        <v>94.331384015594537</v>
      </c>
      <c r="C56" s="404">
        <f t="shared" si="1"/>
        <v>2.9964458044763696E-3</v>
      </c>
      <c r="D56" s="401">
        <f ca="1">MpropuPlein+1*MasseSans</f>
        <v>9.0120000000000005</v>
      </c>
      <c r="E56" s="401">
        <f t="shared" ca="1" si="2"/>
        <v>8.4954999999999998</v>
      </c>
      <c r="F56" s="401">
        <f t="shared" ca="1" si="3"/>
        <v>7.979000000000001</v>
      </c>
      <c r="G56" s="408">
        <f t="shared" ca="1" si="4"/>
        <v>57.680096756123064</v>
      </c>
      <c r="H56" s="404">
        <f t="shared" ca="1" si="5"/>
        <v>3.527097645196127E-4</v>
      </c>
      <c r="I56" s="404">
        <f t="shared" ca="1" si="6"/>
        <v>3.7554152205494036E-4</v>
      </c>
      <c r="J56" s="404">
        <f t="shared" ca="1" si="7"/>
        <v>356.50280787488322</v>
      </c>
      <c r="K56" s="411">
        <f t="shared" ca="1" si="8"/>
        <v>190.68953171302917</v>
      </c>
      <c r="L56" s="414">
        <f t="shared" ca="1" si="9"/>
        <v>1517.6719101081194</v>
      </c>
      <c r="M56" s="417">
        <f t="shared" ca="1" si="10"/>
        <v>17.885906831116664</v>
      </c>
    </row>
    <row r="57" spans="2:13" x14ac:dyDescent="0.2">
      <c r="B57" s="426">
        <f t="shared" si="11"/>
        <v>94.331384015594537</v>
      </c>
      <c r="C57" s="404">
        <f t="shared" si="1"/>
        <v>2.9964458044763696E-3</v>
      </c>
      <c r="D57" s="401">
        <f ca="1">MpropuPlein+1.25*MasseSans</f>
        <v>10.84375</v>
      </c>
      <c r="E57" s="401">
        <f t="shared" ca="1" si="2"/>
        <v>10.327249999999999</v>
      </c>
      <c r="F57" s="401">
        <f t="shared" ca="1" si="3"/>
        <v>9.8107500000000005</v>
      </c>
      <c r="G57" s="408">
        <f t="shared" ca="1" si="4"/>
        <v>45.709341256543944</v>
      </c>
      <c r="H57" s="404">
        <f t="shared" ca="1" si="5"/>
        <v>2.9014944002288799E-4</v>
      </c>
      <c r="I57" s="404">
        <f t="shared" ca="1" si="6"/>
        <v>3.0542474372258687E-4</v>
      </c>
      <c r="J57" s="404">
        <f t="shared" ca="1" si="7"/>
        <v>286.52567702131</v>
      </c>
      <c r="K57" s="411">
        <f t="shared" ca="1" si="8"/>
        <v>155.34480572999485</v>
      </c>
      <c r="L57" s="414">
        <f t="shared" ca="1" si="9"/>
        <v>1203.8931937351654</v>
      </c>
      <c r="M57" s="417">
        <f t="shared" ca="1" si="10"/>
        <v>16.636977248579466</v>
      </c>
    </row>
    <row r="58" spans="2:13" x14ac:dyDescent="0.2">
      <c r="B58" s="426">
        <f t="shared" si="11"/>
        <v>94.331384015594537</v>
      </c>
      <c r="C58" s="404">
        <f t="shared" si="1"/>
        <v>2.9964458044763696E-3</v>
      </c>
      <c r="D58" s="401">
        <f ca="1">MpropuPlein+1.5*MasseSans</f>
        <v>12.675500000000001</v>
      </c>
      <c r="E58" s="401">
        <f t="shared" ca="1" si="2"/>
        <v>12.159000000000001</v>
      </c>
      <c r="F58" s="401">
        <f t="shared" ca="1" si="3"/>
        <v>11.642500000000002</v>
      </c>
      <c r="G58" s="408">
        <f t="shared" ca="1" si="4"/>
        <v>37.345367792716786</v>
      </c>
      <c r="H58" s="404">
        <f t="shared" ca="1" si="5"/>
        <v>2.4643850682427577E-4</v>
      </c>
      <c r="I58" s="404">
        <f t="shared" ca="1" si="6"/>
        <v>2.5737133815558247E-4</v>
      </c>
      <c r="J58" s="404">
        <f t="shared" ca="1" si="7"/>
        <v>236.04318231750756</v>
      </c>
      <c r="K58" s="411">
        <f t="shared" ca="1" si="8"/>
        <v>129.00901651114137</v>
      </c>
      <c r="L58" s="414">
        <f t="shared" ca="1" si="9"/>
        <v>939.91429654995534</v>
      </c>
      <c r="M58" s="417">
        <f t="shared" ca="1" si="10"/>
        <v>15.210980872848912</v>
      </c>
    </row>
    <row r="59" spans="2:13" x14ac:dyDescent="0.2">
      <c r="B59" s="426">
        <f t="shared" si="11"/>
        <v>94.331384015594537</v>
      </c>
      <c r="C59" s="404">
        <f t="shared" si="1"/>
        <v>2.9964458044763696E-3</v>
      </c>
      <c r="D59" s="401">
        <f ca="1">MpropuPlein+1.75*MasseSans</f>
        <v>14.507250000000001</v>
      </c>
      <c r="E59" s="401">
        <f t="shared" ca="1" si="2"/>
        <v>13.99075</v>
      </c>
      <c r="F59" s="401">
        <f t="shared" ca="1" si="3"/>
        <v>13.474250000000001</v>
      </c>
      <c r="G59" s="408">
        <f t="shared" ca="1" si="4"/>
        <v>31.171513999724347</v>
      </c>
      <c r="H59" s="404">
        <f t="shared" ca="1" si="5"/>
        <v>2.1417335056922392E-4</v>
      </c>
      <c r="I59" s="404">
        <f t="shared" ca="1" si="6"/>
        <v>2.2238312369715339E-4</v>
      </c>
      <c r="J59" s="404">
        <f t="shared" ca="1" si="7"/>
        <v>198.05464310616185</v>
      </c>
      <c r="K59" s="411">
        <f t="shared" ca="1" si="8"/>
        <v>108.80293663639753</v>
      </c>
      <c r="L59" s="414">
        <f t="shared" ca="1" si="9"/>
        <v>732.5441906749603</v>
      </c>
      <c r="M59" s="417">
        <f t="shared" ca="1" si="10"/>
        <v>13.823274432540124</v>
      </c>
    </row>
    <row r="60" spans="2:13" x14ac:dyDescent="0.2">
      <c r="B60" s="427">
        <f t="shared" si="11"/>
        <v>94.331384015594537</v>
      </c>
      <c r="C60" s="405">
        <f t="shared" si="1"/>
        <v>2.9964458044763696E-3</v>
      </c>
      <c r="D60" s="402">
        <f ca="1">MpropuPlein+2*MasseSans</f>
        <v>16.338999999999999</v>
      </c>
      <c r="E60" s="402">
        <f t="shared" ca="1" si="2"/>
        <v>15.822499999999998</v>
      </c>
      <c r="F60" s="402">
        <f t="shared" ca="1" si="3"/>
        <v>15.305999999999999</v>
      </c>
      <c r="G60" s="409">
        <f t="shared" ca="1" si="4"/>
        <v>26.427138062356988</v>
      </c>
      <c r="H60" s="405">
        <f t="shared" ca="1" si="5"/>
        <v>1.8937878366101247E-4</v>
      </c>
      <c r="I60" s="405">
        <f t="shared" ca="1" si="6"/>
        <v>1.9576935871399253E-4</v>
      </c>
      <c r="J60" s="405">
        <f t="shared" ca="1" si="7"/>
        <v>168.49793847517333</v>
      </c>
      <c r="K60" s="412">
        <f t="shared" ca="1" si="8"/>
        <v>92.884886867057702</v>
      </c>
      <c r="L60" s="415">
        <f t="shared" ca="1" si="9"/>
        <v>574.22934351521235</v>
      </c>
      <c r="M60" s="418">
        <f t="shared" ca="1" si="10"/>
        <v>12.565029505800627</v>
      </c>
    </row>
    <row r="61" spans="2:13" x14ac:dyDescent="0.2">
      <c r="B61" s="425">
        <f t="shared" ref="B61:B69" si="12">D_ref*1.5</f>
        <v>141.4970760233918</v>
      </c>
      <c r="C61" s="403">
        <f t="shared" si="1"/>
        <v>6.7420030600718319E-3</v>
      </c>
      <c r="D61" s="400">
        <f ca="1">MpropuPlein+0*MasseSans</f>
        <v>1.6850000000000001</v>
      </c>
      <c r="E61" s="400">
        <f t="shared" ca="1" si="2"/>
        <v>1.1685000000000001</v>
      </c>
      <c r="F61" s="400">
        <f t="shared" ca="1" si="3"/>
        <v>0.65200000000000014</v>
      </c>
      <c r="G61" s="407">
        <f t="shared" ca="1" si="4"/>
        <v>480.87217115245477</v>
      </c>
      <c r="H61" s="403">
        <f t="shared" ca="1" si="5"/>
        <v>5.7697929482856923E-3</v>
      </c>
      <c r="I61" s="403">
        <f t="shared" ca="1" si="6"/>
        <v>1.0340495490907715E-2</v>
      </c>
      <c r="J61" s="403">
        <f t="shared" ca="1" si="7"/>
        <v>916.27148527159261</v>
      </c>
      <c r="K61" s="410">
        <f t="shared" ca="1" si="8"/>
        <v>288.68827903690323</v>
      </c>
      <c r="L61" s="413">
        <f t="shared" ca="1" si="9"/>
        <v>1133.2303457424821</v>
      </c>
      <c r="M61" s="416">
        <f t="shared" ca="1" si="10"/>
        <v>8.1881792456168494</v>
      </c>
    </row>
    <row r="62" spans="2:13" x14ac:dyDescent="0.2">
      <c r="B62" s="426">
        <f t="shared" si="12"/>
        <v>141.4970760233918</v>
      </c>
      <c r="C62" s="404">
        <f t="shared" si="1"/>
        <v>6.7420030600718319E-3</v>
      </c>
      <c r="D62" s="401">
        <f ca="1">MpropuPlein+0.25*MasseSans</f>
        <v>3.51675</v>
      </c>
      <c r="E62" s="401">
        <f t="shared" ca="1" si="2"/>
        <v>3.0002500000000003</v>
      </c>
      <c r="F62" s="401">
        <f t="shared" ca="1" si="3"/>
        <v>2.4837500000000001</v>
      </c>
      <c r="G62" s="408">
        <f t="shared" ca="1" si="4"/>
        <v>181.29478026552567</v>
      </c>
      <c r="H62" s="404">
        <f t="shared" ca="1" si="5"/>
        <v>2.2471470910996856E-3</v>
      </c>
      <c r="I62" s="404">
        <f t="shared" ca="1" si="6"/>
        <v>2.714445117291125E-3</v>
      </c>
      <c r="J62" s="404">
        <f t="shared" ca="1" si="7"/>
        <v>715.76851609283051</v>
      </c>
      <c r="K62" s="411">
        <f t="shared" ca="1" si="8"/>
        <v>278.28794113056961</v>
      </c>
      <c r="L62" s="414">
        <f t="shared" ca="1" si="9"/>
        <v>1288.6945235561457</v>
      </c>
      <c r="M62" s="417">
        <f t="shared" ca="1" si="10"/>
        <v>11.912205014018452</v>
      </c>
    </row>
    <row r="63" spans="2:13" x14ac:dyDescent="0.2">
      <c r="B63" s="426">
        <f t="shared" si="12"/>
        <v>141.4970760233918</v>
      </c>
      <c r="C63" s="404">
        <f t="shared" si="1"/>
        <v>6.7420030600718319E-3</v>
      </c>
      <c r="D63" s="401">
        <f ca="1">MpropuPlein+0.5*MasseSans</f>
        <v>5.3484999999999996</v>
      </c>
      <c r="E63" s="401">
        <f t="shared" ca="1" si="2"/>
        <v>4.8319999999999999</v>
      </c>
      <c r="F63" s="401">
        <f t="shared" ca="1" si="3"/>
        <v>4.3155000000000001</v>
      </c>
      <c r="G63" s="408">
        <f t="shared" ca="1" si="4"/>
        <v>108.8493785164825</v>
      </c>
      <c r="H63" s="404">
        <f t="shared" ca="1" si="5"/>
        <v>1.395282090246654E-3</v>
      </c>
      <c r="I63" s="404">
        <f t="shared" ca="1" si="6"/>
        <v>1.5622762275684932E-3</v>
      </c>
      <c r="J63" s="404">
        <f t="shared" ca="1" si="7"/>
        <v>548.31886018845364</v>
      </c>
      <c r="K63" s="411">
        <f t="shared" ca="1" si="8"/>
        <v>247.22860683617813</v>
      </c>
      <c r="L63" s="414">
        <f t="shared" ca="1" si="9"/>
        <v>1307.9174576415517</v>
      </c>
      <c r="M63" s="417">
        <f t="shared" ca="1" si="10"/>
        <v>13.77288834208127</v>
      </c>
    </row>
    <row r="64" spans="2:13" x14ac:dyDescent="0.2">
      <c r="B64" s="426">
        <f t="shared" si="12"/>
        <v>141.4970760233918</v>
      </c>
      <c r="C64" s="404">
        <f t="shared" si="1"/>
        <v>6.7420030600718319E-3</v>
      </c>
      <c r="D64" s="401">
        <f ca="1">MpropuPlein+0.75*MasseSans</f>
        <v>7.1802500000000009</v>
      </c>
      <c r="E64" s="401">
        <f t="shared" ca="1" si="2"/>
        <v>6.6637500000000012</v>
      </c>
      <c r="F64" s="401">
        <f t="shared" ca="1" si="3"/>
        <v>6.1472500000000014</v>
      </c>
      <c r="G64" s="408">
        <f t="shared" ca="1" si="4"/>
        <v>76.231960906643152</v>
      </c>
      <c r="H64" s="404">
        <f t="shared" ca="1" si="5"/>
        <v>1.011743096615544E-3</v>
      </c>
      <c r="I64" s="404">
        <f t="shared" ca="1" si="6"/>
        <v>1.0967510773226778E-3</v>
      </c>
      <c r="J64" s="404">
        <f t="shared" ca="1" si="7"/>
        <v>426.49473981323416</v>
      </c>
      <c r="K64" s="411">
        <f t="shared" ca="1" si="8"/>
        <v>208.70745256915799</v>
      </c>
      <c r="L64" s="414">
        <f t="shared" ca="1" si="9"/>
        <v>1233.345061484775</v>
      </c>
      <c r="M64" s="417">
        <f t="shared" ca="1" si="10"/>
        <v>14.631813017483195</v>
      </c>
    </row>
    <row r="65" spans="2:13" x14ac:dyDescent="0.2">
      <c r="B65" s="426">
        <f t="shared" si="12"/>
        <v>141.4970760233918</v>
      </c>
      <c r="C65" s="404">
        <f t="shared" si="1"/>
        <v>6.7420030600718319E-3</v>
      </c>
      <c r="D65" s="401">
        <f ca="1">MpropuPlein+1*MasseSans</f>
        <v>9.0120000000000005</v>
      </c>
      <c r="E65" s="401">
        <f t="shared" ca="1" si="2"/>
        <v>8.4954999999999998</v>
      </c>
      <c r="F65" s="401">
        <f t="shared" ca="1" si="3"/>
        <v>7.979000000000001</v>
      </c>
      <c r="G65" s="408">
        <f t="shared" ca="1" si="4"/>
        <v>57.680096756123064</v>
      </c>
      <c r="H65" s="404">
        <f t="shared" ca="1" si="5"/>
        <v>7.9359697016912856E-4</v>
      </c>
      <c r="I65" s="404">
        <f t="shared" ca="1" si="6"/>
        <v>8.4496842462361587E-4</v>
      </c>
      <c r="J65" s="404">
        <f t="shared" ca="1" si="7"/>
        <v>340.030878917785</v>
      </c>
      <c r="K65" s="411">
        <f t="shared" ca="1" si="8"/>
        <v>174.10831959117101</v>
      </c>
      <c r="L65" s="414">
        <f t="shared" ca="1" si="9"/>
        <v>1099.8171502407697</v>
      </c>
      <c r="M65" s="417">
        <f t="shared" ca="1" si="10"/>
        <v>14.756184406341754</v>
      </c>
    </row>
    <row r="66" spans="2:13" x14ac:dyDescent="0.2">
      <c r="B66" s="426">
        <f t="shared" si="12"/>
        <v>141.4970760233918</v>
      </c>
      <c r="C66" s="404">
        <f t="shared" si="1"/>
        <v>6.7420030600718319E-3</v>
      </c>
      <c r="D66" s="401">
        <f ca="1">MpropuPlein+1.25*MasseSans</f>
        <v>10.84375</v>
      </c>
      <c r="E66" s="401">
        <f t="shared" ca="1" si="2"/>
        <v>10.327249999999999</v>
      </c>
      <c r="F66" s="401">
        <f t="shared" ca="1" si="3"/>
        <v>9.8107500000000005</v>
      </c>
      <c r="G66" s="408">
        <f t="shared" ca="1" si="4"/>
        <v>45.709341256543944</v>
      </c>
      <c r="H66" s="404">
        <f t="shared" ca="1" si="5"/>
        <v>6.5283624005149795E-4</v>
      </c>
      <c r="I66" s="404">
        <f t="shared" ca="1" si="6"/>
        <v>6.8720567337582058E-4</v>
      </c>
      <c r="J66" s="404">
        <f t="shared" ca="1" si="7"/>
        <v>277.40811092779762</v>
      </c>
      <c r="K66" s="411">
        <f t="shared" ca="1" si="8"/>
        <v>145.86024705530681</v>
      </c>
      <c r="L66" s="414">
        <f t="shared" ca="1" si="9"/>
        <v>941.27622914469816</v>
      </c>
      <c r="M66" s="417">
        <f t="shared" ca="1" si="10"/>
        <v>14.362556364222037</v>
      </c>
    </row>
    <row r="67" spans="2:13" x14ac:dyDescent="0.2">
      <c r="B67" s="426">
        <f t="shared" si="12"/>
        <v>141.4970760233918</v>
      </c>
      <c r="C67" s="404">
        <f t="shared" si="1"/>
        <v>6.7420030600718319E-3</v>
      </c>
      <c r="D67" s="401">
        <f ca="1">MpropuPlein+1.5*MasseSans</f>
        <v>12.675500000000001</v>
      </c>
      <c r="E67" s="401">
        <f t="shared" ca="1" si="2"/>
        <v>12.159000000000001</v>
      </c>
      <c r="F67" s="401">
        <f t="shared" ca="1" si="3"/>
        <v>11.642500000000002</v>
      </c>
      <c r="G67" s="408">
        <f t="shared" ca="1" si="4"/>
        <v>37.345367792716786</v>
      </c>
      <c r="H67" s="404">
        <f t="shared" ca="1" si="5"/>
        <v>5.5448664035462054E-4</v>
      </c>
      <c r="I67" s="404">
        <f t="shared" ca="1" si="6"/>
        <v>5.7908551085006062E-4</v>
      </c>
      <c r="J67" s="404">
        <f t="shared" ca="1" si="7"/>
        <v>230.65603662667701</v>
      </c>
      <c r="K67" s="411">
        <f t="shared" ca="1" si="8"/>
        <v>123.29210082953526</v>
      </c>
      <c r="L67" s="414">
        <f t="shared" ca="1" si="9"/>
        <v>783.63044279976475</v>
      </c>
      <c r="M67" s="417">
        <f t="shared" ca="1" si="10"/>
        <v>13.651179429020734</v>
      </c>
    </row>
    <row r="68" spans="2:13" x14ac:dyDescent="0.2">
      <c r="B68" s="426">
        <f t="shared" si="12"/>
        <v>141.4970760233918</v>
      </c>
      <c r="C68" s="404">
        <f t="shared" si="1"/>
        <v>6.7420030600718319E-3</v>
      </c>
      <c r="D68" s="401">
        <f ca="1">MpropuPlein+1.75*MasseSans</f>
        <v>14.507250000000001</v>
      </c>
      <c r="E68" s="401">
        <f t="shared" ca="1" si="2"/>
        <v>13.99075</v>
      </c>
      <c r="F68" s="401">
        <f t="shared" ca="1" si="3"/>
        <v>13.474250000000001</v>
      </c>
      <c r="G68" s="408">
        <f t="shared" ca="1" si="4"/>
        <v>31.171513999724347</v>
      </c>
      <c r="H68" s="404">
        <f t="shared" ca="1" si="5"/>
        <v>4.8189003878075385E-4</v>
      </c>
      <c r="I68" s="404">
        <f t="shared" ca="1" si="6"/>
        <v>5.0036202831859515E-4</v>
      </c>
      <c r="J68" s="404">
        <f t="shared" ca="1" si="7"/>
        <v>194.70561467028932</v>
      </c>
      <c r="K68" s="411">
        <f t="shared" ca="1" si="8"/>
        <v>105.20284619088876</v>
      </c>
      <c r="L68" s="414">
        <f t="shared" ca="1" si="9"/>
        <v>641.95335819979721</v>
      </c>
      <c r="M68" s="417">
        <f t="shared" ca="1" si="10"/>
        <v>12.7870732831362</v>
      </c>
    </row>
    <row r="69" spans="2:13" x14ac:dyDescent="0.2">
      <c r="B69" s="427">
        <f t="shared" si="12"/>
        <v>141.4970760233918</v>
      </c>
      <c r="C69" s="405">
        <f t="shared" si="1"/>
        <v>6.7420030600718319E-3</v>
      </c>
      <c r="D69" s="402">
        <f ca="1">MpropuPlein+2*MasseSans</f>
        <v>16.338999999999999</v>
      </c>
      <c r="E69" s="402">
        <f t="shared" ca="1" si="2"/>
        <v>15.822499999999998</v>
      </c>
      <c r="F69" s="402">
        <f t="shared" ca="1" si="3"/>
        <v>15.305999999999999</v>
      </c>
      <c r="G69" s="409">
        <f t="shared" ca="1" si="4"/>
        <v>26.427138062356988</v>
      </c>
      <c r="H69" s="405">
        <f t="shared" ca="1" si="5"/>
        <v>4.2610226323727809E-4</v>
      </c>
      <c r="I69" s="405">
        <f t="shared" ca="1" si="6"/>
        <v>4.4048105710648322E-4</v>
      </c>
      <c r="J69" s="405">
        <f t="shared" ca="1" si="7"/>
        <v>166.33132787944371</v>
      </c>
      <c r="K69" s="412">
        <f t="shared" ca="1" si="8"/>
        <v>90.535463216861999</v>
      </c>
      <c r="L69" s="415">
        <f t="shared" ca="1" si="9"/>
        <v>522.05544367976313</v>
      </c>
      <c r="M69" s="418">
        <f t="shared" ca="1" si="10"/>
        <v>11.885472447715737</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632" t="s">
        <v>178</v>
      </c>
      <c r="D2" s="632"/>
    </row>
    <row r="3" spans="3:8" x14ac:dyDescent="0.2">
      <c r="C3" s="632"/>
      <c r="D3" s="63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FX0</v>
      </c>
      <c r="N4" s="75"/>
      <c r="O4" s="6"/>
      <c r="P4" s="273"/>
      <c r="Q4" s="436"/>
      <c r="R4" s="48"/>
      <c r="S4" s="48"/>
      <c r="T4" s="48"/>
      <c r="U4" s="48"/>
    </row>
    <row r="5" spans="2:21" ht="15.75" customHeight="1" x14ac:dyDescent="0.2">
      <c r="B5" s="74"/>
      <c r="D5" t="s">
        <v>462</v>
      </c>
      <c r="E5" t="str">
        <f>Propu</f>
        <v>Barasinga (Pro54-5G C)</v>
      </c>
      <c r="G5" t="s">
        <v>459</v>
      </c>
      <c r="H5">
        <f>MasseSans</f>
        <v>7.327</v>
      </c>
      <c r="N5" s="75"/>
      <c r="O5" s="6"/>
      <c r="P5" s="273"/>
      <c r="Q5" s="436"/>
      <c r="R5" s="48"/>
      <c r="S5" s="48"/>
      <c r="T5" s="48"/>
      <c r="U5" s="48"/>
    </row>
    <row r="6" spans="2:21" x14ac:dyDescent="0.2">
      <c r="B6" s="74"/>
      <c r="D6" t="s">
        <v>455</v>
      </c>
      <c r="E6" s="2" t="str">
        <f>Trajecto!H34</f>
        <v>Brun/Orange…</v>
      </c>
      <c r="G6" t="s">
        <v>460</v>
      </c>
      <c r="H6">
        <f>D_ref</f>
        <v>94.331384015594537</v>
      </c>
      <c r="N6" s="75"/>
      <c r="O6" s="6"/>
      <c r="P6" s="273"/>
      <c r="Q6" s="436"/>
      <c r="R6" s="48"/>
      <c r="S6" s="48"/>
      <c r="T6" s="48"/>
      <c r="U6" s="48"/>
    </row>
    <row r="7" spans="2:21" x14ac:dyDescent="0.2">
      <c r="B7" s="74"/>
      <c r="D7" t="s">
        <v>457</v>
      </c>
      <c r="E7" s="2" t="str">
        <f>Trajecto!H35</f>
        <v>Rouge…</v>
      </c>
      <c r="G7" t="s">
        <v>5</v>
      </c>
      <c r="H7">
        <f>Cx</f>
        <v>0.7</v>
      </c>
      <c r="N7" s="75"/>
      <c r="O7" s="6"/>
      <c r="P7" s="273"/>
      <c r="Q7" s="436"/>
      <c r="R7" s="48"/>
      <c r="S7" s="48"/>
      <c r="T7" s="48"/>
      <c r="U7" s="48"/>
    </row>
    <row r="8" spans="2:21" x14ac:dyDescent="0.2">
      <c r="B8" s="74"/>
      <c r="D8" t="s">
        <v>458</v>
      </c>
      <c r="E8" s="2">
        <f>S_para</f>
        <v>0.51200000000000001</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7.327</v>
      </c>
      <c r="F11" s="246" t="s">
        <v>123</v>
      </c>
      <c r="G11" s="246" t="s">
        <v>125</v>
      </c>
      <c r="H11" s="668">
        <f ca="1">Vsortie_de_rampe</f>
        <v>25.435656184067014</v>
      </c>
      <c r="I11" s="669"/>
      <c r="J11" s="76"/>
      <c r="N11" s="75"/>
      <c r="P11" s="48"/>
      <c r="Q11" s="436"/>
      <c r="R11" s="48"/>
      <c r="S11" s="48"/>
      <c r="T11" s="48"/>
      <c r="U11" s="440">
        <f>IF(RIGHT(Nb_diam,1)=",", "", X_j)</f>
        <v>942</v>
      </c>
    </row>
    <row r="12" spans="2:21" ht="13.5" thickBot="1" x14ac:dyDescent="0.25">
      <c r="B12" s="74"/>
      <c r="C12" s="12"/>
      <c r="D12" s="276"/>
      <c r="E12" s="244"/>
      <c r="F12" s="6" t="s">
        <v>123</v>
      </c>
      <c r="G12" s="6" t="s">
        <v>126</v>
      </c>
      <c r="H12" s="670">
        <f>Finesse</f>
        <v>21.753099685898498</v>
      </c>
      <c r="I12" s="671"/>
      <c r="J12" s="76"/>
      <c r="N12" s="75"/>
      <c r="O12" s="6"/>
      <c r="P12" s="273" t="s">
        <v>341</v>
      </c>
      <c r="Q12" s="441">
        <f>D_og</f>
        <v>84</v>
      </c>
      <c r="R12" s="48"/>
      <c r="S12" s="48"/>
      <c r="T12" s="48"/>
      <c r="U12" s="436"/>
    </row>
    <row r="13" spans="2:21" x14ac:dyDescent="0.2">
      <c r="B13" s="74"/>
      <c r="C13" s="12"/>
      <c r="D13" s="276" t="s">
        <v>5</v>
      </c>
      <c r="E13" s="244">
        <f>Cx</f>
        <v>0.7</v>
      </c>
      <c r="F13" s="6" t="s">
        <v>123</v>
      </c>
      <c r="G13" s="6" t="s">
        <v>433</v>
      </c>
      <c r="H13" s="670">
        <f>Cn</f>
        <v>24.887287429562296</v>
      </c>
      <c r="I13" s="671"/>
      <c r="J13" s="76"/>
      <c r="N13" s="75"/>
      <c r="O13" s="6"/>
      <c r="P13" s="48"/>
      <c r="Q13" s="436"/>
      <c r="R13" s="48"/>
      <c r="S13" s="48"/>
      <c r="T13" s="48"/>
      <c r="U13" s="440">
        <f>IF(RIGHT(Nb_diam,1)=",", "", X_r)</f>
        <v>2002</v>
      </c>
    </row>
    <row r="14" spans="2:21" x14ac:dyDescent="0.2">
      <c r="B14" s="74"/>
      <c r="C14" s="12"/>
      <c r="D14" s="276" t="s">
        <v>143</v>
      </c>
      <c r="E14" s="244">
        <f>L_rampe</f>
        <v>4</v>
      </c>
      <c r="F14" s="6" t="s">
        <v>123</v>
      </c>
      <c r="G14" s="6" t="s">
        <v>127</v>
      </c>
      <c r="H14" s="247">
        <f ca="1">MS_min</f>
        <v>1.2207377249728655</v>
      </c>
      <c r="I14" s="254">
        <f ca="1">MS_max</f>
        <v>3.141131997878428</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30.380850637509671</v>
      </c>
      <c r="I15" s="254">
        <f ca="1">MS_Cn_max</f>
        <v>93.735869430419754</v>
      </c>
      <c r="J15" s="76"/>
      <c r="K15" s="76"/>
      <c r="N15" s="75"/>
      <c r="P15" s="48"/>
      <c r="Q15" s="436"/>
      <c r="R15" s="48"/>
      <c r="S15" s="48"/>
      <c r="T15" s="48"/>
    </row>
    <row r="16" spans="2:21" x14ac:dyDescent="0.2">
      <c r="B16" s="74"/>
      <c r="C16" s="12"/>
      <c r="D16" s="276" t="s">
        <v>145</v>
      </c>
      <c r="E16" s="244">
        <f>Q_ail</f>
        <v>4</v>
      </c>
      <c r="F16" s="6" t="s">
        <v>128</v>
      </c>
      <c r="G16" s="6" t="s">
        <v>129</v>
      </c>
      <c r="H16" s="247">
        <f ca="1">V_para</f>
        <v>14.775530266046534</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0">
        <f>T_para</f>
        <v>15.6</v>
      </c>
      <c r="I17" s="671"/>
      <c r="J17" s="258"/>
      <c r="N17" s="75"/>
      <c r="P17" s="434" t="s">
        <v>342</v>
      </c>
      <c r="Q17" s="440">
        <f>IF(RIGHT(Nb_diam,1)=",", "", D2j)</f>
        <v>104</v>
      </c>
      <c r="R17" s="48"/>
      <c r="S17" s="48"/>
      <c r="T17" s="48"/>
      <c r="U17" s="436"/>
    </row>
    <row r="18" spans="2:21" x14ac:dyDescent="0.2">
      <c r="B18" s="74"/>
      <c r="C18" s="12"/>
      <c r="D18" s="276" t="s">
        <v>148</v>
      </c>
      <c r="E18" s="244">
        <f ca="1">XpropuRef-Long_propu</f>
        <v>1564</v>
      </c>
      <c r="F18" s="12" t="s">
        <v>130</v>
      </c>
      <c r="G18" s="12" t="s">
        <v>427</v>
      </c>
      <c r="H18" s="635">
        <f ca="1">T_para-Combustion-Depotage</f>
        <v>15.6</v>
      </c>
      <c r="I18" s="674"/>
      <c r="N18" s="75"/>
      <c r="P18" s="48"/>
      <c r="Q18" s="436"/>
      <c r="R18" s="48"/>
      <c r="S18" s="48"/>
    </row>
    <row r="19" spans="2:21" x14ac:dyDescent="0.2">
      <c r="B19" s="74"/>
      <c r="C19" s="531"/>
      <c r="D19" s="269"/>
      <c r="E19" s="271"/>
      <c r="F19" s="519" t="s">
        <v>132</v>
      </c>
      <c r="G19" s="274" t="s">
        <v>426</v>
      </c>
      <c r="H19" s="675">
        <f ca="1">Portee_balistique</f>
        <v>468.65916031958193</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40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1040</v>
      </c>
      <c r="E23" s="527" t="s">
        <v>38</v>
      </c>
      <c r="F23" s="528">
        <f>m_ail</f>
        <v>190</v>
      </c>
      <c r="G23" s="526">
        <f>m_can</f>
        <v>170</v>
      </c>
      <c r="I23" s="529" t="s">
        <v>448</v>
      </c>
      <c r="J23" s="528">
        <f>l_j</f>
        <v>60</v>
      </c>
      <c r="K23" s="526">
        <f>l_r</f>
        <v>40</v>
      </c>
      <c r="N23" s="75"/>
      <c r="O23" s="273"/>
      <c r="P23" s="436"/>
      <c r="Q23" s="48"/>
      <c r="R23" s="48"/>
      <c r="S23" s="48"/>
      <c r="T23" s="226"/>
      <c r="U23" s="436"/>
    </row>
    <row r="24" spans="2:21" x14ac:dyDescent="0.2">
      <c r="B24" s="74"/>
      <c r="C24" s="526" t="s">
        <v>440</v>
      </c>
      <c r="D24" s="526">
        <f>Long_tot</f>
        <v>2052</v>
      </c>
      <c r="E24" s="527" t="s">
        <v>443</v>
      </c>
      <c r="F24" s="528">
        <f>n_ail</f>
        <v>80</v>
      </c>
      <c r="G24" s="526">
        <f>n_can</f>
        <v>80</v>
      </c>
      <c r="I24" s="529" t="s">
        <v>449</v>
      </c>
      <c r="J24" s="528">
        <f>D1j</f>
        <v>84</v>
      </c>
      <c r="K24" s="526">
        <f>D1r</f>
        <v>104</v>
      </c>
      <c r="N24" s="75"/>
      <c r="O24" s="273"/>
      <c r="P24" s="436"/>
      <c r="Q24" s="48"/>
      <c r="R24" s="48"/>
      <c r="S24" s="48"/>
      <c r="T24" s="226"/>
      <c r="U24" s="436"/>
    </row>
    <row r="25" spans="2:21" x14ac:dyDescent="0.2">
      <c r="B25" s="74"/>
      <c r="C25" s="526" t="s">
        <v>441</v>
      </c>
      <c r="D25" s="526">
        <f>XpropuRef</f>
        <v>2052</v>
      </c>
      <c r="E25" s="527" t="s">
        <v>444</v>
      </c>
      <c r="F25" s="528">
        <f>p_ail</f>
        <v>180</v>
      </c>
      <c r="G25" s="526">
        <f>p_can</f>
        <v>120</v>
      </c>
      <c r="I25" s="529" t="s">
        <v>450</v>
      </c>
      <c r="J25" s="528">
        <f>D2j</f>
        <v>104</v>
      </c>
      <c r="K25" s="526">
        <f>D2r</f>
        <v>84</v>
      </c>
      <c r="N25" s="75"/>
      <c r="O25" s="273"/>
      <c r="P25" s="436"/>
      <c r="Q25" s="48"/>
      <c r="R25" s="48"/>
      <c r="S25" s="48"/>
      <c r="T25" s="226"/>
      <c r="U25" s="436"/>
    </row>
    <row r="26" spans="2:21" x14ac:dyDescent="0.2">
      <c r="B26" s="74"/>
      <c r="C26" s="526" t="s">
        <v>438</v>
      </c>
      <c r="D26" s="526">
        <f>D_ref</f>
        <v>94.331384015594537</v>
      </c>
      <c r="E26" s="527" t="s">
        <v>445</v>
      </c>
      <c r="F26" s="528">
        <f>E_ail</f>
        <v>145</v>
      </c>
      <c r="G26" s="526">
        <f>E_can</f>
        <v>107</v>
      </c>
      <c r="I26" s="529" t="s">
        <v>451</v>
      </c>
      <c r="J26" s="528">
        <f>X_j</f>
        <v>942</v>
      </c>
      <c r="K26" s="526">
        <f>X_r</f>
        <v>2002</v>
      </c>
      <c r="N26" s="75"/>
      <c r="O26" s="273"/>
      <c r="P26" s="436"/>
      <c r="Q26" s="48"/>
      <c r="R26" s="48"/>
      <c r="S26" s="48"/>
      <c r="T26" s="226"/>
      <c r="U26" s="436"/>
    </row>
    <row r="27" spans="2:21" x14ac:dyDescent="0.2">
      <c r="B27" s="74"/>
      <c r="C27" s="526" t="s">
        <v>439</v>
      </c>
      <c r="D27" s="526">
        <f>Long_ogive</f>
        <v>252</v>
      </c>
      <c r="E27" s="527" t="s">
        <v>446</v>
      </c>
      <c r="F27" s="528">
        <f>X_ail</f>
        <v>1972</v>
      </c>
      <c r="G27" s="526">
        <f>X_can</f>
        <v>942</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430</v>
      </c>
      <c r="P29" s="441">
        <f>n_ail</f>
        <v>80</v>
      </c>
      <c r="Q29" s="2"/>
      <c r="R29" s="48"/>
      <c r="S29" s="48"/>
      <c r="T29" s="48"/>
      <c r="U29" s="12" t="s">
        <v>434</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432</v>
      </c>
      <c r="U30" s="523">
        <f>[0]!p_can</f>
        <v>120</v>
      </c>
    </row>
    <row r="31" spans="2:21" ht="13.5" thickBot="1" x14ac:dyDescent="0.25">
      <c r="B31" s="74"/>
      <c r="C31" s="83">
        <f>Beta_rampe</f>
        <v>85</v>
      </c>
      <c r="D31" s="84">
        <f ca="1">Portee_balistique</f>
        <v>468.65916031958193</v>
      </c>
      <c r="E31" s="677">
        <f ca="1">T_para+Dt_para</f>
        <v>111.66758658182518</v>
      </c>
      <c r="F31" s="677"/>
      <c r="G31" s="677"/>
      <c r="H31" s="678">
        <f ca="1">Altitude_culmi</f>
        <v>1427.4899365371464</v>
      </c>
      <c r="I31" s="678"/>
      <c r="J31" s="85">
        <f ca="1">Temps_culmi</f>
        <v>16.799999999999926</v>
      </c>
      <c r="K31" s="86">
        <f ca="1">Vit_culmi</f>
        <v>13.732890082190911</v>
      </c>
      <c r="L31" s="84">
        <f ca="1">Acc_max</f>
        <v>89.371160887134408</v>
      </c>
      <c r="M31" s="86">
        <f ca="1">Vit_max</f>
        <v>184.41620049117012</v>
      </c>
      <c r="N31" s="75"/>
      <c r="O31" s="273" t="s">
        <v>436</v>
      </c>
      <c r="P31" s="441">
        <f>ep_ail</f>
        <v>3</v>
      </c>
      <c r="Q31" s="2"/>
      <c r="R31" s="48"/>
      <c r="S31" s="48"/>
      <c r="T31" s="226" t="s">
        <v>344</v>
      </c>
      <c r="U31" s="523">
        <f>[0]!m_can</f>
        <v>170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107</v>
      </c>
    </row>
    <row r="34" spans="2:21" ht="13.5" thickBot="1" x14ac:dyDescent="0.25">
      <c r="B34" s="77"/>
      <c r="C34" s="78"/>
      <c r="D34" s="78"/>
      <c r="E34" s="78"/>
      <c r="F34" s="78"/>
      <c r="G34" s="78"/>
      <c r="H34" s="78"/>
      <c r="I34" s="78"/>
      <c r="J34" s="78"/>
      <c r="K34" s="78"/>
      <c r="L34" s="78"/>
      <c r="M34" s="78"/>
      <c r="N34" s="79"/>
      <c r="O34" s="2"/>
      <c r="P34" s="273" t="s">
        <v>431</v>
      </c>
      <c r="Q34" s="441">
        <f>E_ail</f>
        <v>145</v>
      </c>
      <c r="T34" s="226" t="s">
        <v>436</v>
      </c>
      <c r="U34" s="523">
        <f>[0]!ep_can</f>
        <v>3</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FX0</v>
      </c>
      <c r="N38" s="75"/>
    </row>
    <row r="39" spans="2:21" x14ac:dyDescent="0.2">
      <c r="B39" s="74"/>
      <c r="D39" s="2"/>
      <c r="N39" s="75"/>
    </row>
    <row r="40" spans="2:21" x14ac:dyDescent="0.2">
      <c r="B40" s="74"/>
      <c r="D40" s="275" t="s">
        <v>149</v>
      </c>
      <c r="E40" s="246">
        <f>D_ref</f>
        <v>94.331384015594537</v>
      </c>
      <c r="F40" s="265"/>
      <c r="G40" s="265"/>
      <c r="H40" s="261" t="s">
        <v>198</v>
      </c>
      <c r="I40" s="261" t="s">
        <v>199</v>
      </c>
      <c r="J40" s="262" t="s">
        <v>200</v>
      </c>
      <c r="N40" s="75"/>
    </row>
    <row r="41" spans="2:21" x14ac:dyDescent="0.2">
      <c r="B41" s="74"/>
      <c r="D41" s="276" t="s">
        <v>147</v>
      </c>
      <c r="E41" s="6">
        <f>Long_ogive</f>
        <v>252</v>
      </c>
      <c r="F41" s="2"/>
      <c r="G41" s="2" t="s">
        <v>201</v>
      </c>
      <c r="H41" s="6">
        <f>MasseSans</f>
        <v>7.327</v>
      </c>
      <c r="I41" s="6">
        <f ca="1">MasseVide</f>
        <v>7.9790000000000001</v>
      </c>
      <c r="J41" s="244">
        <f ca="1">MassePlein</f>
        <v>9.0120000000000005</v>
      </c>
      <c r="N41" s="75"/>
    </row>
    <row r="42" spans="2:21" x14ac:dyDescent="0.2">
      <c r="B42" s="74"/>
      <c r="D42" s="276" t="s">
        <v>150</v>
      </c>
      <c r="E42" s="6">
        <f>X_ail-m_ail</f>
        <v>1782</v>
      </c>
      <c r="F42" s="255"/>
      <c r="G42" s="255" t="s">
        <v>218</v>
      </c>
      <c r="H42" s="263">
        <f>XcgSans</f>
        <v>1040</v>
      </c>
      <c r="I42" s="263">
        <f ca="1">XcgVide</f>
        <v>1102.4298784308812</v>
      </c>
      <c r="J42" s="245">
        <f ca="1">XcgPlein</f>
        <v>1184.7170439414115</v>
      </c>
      <c r="N42" s="75"/>
    </row>
    <row r="43" spans="2:21" x14ac:dyDescent="0.2">
      <c r="B43" s="74"/>
      <c r="D43" s="276" t="str">
        <f>IF(Lang="Français","Emplanture 'm'",IF(Lang="English","Root edge  'm'",""))</f>
        <v>Emplanture 'm'</v>
      </c>
      <c r="E43" s="244">
        <f>m_ail</f>
        <v>190</v>
      </c>
      <c r="N43" s="75"/>
    </row>
    <row r="44" spans="2:21" x14ac:dyDescent="0.2">
      <c r="B44" s="74"/>
      <c r="D44" s="276" t="str">
        <f>IF(Lang="Français","Saumon      'n'",IF(Lang="English","Tip edge    'n'",""))</f>
        <v>Saumon      'n'</v>
      </c>
      <c r="E44" s="244">
        <f>n_ail</f>
        <v>80</v>
      </c>
      <c r="F44" s="246" t="s">
        <v>202</v>
      </c>
      <c r="G44" s="246" t="s">
        <v>207</v>
      </c>
      <c r="H44" s="668">
        <f ca="1">Vsortie_de_rampe</f>
        <v>25.435656184067014</v>
      </c>
      <c r="I44" s="669"/>
      <c r="N44" s="75"/>
    </row>
    <row r="45" spans="2:21" x14ac:dyDescent="0.2">
      <c r="B45" s="74"/>
      <c r="D45" s="276" t="str">
        <f>IF(Lang="Français","Flèche        'p'",IF(Lang="English","Offset         'p'",""))</f>
        <v>Flèche        'p'</v>
      </c>
      <c r="E45" s="244">
        <f>p_ail</f>
        <v>180</v>
      </c>
      <c r="F45" s="6" t="s">
        <v>203</v>
      </c>
      <c r="G45" s="6" t="s">
        <v>208</v>
      </c>
      <c r="H45" s="670">
        <f>Finesse</f>
        <v>21.753099685898498</v>
      </c>
      <c r="I45" s="671"/>
      <c r="N45" s="75"/>
    </row>
    <row r="46" spans="2:21" x14ac:dyDescent="0.2">
      <c r="B46" s="74"/>
      <c r="D46" s="276" t="str">
        <f>IF(Lang="Français","Envergure   'E'",IF(Lang="English","Span          'E'",""))</f>
        <v>Envergure   'E'</v>
      </c>
      <c r="E46" s="244">
        <f>E_ail</f>
        <v>145</v>
      </c>
      <c r="F46" s="6" t="s">
        <v>204</v>
      </c>
      <c r="G46" s="6" t="s">
        <v>209</v>
      </c>
      <c r="H46" s="670">
        <f>Cn</f>
        <v>24.887287429562296</v>
      </c>
      <c r="I46" s="671"/>
      <c r="N46" s="75"/>
    </row>
    <row r="47" spans="2:21" x14ac:dyDescent="0.2">
      <c r="B47" s="74"/>
      <c r="D47" s="276" t="s">
        <v>144</v>
      </c>
      <c r="E47" s="244">
        <f>ep_ail</f>
        <v>3</v>
      </c>
      <c r="F47" s="6" t="s">
        <v>205</v>
      </c>
      <c r="G47" s="6" t="s">
        <v>210</v>
      </c>
      <c r="H47" s="247">
        <f ca="1">MS_min</f>
        <v>1.2207377249728655</v>
      </c>
      <c r="I47" s="254">
        <f ca="1">MS_max</f>
        <v>3.141131997878428</v>
      </c>
      <c r="N47" s="75"/>
    </row>
    <row r="48" spans="2:21" x14ac:dyDescent="0.2">
      <c r="B48" s="74"/>
      <c r="D48" s="276" t="s">
        <v>145</v>
      </c>
      <c r="E48" s="244">
        <f>Q_ail</f>
        <v>4</v>
      </c>
      <c r="F48" s="274" t="s">
        <v>206</v>
      </c>
      <c r="G48" s="274" t="s">
        <v>211</v>
      </c>
      <c r="H48" s="256">
        <f ca="1">MS_Cn_min</f>
        <v>30.380850637509671</v>
      </c>
      <c r="I48" s="264">
        <f ca="1">MS_Cn_max</f>
        <v>93.735869430419754</v>
      </c>
      <c r="N48" s="75"/>
    </row>
    <row r="49" spans="2:14" x14ac:dyDescent="0.2">
      <c r="B49" s="74"/>
      <c r="D49" s="276" t="s">
        <v>148</v>
      </c>
      <c r="E49" s="244">
        <f ca="1">XpropuRef-Long_propu</f>
        <v>1564</v>
      </c>
      <c r="N49" s="75"/>
    </row>
    <row r="50" spans="2:14" x14ac:dyDescent="0.2">
      <c r="B50" s="74"/>
      <c r="D50" s="276" t="s">
        <v>146</v>
      </c>
      <c r="E50" s="272" t="str">
        <f>Forme_ogive</f>
        <v>Conique (droite)</v>
      </c>
      <c r="F50" s="273" t="s">
        <v>183</v>
      </c>
      <c r="G50" s="275" t="s">
        <v>5</v>
      </c>
      <c r="H50" s="246">
        <f>Cx</f>
        <v>0.7</v>
      </c>
      <c r="I50" s="265"/>
      <c r="J50" s="266"/>
      <c r="N50" s="75"/>
    </row>
    <row r="51" spans="2:14" x14ac:dyDescent="0.2">
      <c r="B51" s="74"/>
      <c r="D51" s="276" t="s">
        <v>142</v>
      </c>
      <c r="E51" s="244">
        <f>Long_tot</f>
        <v>2052</v>
      </c>
      <c r="G51" s="276" t="s">
        <v>212</v>
      </c>
      <c r="H51" s="6">
        <f>Sref</f>
        <v>8.7287948792451747E-3</v>
      </c>
      <c r="J51" s="267"/>
      <c r="N51" s="75"/>
    </row>
    <row r="52" spans="2:14" x14ac:dyDescent="0.2">
      <c r="B52" s="74"/>
      <c r="D52" s="276" t="s">
        <v>196</v>
      </c>
      <c r="E52" s="244">
        <f>MAX(D_ref,D_ail,D_og,(RIGHT(Nb_diam,1)=",")*MAX(D1j,D1r,D2j,D2r))</f>
        <v>104</v>
      </c>
      <c r="G52" s="276" t="s">
        <v>213</v>
      </c>
      <c r="H52" s="6">
        <f>Beta_rampe</f>
        <v>85</v>
      </c>
      <c r="I52" s="6">
        <v>80</v>
      </c>
      <c r="J52" s="244">
        <v>90</v>
      </c>
      <c r="N52" s="75"/>
    </row>
    <row r="53" spans="2:14" x14ac:dyDescent="0.2">
      <c r="B53" s="74"/>
      <c r="D53" s="277" t="s">
        <v>197</v>
      </c>
      <c r="E53" s="260">
        <f>E_ail*2+D_ail</f>
        <v>394</v>
      </c>
      <c r="G53" s="278" t="s">
        <v>215</v>
      </c>
      <c r="H53" s="247">
        <f ca="1">Temps_culmi</f>
        <v>16.799999999999926</v>
      </c>
      <c r="I53" s="259"/>
      <c r="J53" s="268"/>
      <c r="N53" s="75"/>
    </row>
    <row r="54" spans="2:14" x14ac:dyDescent="0.2">
      <c r="B54" s="74"/>
      <c r="G54" s="278" t="s">
        <v>216</v>
      </c>
      <c r="H54" s="242">
        <f ca="1">Altitude_culmi</f>
        <v>1427.4899365371464</v>
      </c>
      <c r="I54" s="259"/>
      <c r="J54" s="268"/>
      <c r="N54" s="75"/>
    </row>
    <row r="55" spans="2:14" x14ac:dyDescent="0.2">
      <c r="B55" s="74"/>
      <c r="C55" s="275" t="s">
        <v>233</v>
      </c>
      <c r="D55" s="249" t="s">
        <v>60</v>
      </c>
      <c r="E55" s="243">
        <f>Long_tot</f>
        <v>2052</v>
      </c>
      <c r="G55" s="278" t="s">
        <v>217</v>
      </c>
      <c r="H55" s="248">
        <f ca="1">Vit_culmi</f>
        <v>13.732890082190911</v>
      </c>
      <c r="I55" s="259"/>
      <c r="J55" s="268"/>
      <c r="N55" s="75"/>
    </row>
    <row r="56" spans="2:14" x14ac:dyDescent="0.2">
      <c r="B56" s="74"/>
      <c r="C56" s="276"/>
      <c r="D56" s="2" t="s">
        <v>219</v>
      </c>
      <c r="E56" s="244">
        <f>MAX(D_ref,D_ail,D_og,(RIGHT(Nb_diam,1)=",")*MAX(D1j,D1r,D2j,D2r))</f>
        <v>104</v>
      </c>
      <c r="G56" s="278" t="s">
        <v>133</v>
      </c>
      <c r="H56" s="242">
        <f ca="1">Portee_balistique</f>
        <v>468.65916031958193</v>
      </c>
      <c r="I56" s="259"/>
      <c r="J56" s="268"/>
      <c r="N56" s="75"/>
    </row>
    <row r="57" spans="2:14" x14ac:dyDescent="0.2">
      <c r="B57" s="74"/>
      <c r="C57" s="276"/>
      <c r="D57" s="2" t="s">
        <v>220</v>
      </c>
      <c r="E57" s="244">
        <f>E_ail*2+D_ail</f>
        <v>394</v>
      </c>
      <c r="G57" s="278" t="s">
        <v>214</v>
      </c>
      <c r="H57" s="242">
        <f ca="1">T_balistique</f>
        <v>35.800000000000196</v>
      </c>
      <c r="I57" s="259"/>
      <c r="J57" s="268"/>
      <c r="N57" s="75"/>
    </row>
    <row r="58" spans="2:14" x14ac:dyDescent="0.2">
      <c r="B58" s="74"/>
      <c r="C58" s="276"/>
      <c r="D58" s="2" t="s">
        <v>221</v>
      </c>
      <c r="E58" s="244">
        <f ca="1">MassePlein</f>
        <v>9.0120000000000005</v>
      </c>
      <c r="G58" s="278" t="s">
        <v>137</v>
      </c>
      <c r="H58" s="248">
        <f ca="1">Vit_max</f>
        <v>184.41620049117012</v>
      </c>
      <c r="I58" s="259"/>
      <c r="J58" s="268"/>
      <c r="N58" s="75"/>
    </row>
    <row r="59" spans="2:14" x14ac:dyDescent="0.2">
      <c r="B59" s="74"/>
      <c r="C59" s="277" t="s">
        <v>234</v>
      </c>
      <c r="D59" s="255" t="s">
        <v>145</v>
      </c>
      <c r="E59" s="260">
        <f>Q_ail</f>
        <v>4</v>
      </c>
      <c r="G59" s="278" t="s">
        <v>136</v>
      </c>
      <c r="H59" s="242">
        <f ca="1">Acc_max</f>
        <v>89.371160887134408</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1610.8258038297106</v>
      </c>
      <c r="F62" s="280">
        <f ca="1">E62/9.81</f>
        <v>164.20242648620902</v>
      </c>
      <c r="H62" s="2"/>
      <c r="I62" s="2"/>
      <c r="J62" s="2"/>
      <c r="K62" s="2"/>
      <c r="N62" s="75"/>
    </row>
    <row r="63" spans="2:14" x14ac:dyDescent="0.2">
      <c r="B63" s="74"/>
      <c r="C63" s="276"/>
      <c r="D63" s="2" t="s">
        <v>223</v>
      </c>
      <c r="E63" s="242">
        <f ca="1">2*Acc_max*Masse_ail</f>
        <v>20.993285692387872</v>
      </c>
      <c r="F63" s="248">
        <f ca="1">E63/9.81</f>
        <v>2.1399883478478969</v>
      </c>
      <c r="G63" s="246" t="s">
        <v>229</v>
      </c>
      <c r="H63" s="288">
        <f>S_ail*(ep_ail/1000)*2000</f>
        <v>0.11745</v>
      </c>
      <c r="I63" s="2"/>
      <c r="J63" s="2"/>
      <c r="K63" s="2"/>
      <c r="N63" s="75"/>
    </row>
    <row r="64" spans="2:14" x14ac:dyDescent="0.2">
      <c r="B64" s="74"/>
      <c r="C64" s="277"/>
      <c r="D64" s="255" t="s">
        <v>224</v>
      </c>
      <c r="E64" s="263">
        <f ca="1">0.104*S_ail*Vit_max^2</f>
        <v>69.236204200327762</v>
      </c>
      <c r="F64" s="281">
        <f ca="1">E64/9.81</f>
        <v>7.0577170438662344</v>
      </c>
      <c r="G64" s="274" t="s">
        <v>228</v>
      </c>
      <c r="H64" s="289">
        <f>(E_ail*(m_ail+n_ail)/2)/10^6</f>
        <v>1.9574999999999999E-2</v>
      </c>
      <c r="I64" s="2"/>
      <c r="J64" s="2"/>
      <c r="K64" s="2"/>
      <c r="N64" s="75"/>
    </row>
    <row r="65" spans="2:14" x14ac:dyDescent="0.2">
      <c r="B65" s="74"/>
      <c r="C65" s="282" t="s">
        <v>242</v>
      </c>
      <c r="D65" s="285" t="s">
        <v>240</v>
      </c>
      <c r="E65" s="286">
        <f ca="1">2*Acc_max*H65</f>
        <v>805.4129019148553</v>
      </c>
      <c r="F65" s="286">
        <f ca="1">E65/9.81</f>
        <v>82.10121324310451</v>
      </c>
      <c r="G65" s="287" t="s">
        <v>241</v>
      </c>
      <c r="H65" s="279">
        <f ca="1">E58/2</f>
        <v>4.5060000000000002</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15.6</v>
      </c>
      <c r="I67" s="251">
        <f ca="1">Temps_culmi</f>
        <v>16.799999999999926</v>
      </c>
      <c r="J67" s="2"/>
      <c r="K67" s="2"/>
      <c r="N67" s="75"/>
    </row>
    <row r="68" spans="2:14" x14ac:dyDescent="0.2">
      <c r="B68" s="74"/>
      <c r="C68" s="6"/>
      <c r="D68" s="2"/>
      <c r="E68" s="2"/>
      <c r="F68" s="275" t="s">
        <v>231</v>
      </c>
      <c r="G68" s="249" t="s">
        <v>129</v>
      </c>
      <c r="H68" s="250">
        <f ca="1">V_para</f>
        <v>14.775530266046534</v>
      </c>
      <c r="I68" s="251">
        <f>V_satellite</f>
        <v>12.655562623057198</v>
      </c>
      <c r="J68" s="2"/>
      <c r="K68" s="2"/>
      <c r="N68" s="75"/>
    </row>
    <row r="69" spans="2:14" x14ac:dyDescent="0.2">
      <c r="B69" s="74"/>
      <c r="C69" s="6"/>
      <c r="D69" s="2"/>
      <c r="E69" s="2"/>
      <c r="F69" s="276"/>
      <c r="G69" s="2" t="s">
        <v>237</v>
      </c>
      <c r="H69" s="247">
        <f>S_para</f>
        <v>0.51200000000000001</v>
      </c>
      <c r="I69" s="253">
        <f>S_satellite</f>
        <v>0.1</v>
      </c>
      <c r="J69" s="2"/>
      <c r="K69" s="2"/>
      <c r="N69" s="75"/>
    </row>
    <row r="70" spans="2:14" x14ac:dyDescent="0.2">
      <c r="B70" s="74"/>
      <c r="C70" s="226"/>
      <c r="D70" s="2"/>
      <c r="F70" s="276"/>
      <c r="G70" s="2" t="s">
        <v>236</v>
      </c>
      <c r="H70" s="247">
        <f ca="1">V_ouverture</f>
        <v>18.71546639743319</v>
      </c>
      <c r="I70" s="253">
        <f ca="1">V_ouv_sat</f>
        <v>184.35347155515117</v>
      </c>
      <c r="N70" s="75"/>
    </row>
    <row r="71" spans="2:14" x14ac:dyDescent="0.2">
      <c r="B71" s="74"/>
      <c r="C71" s="226"/>
      <c r="F71" s="276"/>
      <c r="G71" s="2" t="s">
        <v>201</v>
      </c>
      <c r="H71" s="247">
        <f ca="1">m_vide</f>
        <v>6.9790000000000001</v>
      </c>
      <c r="I71" s="253">
        <f>m_satellite</f>
        <v>1</v>
      </c>
      <c r="N71" s="75"/>
    </row>
    <row r="72" spans="2:14" x14ac:dyDescent="0.2">
      <c r="B72" s="74"/>
      <c r="C72" s="226"/>
      <c r="F72" s="276"/>
      <c r="G72" s="2" t="s">
        <v>238</v>
      </c>
      <c r="H72" s="283">
        <f ca="1">1/2*Rho_moyen*S_para*V_ouverture^2</f>
        <v>109.8442588236742</v>
      </c>
      <c r="I72" s="284">
        <f ca="1">1/2*Rho_moyen*S_satellite*V_ouv_sat^2</f>
        <v>2081.6549015592009</v>
      </c>
      <c r="N72" s="75"/>
    </row>
    <row r="73" spans="2:14" x14ac:dyDescent="0.2">
      <c r="B73" s="74"/>
      <c r="D73" s="2"/>
      <c r="F73" s="277"/>
      <c r="G73" s="255" t="s">
        <v>239</v>
      </c>
      <c r="H73" s="256">
        <f ca="1">H72/9.81</f>
        <v>11.197172153279734</v>
      </c>
      <c r="I73" s="257">
        <f ca="1">I72/9.81</f>
        <v>212.19723767168205</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46061</v>
      </c>
      <c r="E83" s="48"/>
      <c r="F83" s="436"/>
      <c r="G83" s="48"/>
      <c r="H83" s="48"/>
      <c r="I83" s="48"/>
      <c r="J83" s="48"/>
      <c r="K83" s="48"/>
      <c r="N83" s="75"/>
    </row>
    <row r="84" spans="2:14" ht="13.5" thickBot="1" x14ac:dyDescent="0.25">
      <c r="B84" s="74"/>
      <c r="E84" s="48"/>
      <c r="F84" s="436"/>
      <c r="G84" s="48"/>
      <c r="H84" s="48"/>
      <c r="I84" s="48"/>
      <c r="J84" s="440">
        <f>IF(RIGHT(Nb_diam,1)=",", "", X_j)</f>
        <v>942</v>
      </c>
      <c r="K84" s="48"/>
      <c r="N84" s="75"/>
    </row>
    <row r="85" spans="2:14" ht="13.5" thickBot="1" x14ac:dyDescent="0.25">
      <c r="B85" s="74"/>
      <c r="C85" s="275" t="s">
        <v>337</v>
      </c>
      <c r="D85" s="243" t="str">
        <f>Propu</f>
        <v>Barasinga (Pro54-5G C)</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2002</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1782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40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190</v>
      </c>
      <c r="G97" s="48"/>
      <c r="H97" s="48"/>
      <c r="I97" s="48"/>
      <c r="J97" s="441">
        <f>p_ail</f>
        <v>180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1564</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7.327</v>
      </c>
      <c r="F107" s="244">
        <f ca="1">MassePlein</f>
        <v>9.0120000000000005</v>
      </c>
      <c r="N107" s="75"/>
    </row>
    <row r="108" spans="2:14" x14ac:dyDescent="0.2">
      <c r="B108" s="74"/>
      <c r="D108" s="431" t="s">
        <v>352</v>
      </c>
      <c r="E108" s="274">
        <f>XcgSans</f>
        <v>1040</v>
      </c>
      <c r="F108" s="260">
        <f ca="1">XcgPlein</f>
        <v>1184.7170439414115</v>
      </c>
      <c r="N108" s="75"/>
    </row>
    <row r="109" spans="2:14" x14ac:dyDescent="0.2">
      <c r="B109" s="74"/>
      <c r="N109" s="75"/>
    </row>
    <row r="110" spans="2:14" x14ac:dyDescent="0.2">
      <c r="B110" s="74"/>
      <c r="D110" s="438" t="s">
        <v>355</v>
      </c>
      <c r="E110" s="439">
        <f ca="1">MasseVide</f>
        <v>7.9790000000000001</v>
      </c>
      <c r="G110" s="429" t="s">
        <v>356</v>
      </c>
      <c r="H110" s="265"/>
      <c r="I110" s="265"/>
      <c r="J110" s="266"/>
      <c r="N110" s="75"/>
    </row>
    <row r="111" spans="2:14" x14ac:dyDescent="0.2">
      <c r="B111" s="74"/>
      <c r="G111" s="276" t="s">
        <v>213</v>
      </c>
      <c r="H111" s="6">
        <f>Beta_rampe</f>
        <v>85</v>
      </c>
      <c r="I111" s="6">
        <v>80</v>
      </c>
      <c r="J111" s="244">
        <v>90</v>
      </c>
      <c r="N111" s="75"/>
    </row>
    <row r="112" spans="2:14" x14ac:dyDescent="0.2">
      <c r="B112" s="74"/>
      <c r="G112" s="278" t="s">
        <v>215</v>
      </c>
      <c r="H112" s="247">
        <f ca="1">Temps_culmi</f>
        <v>16.799999999999926</v>
      </c>
      <c r="I112" s="259"/>
      <c r="J112" s="268"/>
      <c r="N112" s="75"/>
    </row>
    <row r="113" spans="2:14" ht="12.75" customHeight="1" x14ac:dyDescent="0.25">
      <c r="B113" s="74"/>
      <c r="D113" s="435" t="s">
        <v>357</v>
      </c>
      <c r="E113" s="48"/>
      <c r="G113" s="278" t="s">
        <v>216</v>
      </c>
      <c r="H113" s="242">
        <f ca="1">Altitude_culmi</f>
        <v>1427.4899365371464</v>
      </c>
      <c r="I113" s="259"/>
      <c r="J113" s="268"/>
      <c r="N113" s="75"/>
    </row>
    <row r="114" spans="2:14" ht="12.75" customHeight="1" x14ac:dyDescent="0.25">
      <c r="B114" s="74"/>
      <c r="D114" s="48"/>
      <c r="E114" s="48"/>
      <c r="F114" s="435"/>
      <c r="G114" s="278" t="s">
        <v>217</v>
      </c>
      <c r="H114" s="248">
        <f ca="1">Vit_culmi</f>
        <v>13.732890082190911</v>
      </c>
      <c r="I114" s="259"/>
      <c r="J114" s="268"/>
      <c r="N114" s="75"/>
    </row>
    <row r="115" spans="2:14" x14ac:dyDescent="0.2">
      <c r="B115" s="74"/>
      <c r="C115" s="429" t="s">
        <v>358</v>
      </c>
      <c r="D115" s="249"/>
      <c r="E115" s="446">
        <v>0.1</v>
      </c>
      <c r="G115" s="278" t="s">
        <v>133</v>
      </c>
      <c r="H115" s="242">
        <f ca="1">Portee_balistique</f>
        <v>468.65916031958193</v>
      </c>
      <c r="I115" s="259"/>
      <c r="J115" s="268"/>
      <c r="N115" s="75"/>
    </row>
    <row r="116" spans="2:14" ht="12.75" customHeight="1" x14ac:dyDescent="0.2">
      <c r="B116" s="74"/>
      <c r="C116" s="431" t="s">
        <v>359</v>
      </c>
      <c r="D116" s="255"/>
      <c r="E116" s="447">
        <f>E_ail*(m_ail+n_ail)/2</f>
        <v>19575</v>
      </c>
      <c r="G116" s="278" t="s">
        <v>137</v>
      </c>
      <c r="H116" s="248">
        <f ca="1">Vit_max</f>
        <v>184.41620049117012</v>
      </c>
      <c r="I116" s="259"/>
      <c r="J116" s="268"/>
      <c r="N116" s="75"/>
    </row>
    <row r="117" spans="2:14" ht="12.75" customHeight="1" x14ac:dyDescent="0.2">
      <c r="B117" s="74"/>
      <c r="D117" s="48"/>
      <c r="E117" s="48"/>
      <c r="F117" s="48"/>
      <c r="G117" s="278" t="s">
        <v>136</v>
      </c>
      <c r="H117" s="242">
        <f ca="1">Acc_max</f>
        <v>89.371160887134408</v>
      </c>
      <c r="I117" s="259"/>
      <c r="J117" s="268"/>
      <c r="N117" s="75"/>
    </row>
    <row r="118" spans="2:14" x14ac:dyDescent="0.2">
      <c r="B118" s="74"/>
      <c r="C118" s="429" t="s">
        <v>360</v>
      </c>
      <c r="D118" s="249"/>
      <c r="E118" s="457"/>
      <c r="F118" s="458">
        <f>J90/100</f>
        <v>17.82</v>
      </c>
      <c r="G118" s="276" t="s">
        <v>5</v>
      </c>
      <c r="H118" s="6">
        <f>Cx</f>
        <v>0.7</v>
      </c>
      <c r="I118" s="259"/>
      <c r="J118" s="268"/>
      <c r="N118" s="75"/>
    </row>
    <row r="119" spans="2:14" x14ac:dyDescent="0.2">
      <c r="B119" s="74"/>
      <c r="C119" s="437" t="s">
        <v>361</v>
      </c>
      <c r="D119" s="2"/>
      <c r="E119" s="459">
        <f ca="1">2*Acc_max*MasseSans</f>
        <v>1309.6449916400677</v>
      </c>
      <c r="F119" s="460">
        <f ca="1">E119/g</f>
        <v>133.50101851580709</v>
      </c>
      <c r="G119" s="269" t="s">
        <v>222</v>
      </c>
      <c r="H119" s="270"/>
      <c r="I119" s="270"/>
      <c r="J119" s="271"/>
      <c r="N119" s="75"/>
    </row>
    <row r="120" spans="2:14" x14ac:dyDescent="0.2">
      <c r="B120" s="74"/>
      <c r="C120" s="437" t="s">
        <v>362</v>
      </c>
      <c r="D120" s="2"/>
      <c r="E120" s="459">
        <f ca="1">2*Acc_max*E115</f>
        <v>17.874232177426883</v>
      </c>
      <c r="F120" s="460">
        <f ca="1">E120/g</f>
        <v>1.8220420160475925</v>
      </c>
      <c r="N120" s="75"/>
    </row>
    <row r="121" spans="2:14" x14ac:dyDescent="0.2">
      <c r="B121" s="74"/>
      <c r="C121" s="431" t="s">
        <v>363</v>
      </c>
      <c r="D121" s="255"/>
      <c r="E121" s="452">
        <f ca="1">0.104*E116/1000000*Vit_max^2</f>
        <v>69.236204200327762</v>
      </c>
      <c r="F121" s="453">
        <f ca="1">E121/g</f>
        <v>7.0577170438662344</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0.51200000000000001</v>
      </c>
      <c r="G127" s="48"/>
      <c r="J127" s="48"/>
      <c r="N127" s="75"/>
    </row>
    <row r="128" spans="2:14" x14ac:dyDescent="0.2">
      <c r="B128" s="74"/>
      <c r="C128" s="681" t="s">
        <v>368</v>
      </c>
      <c r="D128" s="682"/>
      <c r="E128" s="450">
        <f ca="1">0.5*Rho_moyen*S_para*Vit_culmi^2</f>
        <v>59.142535874990962</v>
      </c>
      <c r="F128" s="451">
        <f ca="1">E128/g</f>
        <v>6.0288008027513715</v>
      </c>
      <c r="H128" s="48"/>
      <c r="I128" s="48"/>
      <c r="J128" s="48"/>
      <c r="K128" s="48"/>
      <c r="N128" s="75"/>
    </row>
    <row r="129" spans="2:14" x14ac:dyDescent="0.2">
      <c r="B129" s="74"/>
      <c r="C129" s="679" t="s">
        <v>369</v>
      </c>
      <c r="D129" s="680"/>
      <c r="E129" s="452">
        <f ca="1">E128/E126*2</f>
        <v>29.571267937495481</v>
      </c>
      <c r="F129" s="453">
        <f ca="1">E129/g</f>
        <v>3.0144004013756858</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18.220420160475925</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2026-02-08T22:53:35Z</dcterms:modified>
</cp:coreProperties>
</file>