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_Beta\"/>
    </mc:Choice>
  </mc:AlternateContent>
  <xr:revisionPtr revIDLastSave="0" documentId="13_ncr:1_{16CAE934-A6C9-48DE-8623-0B6FBFF9B304}" xr6:coauthVersionLast="47" xr6:coauthVersionMax="47" xr10:uidLastSave="{00000000-0000-0000-0000-000000000000}"/>
  <bookViews>
    <workbookView xWindow="14400" yWindow="0" windowWidth="14400" windowHeight="1575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6" l="1" a="1"/>
  <c r="C15" i="6" s="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Q3" i="4"/>
  <c r="T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U3" i="4"/>
  <c r="M3" i="4"/>
  <c r="J4" i="4"/>
  <c r="V2" i="4"/>
  <c r="R4" i="4"/>
  <c r="Q4" i="4"/>
  <c r="G3" i="4"/>
  <c r="N4" i="4"/>
  <c r="B4" i="4"/>
  <c r="R3" i="4"/>
  <c r="I3" i="4"/>
  <c r="H4" i="4"/>
  <c r="C3" i="4"/>
  <c r="V4" i="4"/>
  <c r="P4" i="4"/>
  <c r="X3" i="4"/>
  <c r="F3" i="4"/>
  <c r="W3" i="4"/>
  <c r="L3" i="4"/>
  <c r="N2" i="4"/>
  <c r="F4" i="4"/>
  <c r="S3" i="4"/>
  <c r="E3" i="4"/>
  <c r="O4" i="4"/>
  <c r="U4" i="4"/>
  <c r="T2" i="4"/>
  <c r="W4" i="4"/>
  <c r="C4" i="4"/>
  <c r="P3" i="4"/>
  <c r="J3" i="4"/>
  <c r="G4" i="4"/>
  <c r="S4" i="4"/>
  <c r="P2" i="4"/>
  <c r="J2" i="4"/>
  <c r="K3" i="4"/>
  <c r="X4" i="4"/>
  <c r="H2" i="4"/>
  <c r="Z2" i="4"/>
  <c r="K4" i="4"/>
  <c r="D4" i="4"/>
  <c r="X2" i="4"/>
  <c r="L2" i="4"/>
  <c r="Y3" i="4"/>
  <c r="N3" i="4"/>
  <c r="T4" i="4"/>
  <c r="O3" i="4"/>
  <c r="I4" i="4"/>
  <c r="R2" i="4"/>
  <c r="L4" i="4"/>
  <c r="V3" i="4"/>
  <c r="M4" i="4"/>
  <c r="D3" i="4"/>
  <c r="B3" i="4"/>
  <c r="E4" i="4"/>
  <c r="H3"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H31" i="6" l="1"/>
  <c r="H28" i="6"/>
  <c r="H46" i="7" s="1"/>
  <c r="N15" i="6"/>
  <c r="I42" i="7" s="1"/>
  <c r="H42" i="7"/>
  <c r="E108" i="7"/>
  <c r="D23" i="7"/>
  <c r="M19" i="6"/>
  <c r="AA6" i="3"/>
  <c r="H48" i="8"/>
  <c r="P29" i="1"/>
  <c r="A7" i="3"/>
  <c r="B7" i="3" s="1"/>
  <c r="P7" i="3" s="1"/>
  <c r="Q7" i="3" s="1"/>
  <c r="AD6" i="3"/>
  <c r="P6" i="3"/>
  <c r="Q6" i="3" s="1"/>
  <c r="H71" i="7"/>
  <c r="Z6" i="3"/>
  <c r="H68" i="7"/>
  <c r="H16" i="7"/>
  <c r="P28" i="1"/>
  <c r="H50" i="8"/>
  <c r="C149" i="6"/>
  <c r="H46" i="8"/>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90" i="6" l="1"/>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0" i="6" l="1"/>
  <c r="H30" i="6"/>
  <c r="H48" i="7" s="1"/>
  <c r="B194" i="6"/>
  <c r="H14" i="7"/>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AD433" i="3"/>
  <c r="U433" i="3"/>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Y474" i="3"/>
  <c r="T476" i="3"/>
  <c r="AG476" i="3" l="1"/>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s="1"/>
  <c r="Y562" i="3" l="1"/>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A625" i="3"/>
  <c r="Z625" i="3"/>
  <c r="AC625" i="3"/>
  <c r="U624" i="3" l="1"/>
  <c r="Y623" i="3"/>
  <c r="T625" i="3"/>
  <c r="D625" i="3" l="1"/>
  <c r="G625" i="3" s="1"/>
  <c r="E625" i="3"/>
  <c r="H625" i="3" s="1"/>
  <c r="AH625" i="3"/>
  <c r="AG625" i="3"/>
  <c r="F625" i="3" l="1"/>
  <c r="I625" i="3"/>
  <c r="J625" i="3"/>
  <c r="AD625" i="3" s="1"/>
  <c r="M625" i="3"/>
  <c r="N625" i="3" s="1"/>
  <c r="K625" i="3"/>
  <c r="AE625" i="3" s="1"/>
  <c r="V625" i="3" l="1"/>
  <c r="W625" i="3" s="1"/>
  <c r="A626" i="3"/>
  <c r="B626" i="3" s="1"/>
  <c r="L625" i="3"/>
  <c r="U625" i="3" l="1"/>
  <c r="Y624"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AD626" i="3" s="1"/>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Z629" i="3"/>
  <c r="T629" i="3" l="1"/>
  <c r="U628" i="3"/>
  <c r="Y627" i="3"/>
  <c r="E629" i="3" l="1"/>
  <c r="H629" i="3" s="1"/>
  <c r="K629" i="3" s="1"/>
  <c r="AE629" i="3" s="1"/>
  <c r="AH629" i="3"/>
  <c r="AG629" i="3"/>
  <c r="D629" i="3"/>
  <c r="F629" i="3" l="1"/>
  <c r="G629" i="3"/>
  <c r="V629" i="3"/>
  <c r="A630" i="3"/>
  <c r="B630" i="3" s="1"/>
  <c r="I629" i="3" l="1"/>
  <c r="W629" i="3" s="1"/>
  <c r="J629" i="3"/>
  <c r="AD629" i="3" s="1"/>
  <c r="M629" i="3"/>
  <c r="N629" i="3" s="1"/>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AD630" i="3" s="1"/>
  <c r="M630" i="3"/>
  <c r="N630" i="3" s="1"/>
  <c r="V630" i="3" l="1"/>
  <c r="W630" i="3" s="1"/>
  <c r="A631" i="3"/>
  <c r="B631" i="3" s="1"/>
  <c r="L630" i="3"/>
  <c r="U630" i="3" l="1"/>
  <c r="Y629" i="3"/>
  <c r="P631" i="3"/>
  <c r="Q631" i="3" s="1"/>
  <c r="R631" i="3" s="1"/>
  <c r="S631" i="3" s="1"/>
  <c r="AC631" i="3"/>
  <c r="AA631" i="3"/>
  <c r="Z631" i="3"/>
  <c r="T631" i="3" l="1"/>
  <c r="D631" i="3" s="1"/>
  <c r="AH631" i="3" l="1"/>
  <c r="E631" i="3"/>
  <c r="H631" i="3" s="1"/>
  <c r="K631" i="3" s="1"/>
  <c r="AE631" i="3" s="1"/>
  <c r="G631" i="3"/>
  <c r="AG631" i="3"/>
  <c r="F631" i="3" l="1"/>
  <c r="I631" i="3"/>
  <c r="J631" i="3"/>
  <c r="AD631" i="3" s="1"/>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AD633" i="3" s="1"/>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T705" i="3" l="1"/>
  <c r="AH705" i="3" s="1"/>
  <c r="AG705" i="3" l="1"/>
  <c r="D705" i="3"/>
  <c r="E705" i="3"/>
  <c r="H705" i="3" s="1"/>
  <c r="F705" i="3" l="1"/>
  <c r="G705" i="3"/>
  <c r="K705" i="3"/>
  <c r="AE705" i="3" s="1"/>
  <c r="I705" i="3" l="1"/>
  <c r="J705" i="3"/>
  <c r="AD705" i="3" s="1"/>
  <c r="M705" i="3"/>
  <c r="N705" i="3" s="1"/>
  <c r="V705" i="3"/>
  <c r="A706" i="3"/>
  <c r="B706" i="3" s="1"/>
  <c r="W705" i="3" l="1"/>
  <c r="L705" i="3"/>
  <c r="P706" i="3"/>
  <c r="Q706" i="3" s="1"/>
  <c r="R706" i="3" s="1"/>
  <c r="S706" i="3" s="1"/>
  <c r="AA706" i="3"/>
  <c r="AC706" i="3"/>
  <c r="Z706" i="3"/>
  <c r="U705" i="3" l="1"/>
  <c r="Y704" i="3"/>
  <c r="T706" i="3"/>
  <c r="AH706" i="3" s="1"/>
  <c r="E706" i="3" l="1"/>
  <c r="H706" i="3" s="1"/>
  <c r="D706" i="3"/>
  <c r="AG706" i="3"/>
  <c r="K706" i="3" l="1"/>
  <c r="AE706" i="3" s="1"/>
  <c r="F706" i="3"/>
  <c r="G706" i="3"/>
  <c r="I706" i="3" l="1"/>
  <c r="J706" i="3"/>
  <c r="AD706" i="3" s="1"/>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AD709" i="3" s="1"/>
  <c r="M709" i="3"/>
  <c r="N709" i="3" s="1"/>
  <c r="W709" i="3" l="1"/>
  <c r="L709" i="3"/>
  <c r="AC710" i="3"/>
  <c r="Z710" i="3"/>
  <c r="AA710" i="3"/>
  <c r="P710" i="3"/>
  <c r="Q710" i="3" s="1"/>
  <c r="R710" i="3" s="1"/>
  <c r="S710" i="3" s="1"/>
  <c r="U709" i="3" l="1"/>
  <c r="Y708" i="3"/>
  <c r="T710" i="3"/>
  <c r="AH710" i="3" s="1"/>
  <c r="D710" i="3" l="1"/>
  <c r="E710" i="3"/>
  <c r="H710" i="3" s="1"/>
  <c r="AG710" i="3"/>
  <c r="F710" i="3" l="1"/>
  <c r="G710" i="3"/>
  <c r="K710" i="3"/>
  <c r="AE710" i="3" s="1"/>
  <c r="I710" i="3" l="1"/>
  <c r="J710" i="3"/>
  <c r="AD710" i="3" s="1"/>
  <c r="M710" i="3"/>
  <c r="N710" i="3" s="1"/>
  <c r="V710" i="3"/>
  <c r="A711" i="3"/>
  <c r="B711" i="3" s="1"/>
  <c r="W710" i="3" l="1"/>
  <c r="L710" i="3"/>
  <c r="AA711" i="3"/>
  <c r="AC711" i="3"/>
  <c r="Z711" i="3"/>
  <c r="P711" i="3"/>
  <c r="Q711" i="3" s="1"/>
  <c r="R711" i="3" s="1"/>
  <c r="S711" i="3" s="1"/>
  <c r="T711" i="3" l="1"/>
  <c r="U710" i="3"/>
  <c r="Y709" i="3"/>
  <c r="D711" i="3" l="1"/>
  <c r="G711" i="3" s="1"/>
  <c r="E711" i="3"/>
  <c r="H711" i="3" s="1"/>
  <c r="AH711" i="3"/>
  <c r="AG711" i="3"/>
  <c r="F711" i="3" l="1"/>
  <c r="K711" i="3"/>
  <c r="AE711" i="3" s="1"/>
  <c r="I711" i="3"/>
  <c r="J711" i="3"/>
  <c r="AD711" i="3" s="1"/>
  <c r="M711" i="3"/>
  <c r="N711" i="3" s="1"/>
  <c r="L711" i="3" l="1"/>
  <c r="V711" i="3"/>
  <c r="W711" i="3" s="1"/>
  <c r="A712" i="3"/>
  <c r="B712" i="3" s="1"/>
  <c r="AC712" i="3" l="1"/>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AD712" i="3" s="1"/>
  <c r="M712" i="3"/>
  <c r="N712" i="3" s="1"/>
  <c r="W712" i="3" l="1"/>
  <c r="L712" i="3"/>
  <c r="Z713" i="3"/>
  <c r="P713" i="3"/>
  <c r="Q713" i="3" s="1"/>
  <c r="R713" i="3" s="1"/>
  <c r="S713" i="3" s="1"/>
  <c r="AC713" i="3"/>
  <c r="AA713" i="3"/>
  <c r="T713" i="3" l="1"/>
  <c r="AH713" i="3" s="1"/>
  <c r="U712" i="3"/>
  <c r="Y711" i="3"/>
  <c r="D713" i="3" l="1"/>
  <c r="AG713" i="3"/>
  <c r="E713" i="3"/>
  <c r="H713" i="3" s="1"/>
  <c r="F713" i="3" l="1"/>
  <c r="G713" i="3"/>
  <c r="M713" i="3" s="1"/>
  <c r="N713" i="3" s="1"/>
  <c r="K713" i="3"/>
  <c r="AE713" i="3" s="1"/>
  <c r="I713" i="3" l="1"/>
  <c r="J713" i="3"/>
  <c r="V713" i="3"/>
  <c r="A714" i="3"/>
  <c r="B714" i="3" s="1"/>
  <c r="L713" i="3" l="1"/>
  <c r="U713" i="3" s="1"/>
  <c r="AD713" i="3"/>
  <c r="W713" i="3"/>
  <c r="AA714" i="3"/>
  <c r="P714" i="3"/>
  <c r="Q714" i="3" s="1"/>
  <c r="R714" i="3" s="1"/>
  <c r="S714" i="3" s="1"/>
  <c r="Z714" i="3"/>
  <c r="AC714" i="3"/>
  <c r="Y712" i="3" l="1"/>
  <c r="T714" i="3"/>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<sst xmlns="http://schemas.openxmlformats.org/spreadsheetml/2006/main" count="1735" uniqueCount="576">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</sst>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-932</c:v>
                </c:pt>
                <c:pt idx="3">
                  <c:v>-992</c:v>
                </c:pt>
                <c:pt idx="4">
                  <c:v>-2002</c:v>
                </c:pt>
                <c:pt idx="5">
                  <c:v>-2052</c:v>
                </c:pt>
                <c:pt idx="6">
                  <c:v>-2052</c:v>
                </c:pt>
                <c:pt idx="7">
                  <c:v>-2052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-1792</c:v>
                </c:pt>
                <c:pt idx="1">
                  <c:v>-1982</c:v>
                </c:pt>
                <c:pt idx="2">
                  <c:v>-2062</c:v>
                </c:pt>
                <c:pt idx="3">
                  <c:v>-2002</c:v>
                </c:pt>
                <c:pt idx="4">
                  <c:v>-1792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-932</c:v>
                </c:pt>
                <c:pt idx="3">
                  <c:v>-992</c:v>
                </c:pt>
                <c:pt idx="4">
                  <c:v>-2002</c:v>
                </c:pt>
                <c:pt idx="5">
                  <c:v>-2052</c:v>
                </c:pt>
                <c:pt idx="6">
                  <c:v>-2052</c:v>
                </c:pt>
                <c:pt idx="7">
                  <c:v>-2052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-1792</c:v>
                </c:pt>
                <c:pt idx="1">
                  <c:v>-1982</c:v>
                </c:pt>
                <c:pt idx="2">
                  <c:v>-2062</c:v>
                </c:pt>
                <c:pt idx="3">
                  <c:v>-2002</c:v>
                </c:pt>
                <c:pt idx="4">
                  <c:v>-1792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-1227.9866530935417</c:v>
                </c:pt>
                <c:pt idx="1">
                  <c:v>-1149.6219262295081</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188.86796465117698</c:v>
                </c:pt>
                <c:pt idx="2">
                  <c:v>188.86796465117698</c:v>
                </c:pt>
                <c:pt idx="3">
                  <c:v>0</c:v>
                </c:pt>
              </c:numCache>
            </c:numRef>
          </c:xVal>
          <c:yVal>
            <c:numRef>
              <c:f>Stabilito!$C$151:$C$154</c:f>
              <c:numCache>
                <c:formatCode>0</c:formatCode>
                <c:ptCount val="4"/>
                <c:pt idx="0">
                  <c:v>-1418.9776711762208</c:v>
                </c:pt>
                <c:pt idx="1">
                  <c:v>-1418.9776711762208</c:v>
                </c:pt>
                <c:pt idx="2">
                  <c:v>-1418.9776711762208</c:v>
                </c:pt>
                <c:pt idx="3">
                  <c:v>-1418.9776711762208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52</c:v>
                </c:pt>
                <c:pt idx="2">
                  <c:v>52</c:v>
                </c:pt>
                <c:pt idx="3">
                  <c:v>52</c:v>
                </c:pt>
                <c:pt idx="4">
                  <c:v>52</c:v>
                </c:pt>
              </c:numCache>
            </c:numRef>
          </c:xVal>
          <c:yVal>
            <c:numRef>
              <c:f>Stabilito!$C$163:$C$167</c:f>
              <c:numCache>
                <c:formatCode>0</c:formatCode>
                <c:ptCount val="5"/>
                <c:pt idx="0">
                  <c:v>-1792</c:v>
                </c:pt>
                <c:pt idx="1">
                  <c:v>-1792</c:v>
                </c:pt>
                <c:pt idx="2">
                  <c:v>-2002</c:v>
                </c:pt>
                <c:pt idx="3">
                  <c:v>-2002</c:v>
                </c:pt>
                <c:pt idx="4">
                  <c:v>-1792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-52</c:v>
                </c:pt>
                <c:pt idx="2">
                  <c:v>-52</c:v>
                </c:pt>
                <c:pt idx="3">
                  <c:v>-52</c:v>
                </c:pt>
                <c:pt idx="4">
                  <c:v>-52</c:v>
                </c:pt>
              </c:numCache>
            </c:numRef>
          </c:xVal>
          <c:yVal>
            <c:numRef>
              <c:f>Stabilito!$C$163:$C$167</c:f>
              <c:numCache>
                <c:formatCode>0</c:formatCode>
                <c:ptCount val="5"/>
                <c:pt idx="0">
                  <c:v>-1792</c:v>
                </c:pt>
                <c:pt idx="1">
                  <c:v>-1792</c:v>
                </c:pt>
                <c:pt idx="2">
                  <c:v>-2002</c:v>
                </c:pt>
                <c:pt idx="3">
                  <c:v>-2002</c:v>
                </c:pt>
                <c:pt idx="4">
                  <c:v>-1792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684</c:v>
                </c:pt>
                <c:pt idx="1">
                  <c:v>-684</c:v>
                </c:pt>
              </c:numCache>
            </c:numRef>
          </c:xVal>
          <c:yVal>
            <c:numRef>
              <c:f>Stabilito!$C$168:$C$169</c:f>
              <c:numCache>
                <c:formatCode>0</c:formatCode>
                <c:ptCount val="2"/>
                <c:pt idx="0">
                  <c:v>-2082.62</c:v>
                </c:pt>
                <c:pt idx="1">
                  <c:v>-2082.62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-1564</c:v>
                </c:pt>
                <c:pt idx="1">
                  <c:v>-1564</c:v>
                </c:pt>
                <c:pt idx="2">
                  <c:v>-2052</c:v>
                </c:pt>
                <c:pt idx="3">
                  <c:v>-2052</c:v>
                </c:pt>
                <c:pt idx="4">
                  <c:v>-1564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-2130.4</c:v>
                </c:pt>
                <c:pt idx="1">
                  <c:v>-2130.4</c:v>
                </c:pt>
                <c:pt idx="2">
                  <c:v>-2130.4</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-265.39999999999998</c:v>
                </c:pt>
                <c:pt idx="1">
                  <c:v>-265.39999999999998</c:v>
                </c:pt>
                <c:pt idx="2">
                  <c:v>-265.39999999999998</c:v>
                </c:pt>
              </c:numCache>
            </c:numRef>
          </c:xVal>
          <c:yVal>
            <c:numRef>
              <c:f>Stabilito!$C$143:$C$145</c:f>
              <c:numCache>
                <c:formatCode>0</c:formatCode>
                <c:ptCount val="3"/>
                <c:pt idx="0">
                  <c:v>-1792</c:v>
                </c:pt>
                <c:pt idx="1">
                  <c:v>-1887</c:v>
                </c:pt>
                <c:pt idx="2">
                  <c:v>-1982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-299.60000000000002</c:v>
                </c:pt>
                <c:pt idx="1">
                  <c:v>-299.60000000000002</c:v>
                </c:pt>
                <c:pt idx="2">
                  <c:v>-299.60000000000002</c:v>
                </c:pt>
              </c:numCache>
            </c:numRef>
          </c:xVal>
          <c:yVal>
            <c:numRef>
              <c:f>Stabilito!$C$146:$C$148</c:f>
              <c:numCache>
                <c:formatCode>0</c:formatCode>
                <c:ptCount val="3"/>
                <c:pt idx="0">
                  <c:v>-1982</c:v>
                </c:pt>
                <c:pt idx="1">
                  <c:v>-2022</c:v>
                </c:pt>
                <c:pt idx="2">
                  <c:v>-2062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299.60000000000002</c:v>
                </c:pt>
                <c:pt idx="1">
                  <c:v>299.60000000000002</c:v>
                </c:pt>
                <c:pt idx="2">
                  <c:v>299.60000000000002</c:v>
                </c:pt>
              </c:numCache>
            </c:numRef>
          </c:xVal>
          <c:yVal>
            <c:numRef>
              <c:f>Stabilito!$C$140:$C$142</c:f>
              <c:numCache>
                <c:formatCode>0</c:formatCode>
                <c:ptCount val="3"/>
                <c:pt idx="0">
                  <c:v>-1792</c:v>
                </c:pt>
                <c:pt idx="1">
                  <c:v>-1897</c:v>
                </c:pt>
                <c:pt idx="2">
                  <c:v>-2002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-299.60000000000002</c:v>
                </c:pt>
                <c:pt idx="1">
                  <c:v>-299.60000000000002</c:v>
                </c:pt>
                <c:pt idx="2">
                  <c:v>-299.60000000000002</c:v>
                </c:pt>
              </c:numCache>
            </c:numRef>
          </c:xVal>
          <c:yVal>
            <c:numRef>
              <c:f>Stabilito!$C$155:$C$157</c:f>
              <c:numCache>
                <c:formatCode>0</c:formatCode>
                <c:ptCount val="3"/>
                <c:pt idx="0">
                  <c:v>-1188.8042896615248</c:v>
                </c:pt>
                <c:pt idx="1">
                  <c:v>-1303.8909804188729</c:v>
                </c:pt>
                <c:pt idx="2">
                  <c:v>-1418.9776711762208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2.0246816059764923</c:v>
                </c:pt>
                <c:pt idx="1">
                  <c:v>2.0246816059764923</c:v>
                </c:pt>
                <c:pt idx="2">
                  <c:v>2.8554202586721704</c:v>
                </c:pt>
                <c:pt idx="3">
                  <c:v>2.8554202586721704</c:v>
                </c:pt>
              </c:numCache>
            </c:numRef>
          </c:xVal>
          <c:yVal>
            <c:numRef>
              <c:f>Stabilito!$C$190:$C$193</c:f>
              <c:numCache>
                <c:formatCode>0.00</c:formatCode>
                <c:ptCount val="4"/>
                <c:pt idx="0">
                  <c:v>30.03262911205999</c:v>
                </c:pt>
                <c:pt idx="1">
                  <c:v>30.03262911205999</c:v>
                </c:pt>
                <c:pt idx="2">
                  <c:v>30.03262911205999</c:v>
                </c:pt>
                <c:pt idx="3">
                  <c:v>30.03262911205999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2.8554202586721704</c:v>
                </c:pt>
                <c:pt idx="1">
                  <c:v>2.0246816059764923</c:v>
                </c:pt>
              </c:numCache>
            </c:numRef>
          </c:xVal>
          <c:yVal>
            <c:numRef>
              <c:f>Stabilito!$C$193:$C$194</c:f>
              <c:numCache>
                <c:formatCode>0.00</c:formatCode>
                <c:ptCount val="2"/>
                <c:pt idx="0">
                  <c:v>30.03262911205999</c:v>
                </c:pt>
                <c:pt idx="1">
                  <c:v>30.03262911205999</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2.12</c:v>
                </c:pt>
                <c:pt idx="1">
                  <c:v>2.9</c:v>
                </c:pt>
              </c:numCache>
            </c:numRef>
          </c:xVal>
          <c:yVal>
            <c:numRef>
              <c:f>Stabilito!$V$31:$V$32</c:f>
              <c:numCache>
                <c:formatCode>General</c:formatCode>
                <c:ptCount val="2"/>
                <c:pt idx="0">
                  <c:v>24.960999999999999</c:v>
                </c:pt>
                <c:pt idx="1">
                  <c:v>24.960999999999999</c:v>
                </c:pt>
              </c:numCache>
            </c:numRef>
          </c:yVal>
          <c:smooth val="0"/>
          <c:extLst>
            <c:ext xmlns:c16="http://schemas.microsoft.com/office/drawing/2014/chart" uri="{C3380CC4-5D6E-409C-BE32-E72D297353CC}">
              <c16:uniqueId val="{00000000-3ED3-4439-B93A-D35DD3C53364}"/>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1373.1093346555149</c:v>
                </c:pt>
              </c:numCache>
            </c:numRef>
          </c:xVal>
          <c:yVal>
            <c:numRef>
              <c:f>Trajecto!$C$121</c:f>
              <c:numCache>
                <c:formatCode>0</c:formatCode>
                <c:ptCount val="1"/>
                <c:pt idx="0">
                  <c:v>1373.1093346555149</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7.5973591442047388</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31.360696357701627</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68.378641055308051</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111.00699900697511</c:v>
                </c:pt>
                <c:pt idx="401">
                  <c:v>#N/A</c:v>
                </c:pt>
                <c:pt idx="402">
                  <c:v>#N/A</c:v>
                </c:pt>
                <c:pt idx="403">
                  <c:v>#N/A</c:v>
                </c:pt>
                <c:pt idx="404">
                  <c:v>#N/A</c:v>
                </c:pt>
                <c:pt idx="405">
                  <c:v>#N/A</c:v>
                </c:pt>
                <c:pt idx="406">
                  <c:v>#N/A</c:v>
                </c:pt>
                <c:pt idx="407">
                  <c:v>#N/A</c:v>
                </c:pt>
                <c:pt idx="408">
                  <c:v>#N/A</c:v>
                </c:pt>
                <c:pt idx="409">
                  <c:v>#N/A</c:v>
                </c:pt>
                <c:pt idx="410">
                  <c:v>150.73853586173834</c:v>
                </c:pt>
                <c:pt idx="411">
                  <c:v>#N/A</c:v>
                </c:pt>
                <c:pt idx="412">
                  <c:v>#N/A</c:v>
                </c:pt>
                <c:pt idx="413">
                  <c:v>#N/A</c:v>
                </c:pt>
                <c:pt idx="414">
                  <c:v>#N/A</c:v>
                </c:pt>
                <c:pt idx="415">
                  <c:v>#N/A</c:v>
                </c:pt>
                <c:pt idx="416">
                  <c:v>#N/A</c:v>
                </c:pt>
                <c:pt idx="417">
                  <c:v>#N/A</c:v>
                </c:pt>
                <c:pt idx="418">
                  <c:v>#N/A</c:v>
                </c:pt>
                <c:pt idx="419">
                  <c:v>#N/A</c:v>
                </c:pt>
                <c:pt idx="420">
                  <c:v>187.67912335372131</c:v>
                </c:pt>
                <c:pt idx="421">
                  <c:v>#N/A</c:v>
                </c:pt>
                <c:pt idx="422">
                  <c:v>#N/A</c:v>
                </c:pt>
                <c:pt idx="423">
                  <c:v>#N/A</c:v>
                </c:pt>
                <c:pt idx="424">
                  <c:v>#N/A</c:v>
                </c:pt>
                <c:pt idx="425">
                  <c:v>#N/A</c:v>
                </c:pt>
                <c:pt idx="426">
                  <c:v>#N/A</c:v>
                </c:pt>
                <c:pt idx="427">
                  <c:v>#N/A</c:v>
                </c:pt>
                <c:pt idx="428">
                  <c:v>#N/A</c:v>
                </c:pt>
                <c:pt idx="429">
                  <c:v>#N/A</c:v>
                </c:pt>
                <c:pt idx="430">
                  <c:v>222.37493612589861</c:v>
                </c:pt>
                <c:pt idx="431">
                  <c:v>#N/A</c:v>
                </c:pt>
                <c:pt idx="432">
                  <c:v>#N/A</c:v>
                </c:pt>
                <c:pt idx="433">
                  <c:v>#N/A</c:v>
                </c:pt>
                <c:pt idx="434">
                  <c:v>#N/A</c:v>
                </c:pt>
                <c:pt idx="435">
                  <c:v>#N/A</c:v>
                </c:pt>
                <c:pt idx="436">
                  <c:v>#N/A</c:v>
                </c:pt>
                <c:pt idx="437">
                  <c:v>#N/A</c:v>
                </c:pt>
                <c:pt idx="438">
                  <c:v>#N/A</c:v>
                </c:pt>
                <c:pt idx="439">
                  <c:v>#N/A</c:v>
                </c:pt>
                <c:pt idx="440">
                  <c:v>255.2444046059756</c:v>
                </c:pt>
                <c:pt idx="441">
                  <c:v>#N/A</c:v>
                </c:pt>
                <c:pt idx="442">
                  <c:v>#N/A</c:v>
                </c:pt>
                <c:pt idx="443">
                  <c:v>#N/A</c:v>
                </c:pt>
                <c:pt idx="444">
                  <c:v>#N/A</c:v>
                </c:pt>
                <c:pt idx="445">
                  <c:v>#N/A</c:v>
                </c:pt>
                <c:pt idx="446">
                  <c:v>#N/A</c:v>
                </c:pt>
                <c:pt idx="447">
                  <c:v>#N/A</c:v>
                </c:pt>
                <c:pt idx="448">
                  <c:v>#N/A</c:v>
                </c:pt>
                <c:pt idx="449">
                  <c:v>#N/A</c:v>
                </c:pt>
                <c:pt idx="450">
                  <c:v>286.61699930896873</c:v>
                </c:pt>
                <c:pt idx="451">
                  <c:v>#N/A</c:v>
                </c:pt>
                <c:pt idx="452">
                  <c:v>#N/A</c:v>
                </c:pt>
                <c:pt idx="453">
                  <c:v>#N/A</c:v>
                </c:pt>
                <c:pt idx="454">
                  <c:v>#N/A</c:v>
                </c:pt>
                <c:pt idx="455">
                  <c:v>#N/A</c:v>
                </c:pt>
                <c:pt idx="456">
                  <c:v>#N/A</c:v>
                </c:pt>
                <c:pt idx="457">
                  <c:v>#N/A</c:v>
                </c:pt>
                <c:pt idx="458">
                  <c:v>#N/A</c:v>
                </c:pt>
                <c:pt idx="459">
                  <c:v>#N/A</c:v>
                </c:pt>
                <c:pt idx="460">
                  <c:v>316.75830957192824</c:v>
                </c:pt>
                <c:pt idx="461">
                  <c:v>#N/A</c:v>
                </c:pt>
                <c:pt idx="462">
                  <c:v>#N/A</c:v>
                </c:pt>
                <c:pt idx="463">
                  <c:v>#N/A</c:v>
                </c:pt>
                <c:pt idx="464">
                  <c:v>#N/A</c:v>
                </c:pt>
                <c:pt idx="465">
                  <c:v>#N/A</c:v>
                </c:pt>
                <c:pt idx="466">
                  <c:v>#N/A</c:v>
                </c:pt>
                <c:pt idx="467">
                  <c:v>#N/A</c:v>
                </c:pt>
                <c:pt idx="468">
                  <c:v>#N/A</c:v>
                </c:pt>
                <c:pt idx="469">
                  <c:v>#N/A</c:v>
                </c:pt>
                <c:pt idx="470">
                  <c:v>345.88675727707397</c:v>
                </c:pt>
                <c:pt idx="471">
                  <c:v>#N/A</c:v>
                </c:pt>
                <c:pt idx="472">
                  <c:v>#N/A</c:v>
                </c:pt>
                <c:pt idx="473">
                  <c:v>#N/A</c:v>
                </c:pt>
                <c:pt idx="474">
                  <c:v>#N/A</c:v>
                </c:pt>
                <c:pt idx="475">
                  <c:v>#N/A</c:v>
                </c:pt>
                <c:pt idx="476">
                  <c:v>#N/A</c:v>
                </c:pt>
                <c:pt idx="477">
                  <c:v>#N/A</c:v>
                </c:pt>
                <c:pt idx="478">
                  <c:v>#N/A</c:v>
                </c:pt>
                <c:pt idx="479">
                  <c:v>#N/A</c:v>
                </c:pt>
                <c:pt idx="480">
                  <c:v>374.184887928656</c:v>
                </c:pt>
                <c:pt idx="481">
                  <c:v>#N/A</c:v>
                </c:pt>
                <c:pt idx="482">
                  <c:v>#N/A</c:v>
                </c:pt>
                <c:pt idx="483">
                  <c:v>#N/A</c:v>
                </c:pt>
                <c:pt idx="484">
                  <c:v>#N/A</c:v>
                </c:pt>
                <c:pt idx="485">
                  <c:v>#N/A</c:v>
                </c:pt>
                <c:pt idx="486">
                  <c:v>#N/A</c:v>
                </c:pt>
                <c:pt idx="487">
                  <c:v>#N/A</c:v>
                </c:pt>
                <c:pt idx="488">
                  <c:v>#N/A</c:v>
                </c:pt>
                <c:pt idx="489">
                  <c:v>#N/A</c:v>
                </c:pt>
                <c:pt idx="490">
                  <c:v>401.80682642469179</c:v>
                </c:pt>
                <c:pt idx="491">
                  <c:v>#N/A</c:v>
                </c:pt>
                <c:pt idx="492">
                  <c:v>#N/A</c:v>
                </c:pt>
                <c:pt idx="493">
                  <c:v>#N/A</c:v>
                </c:pt>
                <c:pt idx="494">
                  <c:v>#N/A</c:v>
                </c:pt>
                <c:pt idx="495">
                  <c:v>#N/A</c:v>
                </c:pt>
                <c:pt idx="496">
                  <c:v>#N/A</c:v>
                </c:pt>
                <c:pt idx="497">
                  <c:v>#N/A</c:v>
                </c:pt>
                <c:pt idx="498">
                  <c:v>#N/A</c:v>
                </c:pt>
                <c:pt idx="499">
                  <c:v>#N/A</c:v>
                </c:pt>
                <c:pt idx="500">
                  <c:v>428.88256738167132</c:v>
                </c:pt>
                <c:pt idx="501">
                  <c:v>#N/A</c:v>
                </c:pt>
                <c:pt idx="502">
                  <c:v>#N/A</c:v>
                </c:pt>
                <c:pt idx="503">
                  <c:v>#N/A</c:v>
                </c:pt>
                <c:pt idx="504">
                  <c:v>#N/A</c:v>
                </c:pt>
                <c:pt idx="505">
                  <c:v>#N/A</c:v>
                </c:pt>
                <c:pt idx="506">
                  <c:v>#N/A</c:v>
                </c:pt>
                <c:pt idx="507">
                  <c:v>#N/A</c:v>
                </c:pt>
                <c:pt idx="508">
                  <c:v>#N/A</c:v>
                </c:pt>
                <c:pt idx="509">
                  <c:v>#N/A</c:v>
                </c:pt>
                <c:pt idx="510">
                  <c:v>455.51894817950966</c:v>
                </c:pt>
                <c:pt idx="511">
                  <c:v>#N/A</c:v>
                </c:pt>
                <c:pt idx="512">
                  <c:v>#N/A</c:v>
                </c:pt>
                <c:pt idx="513">
                  <c:v>#N/A</c:v>
                </c:pt>
                <c:pt idx="514">
                  <c:v>#N/A</c:v>
                </c:pt>
                <c:pt idx="515">
                  <c:v>#N/A</c:v>
                </c:pt>
                <c:pt idx="516">
                  <c:v>#N/A</c:v>
                </c:pt>
                <c:pt idx="517">
                  <c:v>#N/A</c:v>
                </c:pt>
                <c:pt idx="518">
                  <c:v>#N/A</c:v>
                </c:pt>
                <c:pt idx="519">
                  <c:v>#N/A</c:v>
                </c:pt>
                <c:pt idx="520">
                  <c:v>481.79642471149731</c:v>
                </c:pt>
                <c:pt idx="521">
                  <c:v>#N/A</c:v>
                </c:pt>
                <c:pt idx="522">
                  <c:v>#N/A</c:v>
                </c:pt>
                <c:pt idx="523">
                  <c:v>#N/A</c:v>
                </c:pt>
                <c:pt idx="524">
                  <c:v>#N/A</c:v>
                </c:pt>
                <c:pt idx="525">
                  <c:v>#N/A</c:v>
                </c:pt>
                <c:pt idx="526">
                  <c:v>#N/A</c:v>
                </c:pt>
                <c:pt idx="527">
                  <c:v>#N/A</c:v>
                </c:pt>
                <c:pt idx="528">
                  <c:v>#N/A</c:v>
                </c:pt>
                <c:pt idx="529">
                  <c:v>#N/A</c:v>
                </c:pt>
                <c:pt idx="530">
                  <c:v>507.76151788442098</c:v>
                </c:pt>
                <c:pt idx="531">
                  <c:v>#N/A</c:v>
                </c:pt>
                <c:pt idx="532">
                  <c:v>#N/A</c:v>
                </c:pt>
                <c:pt idx="533">
                  <c:v>#N/A</c:v>
                </c:pt>
                <c:pt idx="534">
                  <c:v>#N/A</c:v>
                </c:pt>
                <c:pt idx="535">
                  <c:v>#N/A</c:v>
                </c:pt>
                <c:pt idx="536">
                  <c:v>#N/A</c:v>
                </c:pt>
                <c:pt idx="537">
                  <c:v>#N/A</c:v>
                </c:pt>
                <c:pt idx="538">
                  <c:v>#N/A</c:v>
                </c:pt>
                <c:pt idx="539">
                  <c:v>#N/A</c:v>
                </c:pt>
                <c:pt idx="540">
                  <c:v>533.41997519864015</c:v>
                </c:pt>
                <c:pt idx="541">
                  <c:v>#N/A</c:v>
                </c:pt>
                <c:pt idx="542">
                  <c:v>#N/A</c:v>
                </c:pt>
                <c:pt idx="543">
                  <c:v>#N/A</c:v>
                </c:pt>
                <c:pt idx="544">
                  <c:v>#N/A</c:v>
                </c:pt>
                <c:pt idx="545">
                  <c:v>#N/A</c:v>
                </c:pt>
                <c:pt idx="546">
                  <c:v>#N/A</c:v>
                </c:pt>
                <c:pt idx="547">
                  <c:v>#N/A</c:v>
                </c:pt>
                <c:pt idx="548">
                  <c:v>#N/A</c:v>
                </c:pt>
                <c:pt idx="549">
                  <c:v>#N/A</c:v>
                </c:pt>
                <c:pt idx="550">
                  <c:v>558.73986034100278</c:v>
                </c:pt>
                <c:pt idx="551">
                  <c:v>#N/A</c:v>
                </c:pt>
                <c:pt idx="552">
                  <c:v>#N/A</c:v>
                </c:pt>
                <c:pt idx="553">
                  <c:v>#N/A</c:v>
                </c:pt>
                <c:pt idx="554">
                  <c:v>#N/A</c:v>
                </c:pt>
                <c:pt idx="555">
                  <c:v>#N/A</c:v>
                </c:pt>
                <c:pt idx="556">
                  <c:v>#N/A</c:v>
                </c:pt>
                <c:pt idx="557">
                  <c:v>#N/A</c:v>
                </c:pt>
                <c:pt idx="558">
                  <c:v>#N/A</c:v>
                </c:pt>
                <c:pt idx="559">
                  <c:v>#N/A</c:v>
                </c:pt>
                <c:pt idx="560">
                  <c:v>583.6642513780223</c:v>
                </c:pt>
                <c:pt idx="561">
                  <c:v>#N/A</c:v>
                </c:pt>
                <c:pt idx="562">
                  <c:v>#N/A</c:v>
                </c:pt>
                <c:pt idx="563">
                  <c:v>#N/A</c:v>
                </c:pt>
                <c:pt idx="564">
                  <c:v>#N/A</c:v>
                </c:pt>
                <c:pt idx="565">
                  <c:v>#N/A</c:v>
                </c:pt>
                <c:pt idx="566">
                  <c:v>#N/A</c:v>
                </c:pt>
                <c:pt idx="567">
                  <c:v>#N/A</c:v>
                </c:pt>
                <c:pt idx="568">
                  <c:v>#N/A</c:v>
                </c:pt>
                <c:pt idx="569">
                  <c:v>#N/A</c:v>
                </c:pt>
                <c:pt idx="570">
                  <c:v>608.12426798936781</c:v>
                </c:pt>
                <c:pt idx="571">
                  <c:v>#N/A</c:v>
                </c:pt>
                <c:pt idx="572">
                  <c:v>#N/A</c:v>
                </c:pt>
                <c:pt idx="573">
                  <c:v>#N/A</c:v>
                </c:pt>
                <c:pt idx="574">
                  <c:v>#N/A</c:v>
                </c:pt>
                <c:pt idx="575">
                  <c:v>#N/A</c:v>
                </c:pt>
                <c:pt idx="576">
                  <c:v>#N/A</c:v>
                </c:pt>
                <c:pt idx="577">
                  <c:v>#N/A</c:v>
                </c:pt>
                <c:pt idx="578">
                  <c:v>#N/A</c:v>
                </c:pt>
                <c:pt idx="579">
                  <c:v>#N/A</c:v>
                </c:pt>
                <c:pt idx="580">
                  <c:v>632.04791295243388</c:v>
                </c:pt>
                <c:pt idx="581">
                  <c:v>#N/A</c:v>
                </c:pt>
                <c:pt idx="582">
                  <c:v>#N/A</c:v>
                </c:pt>
                <c:pt idx="583">
                  <c:v>#N/A</c:v>
                </c:pt>
                <c:pt idx="584">
                  <c:v>#N/A</c:v>
                </c:pt>
                <c:pt idx="585">
                  <c:v>#N/A</c:v>
                </c:pt>
                <c:pt idx="586">
                  <c:v>#N/A</c:v>
                </c:pt>
                <c:pt idx="587">
                  <c:v>#N/A</c:v>
                </c:pt>
                <c:pt idx="588">
                  <c:v>#N/A</c:v>
                </c:pt>
                <c:pt idx="589">
                  <c:v>#N/A</c:v>
                </c:pt>
                <c:pt idx="590">
                  <c:v>655.36539608599605</c:v>
                </c:pt>
                <c:pt idx="591">
                  <c:v>#N/A</c:v>
                </c:pt>
                <c:pt idx="592">
                  <c:v>#N/A</c:v>
                </c:pt>
                <c:pt idx="593">
                  <c:v>#N/A</c:v>
                </c:pt>
                <c:pt idx="594">
                  <c:v>#N/A</c:v>
                </c:pt>
                <c:pt idx="595">
                  <c:v>#N/A</c:v>
                </c:pt>
                <c:pt idx="596">
                  <c:v>#N/A</c:v>
                </c:pt>
                <c:pt idx="597">
                  <c:v>#N/A</c:v>
                </c:pt>
                <c:pt idx="598">
                  <c:v>#N/A</c:v>
                </c:pt>
                <c:pt idx="599">
                  <c:v>#N/A</c:v>
                </c:pt>
                <c:pt idx="600">
                  <c:v>678.01234362646949</c:v>
                </c:pt>
                <c:pt idx="601">
                  <c:v>#N/A</c:v>
                </c:pt>
                <c:pt idx="602">
                  <c:v>#N/A</c:v>
                </c:pt>
                <c:pt idx="603">
                  <c:v>#N/A</c:v>
                </c:pt>
                <c:pt idx="604">
                  <c:v>#N/A</c:v>
                </c:pt>
                <c:pt idx="605">
                  <c:v>#N/A</c:v>
                </c:pt>
                <c:pt idx="606">
                  <c:v>#N/A</c:v>
                </c:pt>
                <c:pt idx="607">
                  <c:v>#N/A</c:v>
                </c:pt>
                <c:pt idx="608">
                  <c:v>#N/A</c:v>
                </c:pt>
                <c:pt idx="609">
                  <c:v>#N/A</c:v>
                </c:pt>
                <c:pt idx="610">
                  <c:v>699.93175723587592</c:v>
                </c:pt>
                <c:pt idx="611">
                  <c:v>#N/A</c:v>
                </c:pt>
                <c:pt idx="612">
                  <c:v>#N/A</c:v>
                </c:pt>
                <c:pt idx="613">
                  <c:v>#N/A</c:v>
                </c:pt>
                <c:pt idx="614">
                  <c:v>#N/A</c:v>
                </c:pt>
                <c:pt idx="615">
                  <c:v>#N/A</c:v>
                </c:pt>
                <c:pt idx="616">
                  <c:v>#N/A</c:v>
                </c:pt>
                <c:pt idx="617">
                  <c:v>#N/A</c:v>
                </c:pt>
                <c:pt idx="618">
                  <c:v>#N/A</c:v>
                </c:pt>
                <c:pt idx="619">
                  <c:v>#N/A</c:v>
                </c:pt>
                <c:pt idx="620">
                  <c:v>721.07516875463091</c:v>
                </c:pt>
                <c:pt idx="621">
                  <c:v>#N/A</c:v>
                </c:pt>
                <c:pt idx="622">
                  <c:v>#N/A</c:v>
                </c:pt>
                <c:pt idx="623">
                  <c:v>#N/A</c:v>
                </c:pt>
                <c:pt idx="624">
                  <c:v>#N/A</c:v>
                </c:pt>
                <c:pt idx="625">
                  <c:v>#N/A</c:v>
                </c:pt>
                <c:pt idx="626">
                  <c:v>#N/A</c:v>
                </c:pt>
                <c:pt idx="627">
                  <c:v>#N/A</c:v>
                </c:pt>
                <c:pt idx="628">
                  <c:v>#N/A</c:v>
                </c:pt>
                <c:pt idx="629">
                  <c:v>#N/A</c:v>
                </c:pt>
                <c:pt idx="630">
                  <c:v>741.40322738115958</c:v>
                </c:pt>
                <c:pt idx="631">
                  <c:v>#N/A</c:v>
                </c:pt>
                <c:pt idx="632">
                  <c:v>#N/A</c:v>
                </c:pt>
                <c:pt idx="633">
                  <c:v>#N/A</c:v>
                </c:pt>
                <c:pt idx="634">
                  <c:v>#N/A</c:v>
                </c:pt>
                <c:pt idx="635">
                  <c:v>#N/A</c:v>
                </c:pt>
                <c:pt idx="636">
                  <c:v>#N/A</c:v>
                </c:pt>
                <c:pt idx="637">
                  <c:v>#N/A</c:v>
                </c:pt>
                <c:pt idx="638">
                  <c:v>#N/A</c:v>
                </c:pt>
                <c:pt idx="639">
                  <c:v>#N/A</c:v>
                </c:pt>
                <c:pt idx="640">
                  <c:v>760.88586036072684</c:v>
                </c:pt>
                <c:pt idx="641">
                  <c:v>#N/A</c:v>
                </c:pt>
                <c:pt idx="642">
                  <c:v>#N/A</c:v>
                </c:pt>
                <c:pt idx="643">
                  <c:v>#N/A</c:v>
                </c:pt>
                <c:pt idx="644">
                  <c:v>#N/A</c:v>
                </c:pt>
                <c:pt idx="645">
                  <c:v>#N/A</c:v>
                </c:pt>
                <c:pt idx="646">
                  <c:v>#N/A</c:v>
                </c:pt>
                <c:pt idx="647">
                  <c:v>#N/A</c:v>
                </c:pt>
                <c:pt idx="648">
                  <c:v>#N/A</c:v>
                </c:pt>
                <c:pt idx="649">
                  <c:v>#N/A</c:v>
                </c:pt>
                <c:pt idx="650">
                  <c:v>779.50210482566229</c:v>
                </c:pt>
                <c:pt idx="651">
                  <c:v>#N/A</c:v>
                </c:pt>
                <c:pt idx="652">
                  <c:v>#N/A</c:v>
                </c:pt>
                <c:pt idx="653">
                  <c:v>#N/A</c:v>
                </c:pt>
                <c:pt idx="654">
                  <c:v>#N/A</c:v>
                </c:pt>
                <c:pt idx="655">
                  <c:v>#N/A</c:v>
                </c:pt>
                <c:pt idx="656">
                  <c:v>#N/A</c:v>
                </c:pt>
                <c:pt idx="657">
                  <c:v>#N/A</c:v>
                </c:pt>
                <c:pt idx="658">
                  <c:v>#N/A</c:v>
                </c:pt>
                <c:pt idx="659">
                  <c:v>#N/A</c:v>
                </c:pt>
                <c:pt idx="660">
                  <c:v>797.23968756941542</c:v>
                </c:pt>
                <c:pt idx="661">
                  <c:v>#N/A</c:v>
                </c:pt>
                <c:pt idx="662">
                  <c:v>#N/A</c:v>
                </c:pt>
                <c:pt idx="663">
                  <c:v>#N/A</c:v>
                </c:pt>
                <c:pt idx="664">
                  <c:v>#N/A</c:v>
                </c:pt>
                <c:pt idx="665">
                  <c:v>#N/A</c:v>
                </c:pt>
                <c:pt idx="666">
                  <c:v>#N/A</c:v>
                </c:pt>
                <c:pt idx="667">
                  <c:v>#N/A</c:v>
                </c:pt>
                <c:pt idx="668">
                  <c:v>#N/A</c:v>
                </c:pt>
                <c:pt idx="669">
                  <c:v>#N/A</c:v>
                </c:pt>
                <c:pt idx="670">
                  <c:v>814.0944179070093</c:v>
                </c:pt>
                <c:pt idx="671">
                  <c:v>#N/A</c:v>
                </c:pt>
                <c:pt idx="672">
                  <c:v>#N/A</c:v>
                </c:pt>
                <c:pt idx="673">
                  <c:v>#N/A</c:v>
                </c:pt>
                <c:pt idx="674">
                  <c:v>#N/A</c:v>
                </c:pt>
                <c:pt idx="675">
                  <c:v>#N/A</c:v>
                </c:pt>
                <c:pt idx="676">
                  <c:v>#N/A</c:v>
                </c:pt>
                <c:pt idx="677">
                  <c:v>#N/A</c:v>
                </c:pt>
                <c:pt idx="678">
                  <c:v>#N/A</c:v>
                </c:pt>
                <c:pt idx="679">
                  <c:v>#N/A</c:v>
                </c:pt>
                <c:pt idx="680">
                  <c:v>830.06945049325111</c:v>
                </c:pt>
                <c:pt idx="681">
                  <c:v>#N/A</c:v>
                </c:pt>
                <c:pt idx="682">
                  <c:v>#N/A</c:v>
                </c:pt>
                <c:pt idx="683">
                  <c:v>#N/A</c:v>
                </c:pt>
                <c:pt idx="684">
                  <c:v>#N/A</c:v>
                </c:pt>
                <c:pt idx="685">
                  <c:v>#N/A</c:v>
                </c:pt>
                <c:pt idx="686">
                  <c:v>#N/A</c:v>
                </c:pt>
                <c:pt idx="687">
                  <c:v>#N/A</c:v>
                </c:pt>
                <c:pt idx="688">
                  <c:v>#N/A</c:v>
                </c:pt>
                <c:pt idx="689">
                  <c:v>#N/A</c:v>
                </c:pt>
                <c:pt idx="690">
                  <c:v>845.17446759482971</c:v>
                </c:pt>
                <c:pt idx="691">
                  <c:v>#N/A</c:v>
                </c:pt>
                <c:pt idx="692">
                  <c:v>#N/A</c:v>
                </c:pt>
                <c:pt idx="693">
                  <c:v>#N/A</c:v>
                </c:pt>
                <c:pt idx="694">
                  <c:v>#N/A</c:v>
                </c:pt>
                <c:pt idx="695">
                  <c:v>#N/A</c:v>
                </c:pt>
                <c:pt idx="696">
                  <c:v>#N/A</c:v>
                </c:pt>
                <c:pt idx="697">
                  <c:v>#N/A</c:v>
                </c:pt>
                <c:pt idx="698">
                  <c:v>#N/A</c:v>
                </c:pt>
                <c:pt idx="699">
                  <c:v>#N/A</c:v>
                </c:pt>
                <c:pt idx="700">
                  <c:v>859.42482300087568</c:v>
                </c:pt>
                <c:pt idx="701">
                  <c:v>#N/A</c:v>
                </c:pt>
                <c:pt idx="702">
                  <c:v>#N/A</c:v>
                </c:pt>
                <c:pt idx="703">
                  <c:v>#N/A</c:v>
                </c:pt>
                <c:pt idx="704">
                  <c:v>#N/A</c:v>
                </c:pt>
                <c:pt idx="705">
                  <c:v>#N/A</c:v>
                </c:pt>
                <c:pt idx="706">
                  <c:v>#N/A</c:v>
                </c:pt>
                <c:pt idx="707">
                  <c:v>#N/A</c:v>
                </c:pt>
                <c:pt idx="708">
                  <c:v>#N/A</c:v>
                </c:pt>
                <c:pt idx="709">
                  <c:v>#N/A</c:v>
                </c:pt>
                <c:pt idx="710">
                  <c:v>872.84068239539852</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1370.6112288098584</c:v>
                </c:pt>
                <c:pt idx="518">
                  <c:v>1371.26414623096</c:v>
                </c:pt>
                <c:pt idx="519">
                  <c:v>1371.818177831788</c:v>
                </c:pt>
                <c:pt idx="520">
                  <c:v>1372.2734488980361</c:v>
                </c:pt>
                <c:pt idx="521">
                  <c:v>1372.6300816103483</c:v>
                </c:pt>
                <c:pt idx="522">
                  <c:v>1372.888195507408</c:v>
                </c:pt>
                <c:pt idx="523">
                  <c:v>1373.0479079602799</c:v>
                </c:pt>
                <c:pt idx="524">
                  <c:v>1373.1093346555149</c:v>
                </c:pt>
                <c:pt idx="525">
                  <c:v>1373.0725900841969</c:v>
                </c:pt>
                <c:pt idx="526">
                  <c:v>1372.9377880338441</c:v>
                </c:pt>
                <c:pt idx="527">
                  <c:v>1372.7050420798976</c:v>
                </c:pt>
                <c:pt idx="528">
                  <c:v>1372.3744660734446</c:v>
                </c:pt>
                <c:pt idx="529">
                  <c:v>1371.946174621836</c:v>
                </c:pt>
                <c:pt idx="530">
                  <c:v>1371.4202835589724</c:v>
                </c:pt>
                <c:pt idx="531">
                  <c:v>1370.7969104022388</c:v>
                </c:pt>
                <c:pt idx="532">
                  <c:v>1370.0761747933545</c:v>
                </c:pt>
                <c:pt idx="533">
                  <c:v>1369.2581989207529</c:v>
                </c:pt>
                <c:pt idx="534">
                  <c:v>1368.3431079215018</c:v>
                </c:pt>
                <c:pt idx="535">
                  <c:v>1367.3310302611926</c:v>
                </c:pt>
                <c:pt idx="536">
                  <c:v>1366.2220980906491</c:v>
                </c:pt>
                <c:pt idx="537">
                  <c:v>1365.016447578719</c:v>
                </c:pt>
                <c:pt idx="538">
                  <c:v>1363.714219220793</c:v>
                </c:pt>
                <c:pt idx="539">
                  <c:v>1362.3155581230474</c:v>
                </c:pt>
                <c:pt idx="540">
                  <c:v>1360.8206142627012</c:v>
                </c:pt>
                <c:pt idx="541">
                  <c:v>1359.2295427248403</c:v>
                </c:pt>
                <c:pt idx="542">
                  <c:v>1357.5425039165602</c:v>
                </c:pt>
                <c:pt idx="543">
                  <c:v>1355.7596637593417</c:v>
                </c:pt>
                <c:pt idx="544">
                  <c:v>1353.8811938606818</c:v>
                </c:pt>
                <c:pt idx="545">
                  <c:v>1351.9072716660855</c:v>
                </c:pt>
                <c:pt idx="546">
                  <c:v>1349.8380805925585</c:v>
                </c:pt>
                <c:pt idx="547">
                  <c:v>1347.6738101447595</c:v>
                </c:pt>
                <c:pt idx="548">
                  <c:v>1345.4146560149584</c:v>
                </c:pt>
                <c:pt idx="549">
                  <c:v>1343.0608201679217</c:v>
                </c:pt>
                <c:pt idx="550">
                  <c:v>1340.6125109118054</c:v>
                </c:pt>
                <c:pt idx="551">
                  <c:v>1338.0699429560834</c:v>
                </c:pt>
                <c:pt idx="552">
                  <c:v>1335.4333374574881</c:v>
                </c:pt>
                <c:pt idx="553">
                  <c:v>1332.7029220548748</c:v>
                </c:pt>
                <c:pt idx="554">
                  <c:v>1329.878930893864</c:v>
                </c:pt>
                <c:pt idx="555">
                  <c:v>1326.9616046420508</c:v>
                </c:pt>
                <c:pt idx="556">
                  <c:v>1323.9511904955139</c:v>
                </c:pt>
                <c:pt idx="557">
                  <c:v>1320.8479421772972</c:v>
                </c:pt>
                <c:pt idx="558">
                  <c:v>1317.6521199284846</c:v>
                </c:pt>
                <c:pt idx="559">
                  <c:v>1314.3639904924314</c:v>
                </c:pt>
                <c:pt idx="560">
                  <c:v>1310.9838270926768</c:v>
                </c:pt>
                <c:pt idx="561">
                  <c:v>1307.5119094050085</c:v>
                </c:pt>
                <c:pt idx="562">
                  <c:v>1303.948523524115</c:v>
                </c:pt>
                <c:pt idx="563">
                  <c:v>1300.2939619252243</c:v>
                </c:pt>
                <c:pt idx="564">
                  <c:v>1296.5485234210878</c:v>
                </c:pt>
                <c:pt idx="565">
                  <c:v>1292.7125131146452</c:v>
                </c:pt>
                <c:pt idx="566">
                  <c:v>1288.7862423476711</c:v>
                </c:pt>
                <c:pt idx="567">
                  <c:v>1284.7700286456825</c:v>
                </c:pt>
                <c:pt idx="568">
                  <c:v>1280.664195659363</c:v>
                </c:pt>
                <c:pt idx="569">
                  <c:v>1276.4690731027372</c:v>
                </c:pt>
                <c:pt idx="570">
                  <c:v>1272.1849966883112</c:v>
                </c:pt>
                <c:pt idx="571">
                  <c:v>1267.8123080593812</c:v>
                </c:pt>
                <c:pt idx="572">
                  <c:v>1263.3513547196883</c:v>
                </c:pt>
                <c:pt idx="573">
                  <c:v>1258.8024899605982</c:v>
                </c:pt>
                <c:pt idx="574">
                  <c:v>1254.1660727859564</c:v>
                </c:pt>
                <c:pt idx="575">
                  <c:v>1249.4424678347721</c:v>
                </c:pt>
                <c:pt idx="576">
                  <c:v>1244.6320453018657</c:v>
                </c:pt>
                <c:pt idx="577">
                  <c:v>1239.7351808566102</c:v>
                </c:pt>
                <c:pt idx="578">
                  <c:v>1234.7522555598871</c:v>
                </c:pt>
                <c:pt idx="579">
                  <c:v>1229.6836557793692</c:v>
                </c:pt>
                <c:pt idx="580">
                  <c:v>1224.5297731032415</c:v>
                </c:pt>
                <c:pt idx="581">
                  <c:v>1219.2910042524577</c:v>
                </c:pt>
                <c:pt idx="582">
                  <c:v>1213.9677509916312</c:v>
                </c:pt>
                <c:pt idx="583">
                  <c:v>1208.5604200386517</c:v>
                </c:pt>
                <c:pt idx="584">
                  <c:v>1203.0694229731148</c:v>
                </c:pt>
                <c:pt idx="585">
                  <c:v>1197.4951761436473</c:v>
                </c:pt>
                <c:pt idx="586">
                  <c:v>1191.8381005742096</c:v>
                </c:pt>
                <c:pt idx="587">
                  <c:v>1186.0986218694502</c:v>
                </c:pt>
                <c:pt idx="588">
                  <c:v>1180.277170119188</c:v>
                </c:pt>
                <c:pt idx="589">
                  <c:v>1174.3741798020908</c:v>
                </c:pt>
                <c:pt idx="590">
                  <c:v>1168.3900896886209</c:v>
                </c:pt>
                <c:pt idx="591">
                  <c:v>1162.3253427433131</c:v>
                </c:pt>
                <c:pt idx="592">
                  <c:v>1156.1803860264476</c:v>
                </c:pt>
                <c:pt idx="593">
                  <c:v>1149.9556705951838</c:v>
                </c:pt>
                <c:pt idx="594">
                  <c:v>1143.6516514042094</c:v>
                </c:pt>
                <c:pt idx="595">
                  <c:v>1137.2687872059689</c:v>
                </c:pt>
                <c:pt idx="596">
                  <c:v>1130.8075404505255</c:v>
                </c:pt>
                <c:pt idx="597">
                  <c:v>1124.2683771851114</c:v>
                </c:pt>
                <c:pt idx="598">
                  <c:v>1117.6517669534212</c:v>
                </c:pt>
                <c:pt idx="599">
                  <c:v>1110.9581826947012</c:v>
                </c:pt>
                <c:pt idx="600">
                  <c:v>1104.188100642685</c:v>
                </c:pt>
                <c:pt idx="601">
                  <c:v>1097.3420002244245</c:v>
                </c:pt>
                <c:pt idx="602">
                  <c:v>1090.4203639590676</c:v>
                </c:pt>
                <c:pt idx="603">
                  <c:v>1083.4236773566265</c:v>
                </c:pt>
                <c:pt idx="604">
                  <c:v>1076.3524288167871</c:v>
                </c:pt>
                <c:pt idx="605">
                  <c:v>1069.2071095277993</c:v>
                </c:pt>
                <c:pt idx="606">
                  <c:v>1061.988213365498</c:v>
                </c:pt>
                <c:pt idx="607">
                  <c:v>1054.6962367924948</c:v>
                </c:pt>
                <c:pt idx="608">
                  <c:v>1047.3316787575818</c:v>
                </c:pt>
                <c:pt idx="609">
                  <c:v>1039.895040595391</c:v>
                </c:pt>
                <c:pt idx="610">
                  <c:v>1032.3868259263479</c:v>
                </c:pt>
                <c:pt idx="611">
                  <c:v>1024.807540556958</c:v>
                </c:pt>
                <c:pt idx="612">
                  <c:v>1017.1576923804653</c:v>
                </c:pt>
                <c:pt idx="613">
                  <c:v>1009.4377912779198</c:v>
                </c:pt>
                <c:pt idx="614">
                  <c:v>1001.6483490196896</c:v>
                </c:pt>
                <c:pt idx="615">
                  <c:v>993.78987916745302</c:v>
                </c:pt>
                <c:pt idx="616">
                  <c:v>985.862896976706</c:v>
                </c:pt>
                <c:pt idx="617">
                  <c:v>977.86791929981678</c:v>
                </c:pt>
                <c:pt idx="618">
                  <c:v>969.80546448966152</c:v>
                </c:pt>
                <c:pt idx="619">
                  <c:v>961.67605230387187</c:v>
                </c:pt>
                <c:pt idx="620">
                  <c:v>953.48020380972514</c:v>
                </c:pt>
                <c:pt idx="621">
                  <c:v>945.21844128970724</c:v>
                </c:pt>
                <c:pt idx="622">
                  <c:v>936.89128814777678</c:v>
                </c:pt>
                <c:pt idx="623">
                  <c:v>928.49926881635884</c:v>
                </c:pt>
                <c:pt idx="624">
                  <c:v>920.04290866409497</c:v>
                </c:pt>
                <c:pt idx="625">
                  <c:v>911.52273390437597</c:v>
                </c:pt>
                <c:pt idx="626">
                  <c:v>902.93927150468278</c:v>
                </c:pt>
                <c:pt idx="627">
                  <c:v>894.29304909675966</c:v>
                </c:pt>
                <c:pt idx="628">
                  <c:v>885.58459488764345</c:v>
                </c:pt>
                <c:pt idx="629">
                  <c:v>876.8144375715716</c:v>
                </c:pt>
                <c:pt idx="630">
                  <c:v>867.983106242791</c:v>
                </c:pt>
                <c:pt idx="631">
                  <c:v>859.09113030928791</c:v>
                </c:pt>
                <c:pt idx="632">
                  <c:v>850.13903940746013</c:v>
                </c:pt>
                <c:pt idx="633">
                  <c:v>841.12736331774954</c:v>
                </c:pt>
                <c:pt idx="634">
                  <c:v>832.05663188125482</c:v>
                </c:pt>
                <c:pt idx="635">
                  <c:v>822.92737491734067</c:v>
                </c:pt>
                <c:pt idx="636">
                  <c:v>813.74012214226127</c:v>
                </c:pt>
                <c:pt idx="637">
                  <c:v>804.49540308881308</c:v>
                </c:pt>
                <c:pt idx="638">
                  <c:v>795.19374702703306</c:v>
                </c:pt>
                <c:pt idx="639">
                  <c:v>785.83568288595575</c:v>
                </c:pt>
                <c:pt idx="640">
                  <c:v>776.42173917644368</c:v>
                </c:pt>
                <c:pt idx="641">
                  <c:v>766.952443915103</c:v>
                </c:pt>
                <c:pt idx="642">
                  <c:v>757.4283245492968</c:v>
                </c:pt>
                <c:pt idx="643">
                  <c:v>747.84990788326706</c:v>
                </c:pt>
                <c:pt idx="644">
                  <c:v>738.21772000537624</c:v>
                </c:pt>
                <c:pt idx="645">
                  <c:v>728.53228621647702</c:v>
                </c:pt>
                <c:pt idx="646">
                  <c:v>718.79413095942061</c:v>
                </c:pt>
                <c:pt idx="647">
                  <c:v>709.00377774971059</c:v>
                </c:pt>
                <c:pt idx="648">
                  <c:v>699.16174910731024</c:v>
                </c:pt>
                <c:pt idx="649">
                  <c:v>689.26856648961063</c:v>
                </c:pt>
                <c:pt idx="650">
                  <c:v>679.32475022556434</c:v>
                </c:pt>
                <c:pt idx="651">
                  <c:v>669.33081945099138</c:v>
                </c:pt>
                <c:pt idx="652">
                  <c:v>659.28729204506124</c:v>
                </c:pt>
                <c:pt idx="653">
                  <c:v>649.19468456795539</c:v>
                </c:pt>
                <c:pt idx="654">
                  <c:v>639.05351219971351</c:v>
                </c:pt>
                <c:pt idx="655">
                  <c:v>628.86428868026644</c:v>
                </c:pt>
                <c:pt idx="656">
                  <c:v>618.6275262506573</c:v>
                </c:pt>
                <c:pt idx="657">
                  <c:v>608.34373559545293</c:v>
                </c:pt>
                <c:pt idx="658">
                  <c:v>598.01342578634603</c:v>
                </c:pt>
                <c:pt idx="659">
                  <c:v>587.63710422694885</c:v>
                </c:pt>
                <c:pt idx="660">
                  <c:v>577.21527659877711</c:v>
                </c:pt>
                <c:pt idx="661">
                  <c:v>566.74844680842432</c:v>
                </c:pt>
                <c:pt idx="662">
                  <c:v>556.23711693592452</c:v>
                </c:pt>
                <c:pt idx="663">
                  <c:v>545.6817871843017</c:v>
                </c:pt>
                <c:pt idx="664">
                  <c:v>535.08295583030281</c:v>
                </c:pt>
                <c:pt idx="665">
                  <c:v>524.44111917631221</c:v>
                </c:pt>
                <c:pt idx="666">
                  <c:v>513.75677150344313</c:v>
                </c:pt>
                <c:pt idx="667">
                  <c:v>503.03040502580313</c:v>
                </c:pt>
                <c:pt idx="668">
                  <c:v>492.26250984592798</c:v>
                </c:pt>
                <c:pt idx="669">
                  <c:v>481.45357391137969</c:v>
                </c:pt>
                <c:pt idx="670">
                  <c:v>470.60408297250325</c:v>
                </c:pt>
                <c:pt idx="671">
                  <c:v>459.71452054133596</c:v>
                </c:pt>
                <c:pt idx="672">
                  <c:v>448.78536785166324</c:v>
                </c:pt>
                <c:pt idx="673">
                  <c:v>437.81710382021413</c:v>
                </c:pt>
                <c:pt idx="674">
                  <c:v>426.81020500898978</c:v>
                </c:pt>
                <c:pt idx="675">
                  <c:v>415.7651455887169</c:v>
                </c:pt>
                <c:pt idx="676">
                  <c:v>404.68239730341884</c:v>
                </c:pt>
                <c:pt idx="677">
                  <c:v>393.56242943609601</c:v>
                </c:pt>
                <c:pt idx="678">
                  <c:v>382.40570877550687</c:v>
                </c:pt>
                <c:pt idx="679">
                  <c:v>371.21269958404099</c:v>
                </c:pt>
                <c:pt idx="680">
                  <c:v>359.98386356667481</c:v>
                </c:pt>
                <c:pt idx="681">
                  <c:v>348.71965984100086</c:v>
                </c:pt>
                <c:pt idx="682">
                  <c:v>337.42054490832027</c:v>
                </c:pt>
                <c:pt idx="683">
                  <c:v>326.08697262578909</c:v>
                </c:pt>
                <c:pt idx="684">
                  <c:v>314.7193941796076</c:v>
                </c:pt>
                <c:pt idx="685">
                  <c:v>303.31825805924251</c:v>
                </c:pt>
                <c:pt idx="686">
                  <c:v>291.88401003267103</c:v>
                </c:pt>
                <c:pt idx="687">
                  <c:v>280.41709312263566</c:v>
                </c:pt>
                <c:pt idx="688">
                  <c:v>268.91794758389898</c:v>
                </c:pt>
                <c:pt idx="689">
                  <c:v>257.38701088148628</c:v>
                </c:pt>
                <c:pt idx="690">
                  <c:v>245.82471766990511</c:v>
                </c:pt>
                <c:pt idx="691">
                  <c:v>234.23149977332957</c:v>
                </c:pt>
                <c:pt idx="692">
                  <c:v>222.6077861667373</c:v>
                </c:pt>
                <c:pt idx="693">
                  <c:v>210.9540029579872</c:v>
                </c:pt>
                <c:pt idx="694">
                  <c:v>199.27057337082567</c:v>
                </c:pt>
                <c:pt idx="695">
                  <c:v>187.55791772880872</c:v>
                </c:pt>
                <c:pt idx="696">
                  <c:v>175.8164534401275</c:v>
                </c:pt>
                <c:pt idx="697">
                  <c:v>164.04659498332472</c:v>
                </c:pt>
                <c:pt idx="698">
                  <c:v>152.24875389388893</c:v>
                </c:pt>
                <c:pt idx="699">
                  <c:v>140.423338751714</c:v>
                </c:pt>
                <c:pt idx="700">
                  <c:v>128.57075516941072</c:v>
                </c:pt>
                <c:pt idx="701">
                  <c:v>116.69140578145765</c:v>
                </c:pt>
                <c:pt idx="702">
                  <c:v>104.78569023417785</c:v>
                </c:pt>
                <c:pt idx="703">
                  <c:v>92.854005176528645</c:v>
                </c:pt>
                <c:pt idx="704">
                  <c:v>80.896744251690905</c:v>
                </c:pt>
                <c:pt idx="705">
                  <c:v>68.91429808944487</c:v>
                </c:pt>
                <c:pt idx="706">
                  <c:v>56.907054299319029</c:v>
                </c:pt>
                <c:pt idx="707">
                  <c:v>44.875397464498832</c:v>
                </c:pt>
                <c:pt idx="708">
                  <c:v>32.819709136481897</c:v>
                </c:pt>
                <c:pt idx="709">
                  <c:v>20.740367830466383</c:v>
                </c:pt>
                <c:pt idx="710">
                  <c:v>8.6377490214591433</c:v>
                </c:pt>
                <c:pt idx="711">
                  <c:v>-3.4877748589096171</c:v>
                </c:pt>
                <c:pt idx="712">
                  <c:v>-3.4999117537742355</c:v>
                </c:pt>
                <c:pt idx="713">
                  <c:v>-3.5120486709904264</c:v>
                </c:pt>
                <c:pt idx="714">
                  <c:v>-3.5241856105578258</c:v>
                </c:pt>
                <c:pt idx="715">
                  <c:v>-3.5363225724760694</c:v>
                </c:pt>
                <c:pt idx="716">
                  <c:v>-3.5484595567447932</c:v>
                </c:pt>
                <c:pt idx="717">
                  <c:v>-3.5605965633636329</c:v>
                </c:pt>
                <c:pt idx="718">
                  <c:v>-3.572733592332225</c:v>
                </c:pt>
                <c:pt idx="719">
                  <c:v>-3.5848706436502051</c:v>
                </c:pt>
                <c:pt idx="720">
                  <c:v>-3.5970077173172093</c:v>
                </c:pt>
                <c:pt idx="721">
                  <c:v>-3.6091448133328732</c:v>
                </c:pt>
                <c:pt idx="722">
                  <c:v>-3.6212819316968332</c:v>
                </c:pt>
                <c:pt idx="723">
                  <c:v>-3.6334190724087252</c:v>
                </c:pt>
                <c:pt idx="724">
                  <c:v>-3.645556235468185</c:v>
                </c:pt>
                <c:pt idx="725">
                  <c:v>-3.6576934208748484</c:v>
                </c:pt>
                <c:pt idx="726">
                  <c:v>-3.6698306286283513</c:v>
                </c:pt>
                <c:pt idx="727">
                  <c:v>-3.68196785872833</c:v>
                </c:pt>
                <c:pt idx="728">
                  <c:v>-3.6941051111744203</c:v>
                </c:pt>
                <c:pt idx="729">
                  <c:v>-3.7062423859662585</c:v>
                </c:pt>
                <c:pt idx="730">
                  <c:v>-3.7183796831034805</c:v>
                </c:pt>
                <c:pt idx="731">
                  <c:v>-3.7305170025857222</c:v>
                </c:pt>
                <c:pt idx="732">
                  <c:v>-3.7426543444126192</c:v>
                </c:pt>
                <c:pt idx="733">
                  <c:v>-3.7547917085838081</c:v>
                </c:pt>
                <c:pt idx="734">
                  <c:v>-3.7669290950989245</c:v>
                </c:pt>
                <c:pt idx="735">
                  <c:v>-3.7790665039576044</c:v>
                </c:pt>
                <c:pt idx="736">
                  <c:v>-3.791203935159484</c:v>
                </c:pt>
                <c:pt idx="737">
                  <c:v>-3.8033413887041991</c:v>
                </c:pt>
                <c:pt idx="738">
                  <c:v>-3.8154788645913857</c:v>
                </c:pt>
                <c:pt idx="739">
                  <c:v>-3.8276163628206801</c:v>
                </c:pt>
                <c:pt idx="740">
                  <c:v>-3.839753883391718</c:v>
                </c:pt>
                <c:pt idx="741">
                  <c:v>-3.8518914263041353</c:v>
                </c:pt>
                <c:pt idx="742">
                  <c:v>-3.8640289915575683</c:v>
                </c:pt>
                <c:pt idx="743">
                  <c:v>-3.8761665791516529</c:v>
                </c:pt>
                <c:pt idx="744">
                  <c:v>-3.8883041890860253</c:v>
                </c:pt>
                <c:pt idx="745">
                  <c:v>-3.9004418213603214</c:v>
                </c:pt>
                <c:pt idx="746">
                  <c:v>-3.912579475974177</c:v>
                </c:pt>
                <c:pt idx="747">
                  <c:v>-3.9247171529272284</c:v>
                </c:pt>
                <c:pt idx="748">
                  <c:v>-3.9368548522191116</c:v>
                </c:pt>
                <c:pt idx="749">
                  <c:v>-3.9489925738494627</c:v>
                </c:pt>
                <c:pt idx="750">
                  <c:v>-3.9611303178179176</c:v>
                </c:pt>
                <c:pt idx="751">
                  <c:v>-3.9732680841241126</c:v>
                </c:pt>
                <c:pt idx="752">
                  <c:v>-3.9854058727676831</c:v>
                </c:pt>
                <c:pt idx="753">
                  <c:v>-3.9975436837482659</c:v>
                </c:pt>
                <c:pt idx="754">
                  <c:v>-4.0096815170654967</c:v>
                </c:pt>
                <c:pt idx="755">
                  <c:v>-4.0218193727190119</c:v>
                </c:pt>
                <c:pt idx="756">
                  <c:v>-4.0339572507084469</c:v>
                </c:pt>
                <c:pt idx="757">
                  <c:v>-4.0460951510334384</c:v>
                </c:pt>
                <c:pt idx="758">
                  <c:v>-4.0582330736936223</c:v>
                </c:pt>
                <c:pt idx="759">
                  <c:v>-4.0703710186886344</c:v>
                </c:pt>
                <c:pt idx="760">
                  <c:v>-4.0825089860181105</c:v>
                </c:pt>
                <c:pt idx="761">
                  <c:v>-4.0946469756816875</c:v>
                </c:pt>
                <c:pt idx="762">
                  <c:v>-4.106784987679001</c:v>
                </c:pt>
                <c:pt idx="763">
                  <c:v>-4.1189230220096871</c:v>
                </c:pt>
                <c:pt idx="764">
                  <c:v>-4.1310610786733815</c:v>
                </c:pt>
                <c:pt idx="765">
                  <c:v>-4.1431991576697209</c:v>
                </c:pt>
                <c:pt idx="766">
                  <c:v>-4.1553372589983413</c:v>
                </c:pt>
                <c:pt idx="767">
                  <c:v>-4.1674753826588784</c:v>
                </c:pt>
                <c:pt idx="768">
                  <c:v>-4.179613528650969</c:v>
                </c:pt>
                <c:pt idx="769">
                  <c:v>-4.1917516969742481</c:v>
                </c:pt>
                <c:pt idx="770">
                  <c:v>-4.2038898876283533</c:v>
                </c:pt>
                <c:pt idx="771">
                  <c:v>-4.2160281006129194</c:v>
                </c:pt>
                <c:pt idx="772">
                  <c:v>-4.2281663359275834</c:v>
                </c:pt>
                <c:pt idx="773">
                  <c:v>-4.240304593571981</c:v>
                </c:pt>
                <c:pt idx="774">
                  <c:v>-4.252442873545748</c:v>
                </c:pt>
                <c:pt idx="775">
                  <c:v>-4.2645811758485204</c:v>
                </c:pt>
                <c:pt idx="776">
                  <c:v>-4.2767195004799348</c:v>
                </c:pt>
                <c:pt idx="777">
                  <c:v>-4.2888578474396271</c:v>
                </c:pt>
                <c:pt idx="778">
                  <c:v>-4.300996216727234</c:v>
                </c:pt>
                <c:pt idx="779">
                  <c:v>-4.3131346083423914</c:v>
                </c:pt>
                <c:pt idx="780">
                  <c:v>-4.3252730222847351</c:v>
                </c:pt>
                <c:pt idx="781">
                  <c:v>-4.337411458553901</c:v>
                </c:pt>
                <c:pt idx="782">
                  <c:v>-4.3495499171495258</c:v>
                </c:pt>
                <c:pt idx="783">
                  <c:v>-4.3616883980712453</c:v>
                </c:pt>
                <c:pt idx="784">
                  <c:v>-4.3738269013186954</c:v>
                </c:pt>
                <c:pt idx="785">
                  <c:v>-4.3859654268915129</c:v>
                </c:pt>
                <c:pt idx="786">
                  <c:v>-4.3981039747893336</c:v>
                </c:pt>
                <c:pt idx="787">
                  <c:v>-4.4102425450117941</c:v>
                </c:pt>
                <c:pt idx="788">
                  <c:v>-4.4223811375585296</c:v>
                </c:pt>
                <c:pt idx="789">
                  <c:v>-4.4345197524291775</c:v>
                </c:pt>
                <c:pt idx="790">
                  <c:v>-4.4466583896233729</c:v>
                </c:pt>
                <c:pt idx="791">
                  <c:v>-4.4587970491407525</c:v>
                </c:pt>
                <c:pt idx="792">
                  <c:v>-4.4709357309809521</c:v>
                </c:pt>
                <c:pt idx="793">
                  <c:v>-4.4830744351436085</c:v>
                </c:pt>
                <c:pt idx="794">
                  <c:v>-4.4952131616283575</c:v>
                </c:pt>
                <c:pt idx="795">
                  <c:v>-4.507351910434835</c:v>
                </c:pt>
                <c:pt idx="796">
                  <c:v>-4.5194906815626776</c:v>
                </c:pt>
                <c:pt idx="797">
                  <c:v>-4.5316294750115214</c:v>
                </c:pt>
                <c:pt idx="798">
                  <c:v>-4.543768290781002</c:v>
                </c:pt>
                <c:pt idx="799">
                  <c:v>-4.5559071288707562</c:v>
                </c:pt>
                <c:pt idx="800">
                  <c:v>-4.5680459892804199</c:v>
                </c:pt>
                <c:pt idx="801">
                  <c:v>-4.5801848720096299</c:v>
                </c:pt>
                <c:pt idx="802">
                  <c:v>-4.5923237770580219</c:v>
                </c:pt>
                <c:pt idx="803">
                  <c:v>-4.6044627044252318</c:v>
                </c:pt>
                <c:pt idx="804">
                  <c:v>-4.6166016541108963</c:v>
                </c:pt>
                <c:pt idx="805">
                  <c:v>-4.6287406261146513</c:v>
                </c:pt>
                <c:pt idx="806">
                  <c:v>-4.6408796204361327</c:v>
                </c:pt>
                <c:pt idx="807">
                  <c:v>-4.6530186370749771</c:v>
                </c:pt>
                <c:pt idx="808">
                  <c:v>-4.6651576760308213</c:v>
                </c:pt>
                <c:pt idx="809">
                  <c:v>-4.6772967373033012</c:v>
                </c:pt>
                <c:pt idx="810">
                  <c:v>-4.6894358208920526</c:v>
                </c:pt>
                <c:pt idx="811">
                  <c:v>-4.7015749267967122</c:v>
                </c:pt>
                <c:pt idx="812">
                  <c:v>-4.7137140550169159</c:v>
                </c:pt>
                <c:pt idx="813">
                  <c:v>-4.7258532055522995</c:v>
                </c:pt>
                <c:pt idx="814">
                  <c:v>-4.7379923784024998</c:v>
                </c:pt>
                <c:pt idx="815">
                  <c:v>-4.7501315735671525</c:v>
                </c:pt>
                <c:pt idx="816">
                  <c:v>-4.7622707910458946</c:v>
                </c:pt>
                <c:pt idx="817">
                  <c:v>-4.7744100308383626</c:v>
                </c:pt>
                <c:pt idx="818">
                  <c:v>-4.7865492929441915</c:v>
                </c:pt>
                <c:pt idx="819">
                  <c:v>-4.7986885773630181</c:v>
                </c:pt>
                <c:pt idx="820">
                  <c:v>-4.8108278840944791</c:v>
                </c:pt>
                <c:pt idx="821">
                  <c:v>-4.8229672131382104</c:v>
                </c:pt>
                <c:pt idx="822">
                  <c:v>-4.8351065644938487</c:v>
                </c:pt>
                <c:pt idx="823">
                  <c:v>-4.8472459381610298</c:v>
                </c:pt>
                <c:pt idx="824">
                  <c:v>-4.8593853341393896</c:v>
                </c:pt>
                <c:pt idx="825">
                  <c:v>-4.8715247524285648</c:v>
                </c:pt>
                <c:pt idx="826">
                  <c:v>-4.8836641930281921</c:v>
                </c:pt>
                <c:pt idx="827">
                  <c:v>-4.8958036559379066</c:v>
                </c:pt>
                <c:pt idx="828">
                  <c:v>-4.9079431411573458</c:v>
                </c:pt>
                <c:pt idx="829">
                  <c:v>-4.9200826486861455</c:v>
                </c:pt>
                <c:pt idx="830">
                  <c:v>-4.9322221785239417</c:v>
                </c:pt>
                <c:pt idx="831">
                  <c:v>-4.9443617306703711</c:v>
                </c:pt>
                <c:pt idx="832">
                  <c:v>-4.9565013051250695</c:v>
                </c:pt>
                <c:pt idx="833">
                  <c:v>-4.9686409018876736</c:v>
                </c:pt>
                <c:pt idx="834">
                  <c:v>-4.9807805209578193</c:v>
                </c:pt>
                <c:pt idx="835">
                  <c:v>-4.9929201623351434</c:v>
                </c:pt>
                <c:pt idx="836">
                  <c:v>-5.0050598260192825</c:v>
                </c:pt>
                <c:pt idx="837">
                  <c:v>-5.0171995120098716</c:v>
                </c:pt>
                <c:pt idx="838">
                  <c:v>-5.0293392203065483</c:v>
                </c:pt>
                <c:pt idx="839">
                  <c:v>-5.0414789509089486</c:v>
                </c:pt>
                <c:pt idx="840">
                  <c:v>-5.0536187038167082</c:v>
                </c:pt>
                <c:pt idx="841">
                  <c:v>-5.0657584790294639</c:v>
                </c:pt>
                <c:pt idx="842">
                  <c:v>-5.0778982765468523</c:v>
                </c:pt>
                <c:pt idx="843">
                  <c:v>-5.0900380963685095</c:v>
                </c:pt>
                <c:pt idx="844">
                  <c:v>-5.1021779384940711</c:v>
                </c:pt>
                <c:pt idx="845">
                  <c:v>-5.114317802923174</c:v>
                </c:pt>
                <c:pt idx="846">
                  <c:v>-5.1264576896554548</c:v>
                </c:pt>
                <c:pt idx="847">
                  <c:v>-5.1385975986905494</c:v>
                </c:pt>
                <c:pt idx="848">
                  <c:v>-5.1507375300280946</c:v>
                </c:pt>
                <c:pt idx="849">
                  <c:v>-5.1628774836677263</c:v>
                </c:pt>
                <c:pt idx="850">
                  <c:v>-5.175017459609081</c:v>
                </c:pt>
                <c:pt idx="851">
                  <c:v>-5.1871574578517947</c:v>
                </c:pt>
                <c:pt idx="852">
                  <c:v>-5.1992974783955042</c:v>
                </c:pt>
                <c:pt idx="853">
                  <c:v>-5.211437521239846</c:v>
                </c:pt>
                <c:pt idx="854">
                  <c:v>-5.2235775863844562</c:v>
                </c:pt>
                <c:pt idx="855">
                  <c:v>-5.2357176738289706</c:v>
                </c:pt>
                <c:pt idx="856">
                  <c:v>-5.2478577835730267</c:v>
                </c:pt>
                <c:pt idx="857">
                  <c:v>-5.2599979156162595</c:v>
                </c:pt>
                <c:pt idx="858">
                  <c:v>-5.2721380699583067</c:v>
                </c:pt>
                <c:pt idx="859">
                  <c:v>-5.2842782465988041</c:v>
                </c:pt>
                <c:pt idx="860">
                  <c:v>-5.2964184455373875</c:v>
                </c:pt>
                <c:pt idx="861">
                  <c:v>-5.3085586667736937</c:v>
                </c:pt>
                <c:pt idx="862">
                  <c:v>-5.3206989103073594</c:v>
                </c:pt>
                <c:pt idx="863">
                  <c:v>-5.3328391761380214</c:v>
                </c:pt>
                <c:pt idx="864">
                  <c:v>-5.3449794642653146</c:v>
                </c:pt>
                <c:pt idx="865">
                  <c:v>-5.3571197746888766</c:v>
                </c:pt>
                <c:pt idx="866">
                  <c:v>-5.3692601074083433</c:v>
                </c:pt>
                <c:pt idx="867">
                  <c:v>-5.3814004624233513</c:v>
                </c:pt>
                <c:pt idx="868">
                  <c:v>-5.3935408397335367</c:v>
                </c:pt>
                <c:pt idx="869">
                  <c:v>-5.4056812393385361</c:v>
                </c:pt>
                <c:pt idx="870">
                  <c:v>-5.4178216612379861</c:v>
                </c:pt>
                <c:pt idx="871">
                  <c:v>-5.4299621054315228</c:v>
                </c:pt>
                <c:pt idx="872">
                  <c:v>-5.4421025719187828</c:v>
                </c:pt>
                <c:pt idx="873">
                  <c:v>-5.4542430606994028</c:v>
                </c:pt>
                <c:pt idx="874">
                  <c:v>-5.4663835717730187</c:v>
                </c:pt>
                <c:pt idx="875">
                  <c:v>-5.4785241051392672</c:v>
                </c:pt>
                <c:pt idx="876">
                  <c:v>-5.4906646607977843</c:v>
                </c:pt>
                <c:pt idx="877">
                  <c:v>-5.5028052387482065</c:v>
                </c:pt>
                <c:pt idx="878">
                  <c:v>-5.5149458389901707</c:v>
                </c:pt>
                <c:pt idx="879">
                  <c:v>-5.5270864615233135</c:v>
                </c:pt>
                <c:pt idx="880">
                  <c:v>-5.5392271063472709</c:v>
                </c:pt>
                <c:pt idx="881">
                  <c:v>-5.5513677734616786</c:v>
                </c:pt>
                <c:pt idx="882">
                  <c:v>-5.5635084628661744</c:v>
                </c:pt>
                <c:pt idx="883">
                  <c:v>-5.575649174560394</c:v>
                </c:pt>
                <c:pt idx="884">
                  <c:v>-5.5877899085439742</c:v>
                </c:pt>
                <c:pt idx="885">
                  <c:v>-5.5999306648165508</c:v>
                </c:pt>
                <c:pt idx="886">
                  <c:v>-5.6120714433777605</c:v>
                </c:pt>
                <c:pt idx="887">
                  <c:v>-5.6242122442272402</c:v>
                </c:pt>
                <c:pt idx="888">
                  <c:v>-5.6363530673646256</c:v>
                </c:pt>
                <c:pt idx="889">
                  <c:v>-5.6484939127895544</c:v>
                </c:pt>
                <c:pt idx="890">
                  <c:v>-5.6606347805016615</c:v>
                </c:pt>
                <c:pt idx="891">
                  <c:v>-5.6727756705005845</c:v>
                </c:pt>
                <c:pt idx="892">
                  <c:v>-5.6849165827859593</c:v>
                </c:pt>
                <c:pt idx="893">
                  <c:v>-5.6970575173574227</c:v>
                </c:pt>
                <c:pt idx="894">
                  <c:v>-5.7091984742146114</c:v>
                </c:pt>
                <c:pt idx="895">
                  <c:v>-5.7213394533571611</c:v>
                </c:pt>
                <c:pt idx="896">
                  <c:v>-5.7334804547847087</c:v>
                </c:pt>
                <c:pt idx="897">
                  <c:v>-5.7456214784968909</c:v>
                </c:pt>
                <c:pt idx="898">
                  <c:v>-5.7577625244933444</c:v>
                </c:pt>
                <c:pt idx="899">
                  <c:v>-5.769903592773705</c:v>
                </c:pt>
                <c:pt idx="900">
                  <c:v>-5.7820446833376096</c:v>
                </c:pt>
                <c:pt idx="901">
                  <c:v>-5.7941857961846939</c:v>
                </c:pt>
                <c:pt idx="902">
                  <c:v>-5.8063269313145955</c:v>
                </c:pt>
                <c:pt idx="903">
                  <c:v>-5.8184680887269504</c:v>
                </c:pt>
                <c:pt idx="904">
                  <c:v>-5.8306092684213953</c:v>
                </c:pt>
                <c:pt idx="905">
                  <c:v>-5.8427504703975659</c:v>
                </c:pt>
                <c:pt idx="906">
                  <c:v>-5.8548916946551</c:v>
                </c:pt>
                <c:pt idx="907">
                  <c:v>-5.8670329411936333</c:v>
                </c:pt>
                <c:pt idx="908">
                  <c:v>-5.8791742100128026</c:v>
                </c:pt>
                <c:pt idx="909">
                  <c:v>-5.8913155011122438</c:v>
                </c:pt>
                <c:pt idx="910">
                  <c:v>-5.9034568144915944</c:v>
                </c:pt>
                <c:pt idx="911">
                  <c:v>-5.9155981501504904</c:v>
                </c:pt>
                <c:pt idx="912">
                  <c:v>-5.9277395080885684</c:v>
                </c:pt>
                <c:pt idx="913">
                  <c:v>-5.9398808883054652</c:v>
                </c:pt>
                <c:pt idx="914">
                  <c:v>-5.9520222908008167</c:v>
                </c:pt>
                <c:pt idx="915">
                  <c:v>-5.9641637155742595</c:v>
                </c:pt>
                <c:pt idx="916">
                  <c:v>-5.9763051626254304</c:v>
                </c:pt>
                <c:pt idx="917">
                  <c:v>-5.9884466319539662</c:v>
                </c:pt>
                <c:pt idx="918">
                  <c:v>-6.0005881235595036</c:v>
                </c:pt>
                <c:pt idx="919">
                  <c:v>-6.0127296374416783</c:v>
                </c:pt>
                <c:pt idx="920">
                  <c:v>-6.0248711736001272</c:v>
                </c:pt>
                <c:pt idx="921">
                  <c:v>-6.0370127320344871</c:v>
                </c:pt>
                <c:pt idx="922">
                  <c:v>-6.0491543127443945</c:v>
                </c:pt>
                <c:pt idx="923">
                  <c:v>-6.0612959157294863</c:v>
                </c:pt>
                <c:pt idx="924">
                  <c:v>-6.0734375409893984</c:v>
                </c:pt>
                <c:pt idx="925">
                  <c:v>-6.0855791885237673</c:v>
                </c:pt>
                <c:pt idx="926">
                  <c:v>-6.09772085833223</c:v>
                </c:pt>
                <c:pt idx="927">
                  <c:v>-6.1098625504144231</c:v>
                </c:pt>
                <c:pt idx="928">
                  <c:v>-6.1220042647699833</c:v>
                </c:pt>
                <c:pt idx="929">
                  <c:v>-6.1341460013985465</c:v>
                </c:pt>
                <c:pt idx="930">
                  <c:v>-6.1462877602997494</c:v>
                </c:pt>
                <c:pt idx="931">
                  <c:v>-6.1584295414732297</c:v>
                </c:pt>
                <c:pt idx="932">
                  <c:v>-6.1705713449186232</c:v>
                </c:pt>
                <c:pt idx="933">
                  <c:v>-6.1827131706355658</c:v>
                </c:pt>
                <c:pt idx="934">
                  <c:v>-6.194855018623695</c:v>
                </c:pt>
                <c:pt idx="935">
                  <c:v>-6.2069968888826477</c:v>
                </c:pt>
                <c:pt idx="936">
                  <c:v>-6.2191387814120596</c:v>
                </c:pt>
                <c:pt idx="937">
                  <c:v>-6.2312806962115674</c:v>
                </c:pt>
                <c:pt idx="938">
                  <c:v>-6.243422633280808</c:v>
                </c:pt>
                <c:pt idx="939">
                  <c:v>-6.2555645926194181</c:v>
                </c:pt>
                <c:pt idx="940">
                  <c:v>-6.2677065742270344</c:v>
                </c:pt>
                <c:pt idx="941">
                  <c:v>-6.2798485781032927</c:v>
                </c:pt>
                <c:pt idx="942">
                  <c:v>-6.2919906042478306</c:v>
                </c:pt>
                <c:pt idx="943">
                  <c:v>-6.3041326526602841</c:v>
                </c:pt>
                <c:pt idx="944">
                  <c:v>-6.3162747233402898</c:v>
                </c:pt>
                <c:pt idx="945">
                  <c:v>-6.3284168162874854</c:v>
                </c:pt>
                <c:pt idx="946">
                  <c:v>-6.3405589315015067</c:v>
                </c:pt>
                <c:pt idx="947">
                  <c:v>-6.3527010689819905</c:v>
                </c:pt>
                <c:pt idx="948">
                  <c:v>-6.3648432287285726</c:v>
                </c:pt>
                <c:pt idx="949">
                  <c:v>-6.3769854107408905</c:v>
                </c:pt>
                <c:pt idx="950">
                  <c:v>-6.3891276150185812</c:v>
                </c:pt>
                <c:pt idx="951">
                  <c:v>-6.4012698415612803</c:v>
                </c:pt>
                <c:pt idx="952">
                  <c:v>-6.4134120903686247</c:v>
                </c:pt>
                <c:pt idx="953">
                  <c:v>-6.4255543614402519</c:v>
                </c:pt>
                <c:pt idx="954">
                  <c:v>-6.4376966547757979</c:v>
                </c:pt>
                <c:pt idx="955">
                  <c:v>-6.4498389703748993</c:v>
                </c:pt>
                <c:pt idx="956">
                  <c:v>-6.4619813082371929</c:v>
                </c:pt>
                <c:pt idx="957">
                  <c:v>-6.4741236683623153</c:v>
                </c:pt>
                <c:pt idx="958">
                  <c:v>-6.4862660507499035</c:v>
                </c:pt>
                <c:pt idx="959">
                  <c:v>-6.498408455399594</c:v>
                </c:pt>
                <c:pt idx="960">
                  <c:v>-6.5105508823110227</c:v>
                </c:pt>
                <c:pt idx="961">
                  <c:v>-6.5226933314838274</c:v>
                </c:pt>
                <c:pt idx="962">
                  <c:v>-6.5348358029176437</c:v>
                </c:pt>
                <c:pt idx="963">
                  <c:v>-6.5469782966121093</c:v>
                </c:pt>
                <c:pt idx="964">
                  <c:v>-6.5591208125668601</c:v>
                </c:pt>
                <c:pt idx="965">
                  <c:v>-6.5712633507815337</c:v>
                </c:pt>
                <c:pt idx="966">
                  <c:v>-6.5834059112557659</c:v>
                </c:pt>
                <c:pt idx="967">
                  <c:v>-6.5955484939891944</c:v>
                </c:pt>
                <c:pt idx="968">
                  <c:v>-6.607691098981455</c:v>
                </c:pt>
                <c:pt idx="969">
                  <c:v>-6.6198337262321845</c:v>
                </c:pt>
                <c:pt idx="970">
                  <c:v>-6.6319763757410195</c:v>
                </c:pt>
                <c:pt idx="971">
                  <c:v>-6.6441190475075969</c:v>
                </c:pt>
                <c:pt idx="972">
                  <c:v>-6.6562617415315533</c:v>
                </c:pt>
                <c:pt idx="973">
                  <c:v>-6.6684044578125263</c:v>
                </c:pt>
                <c:pt idx="974">
                  <c:v>-6.6805471963501519</c:v>
                </c:pt>
                <c:pt idx="975">
                  <c:v>-6.6926899571440668</c:v>
                </c:pt>
                <c:pt idx="976">
                  <c:v>-6.7048327401939076</c:v>
                </c:pt>
                <c:pt idx="977">
                  <c:v>-6.7169755454993112</c:v>
                </c:pt>
                <c:pt idx="978">
                  <c:v>-6.7291183730599142</c:v>
                </c:pt>
                <c:pt idx="979">
                  <c:v>-6.7412612228753535</c:v>
                </c:pt>
                <c:pt idx="980">
                  <c:v>-6.7534040949452656</c:v>
                </c:pt>
                <c:pt idx="981">
                  <c:v>-6.7655469892692874</c:v>
                </c:pt>
                <c:pt idx="982">
                  <c:v>-6.7776899058470557</c:v>
                </c:pt>
                <c:pt idx="983">
                  <c:v>-6.789832844678207</c:v>
                </c:pt>
                <c:pt idx="984">
                  <c:v>-6.8019758057623783</c:v>
                </c:pt>
                <c:pt idx="985">
                  <c:v>-6.8141187890992061</c:v>
                </c:pt>
                <c:pt idx="986">
                  <c:v>-6.8262617946883273</c:v>
                </c:pt>
                <c:pt idx="987">
                  <c:v>-6.8384048225293785</c:v>
                </c:pt>
                <c:pt idx="988">
                  <c:v>-6.8505478726219966</c:v>
                </c:pt>
                <c:pt idx="989">
                  <c:v>-6.8626909449658182</c:v>
                </c:pt>
                <c:pt idx="990">
                  <c:v>-6.874834039560481</c:v>
                </c:pt>
                <c:pt idx="991">
                  <c:v>-6.8869771564056208</c:v>
                </c:pt>
                <c:pt idx="992">
                  <c:v>-6.8991202955008744</c:v>
                </c:pt>
                <c:pt idx="993">
                  <c:v>-6.9112634568458784</c:v>
                </c:pt>
                <c:pt idx="994">
                  <c:v>-6.9234066404402705</c:v>
                </c:pt>
                <c:pt idx="995">
                  <c:v>-6.9355498462836866</c:v>
                </c:pt>
                <c:pt idx="996">
                  <c:v>-6.9476930743757643</c:v>
                </c:pt>
                <c:pt idx="997">
                  <c:v>-6.9598363247161394</c:v>
                </c:pt>
                <c:pt idx="998">
                  <c:v>-6.9719795973044496</c:v>
                </c:pt>
                <c:pt idx="999">
                  <c:v>-6.9841228921403307</c:v>
                </c:pt>
                <c:pt idx="1000">
                  <c:v>-6.9962662092234202</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3.8178772664126285E-6</c:v>
                </c:pt>
                <c:pt idx="2">
                  <c:v>1.9070816121598966E-4</c:v>
                </c:pt>
                <c:pt idx="3">
                  <c:v>9.116418473183968E-4</c:v>
                </c:pt>
                <c:pt idx="4">
                  <c:v>2.5178378361195844E-3</c:v>
                </c:pt>
                <c:pt idx="5">
                  <c:v>5.3608671699687162E-3</c:v>
                </c:pt>
                <c:pt idx="6">
                  <c:v>9.7038179544608819E-3</c:v>
                </c:pt>
                <c:pt idx="7">
                  <c:v>1.5632240187048268E-2</c:v>
                </c:pt>
                <c:pt idx="8">
                  <c:v>2.3142821388612553E-2</c:v>
                </c:pt>
                <c:pt idx="9">
                  <c:v>3.2232230647339592E-2</c:v>
                </c:pt>
                <c:pt idx="10">
                  <c:v>4.289711868602309E-2</c:v>
                </c:pt>
                <c:pt idx="11">
                  <c:v>5.5134117930135174E-2</c:v>
                </c:pt>
                <c:pt idx="12">
                  <c:v>6.8939842576657862E-2</c:v>
                </c:pt>
                <c:pt idx="13">
                  <c:v>8.4310888663669578E-2</c:v>
                </c:pt>
                <c:pt idx="14">
                  <c:v>0.10124383414068046</c:v>
                </c:pt>
                <c:pt idx="15">
                  <c:v>0.1197352389397105</c:v>
                </c:pt>
                <c:pt idx="16">
                  <c:v>0.13978164504710419</c:v>
                </c:pt>
                <c:pt idx="17">
                  <c:v>0.16137957657607546</c:v>
                </c:pt>
                <c:pt idx="18">
                  <c:v>0.18452553983997649</c:v>
                </c:pt>
                <c:pt idx="19">
                  <c:v>0.20921602342628406</c:v>
                </c:pt>
                <c:pt idx="20">
                  <c:v>0.23544749827129691</c:v>
                </c:pt>
                <c:pt idx="21">
                  <c:v>0.26321641773553756</c:v>
                </c:pt>
                <c:pt idx="22">
                  <c:v>0.29251921767985195</c:v>
                </c:pt>
                <c:pt idx="23">
                  <c:v>0.32335231654220054</c:v>
                </c:pt>
                <c:pt idx="24">
                  <c:v>0.35571211541513326</c:v>
                </c:pt>
                <c:pt idx="25">
                  <c:v>0.38959499812394277</c:v>
                </c:pt>
                <c:pt idx="26">
                  <c:v>0.42499733130548806</c:v>
                </c:pt>
                <c:pt idx="27">
                  <c:v>0.46191546448768211</c:v>
                </c:pt>
                <c:pt idx="28">
                  <c:v>0.50034573016963635</c:v>
                </c:pt>
                <c:pt idx="29">
                  <c:v>0.540284443902455</c:v>
                </c:pt>
                <c:pt idx="30">
                  <c:v>0.58172790437067223</c:v>
                </c:pt>
                <c:pt idx="31">
                  <c:v>0.62467239347432468</c:v>
                </c:pt>
                <c:pt idx="32">
                  <c:v>0.66911417641165283</c:v>
                </c:pt>
                <c:pt idx="33">
                  <c:v>0.7150495017624231</c:v>
                </c:pt>
                <c:pt idx="34">
                  <c:v>0.76255852228951548</c:v>
                </c:pt>
                <c:pt idx="35">
                  <c:v>0.81172420709704107</c:v>
                </c:pt>
                <c:pt idx="36">
                  <c:v>0.86254837476277901</c:v>
                </c:pt>
                <c:pt idx="37">
                  <c:v>0.9150326965344393</c:v>
                </c:pt>
                <c:pt idx="38">
                  <c:v>0.96917866225531302</c:v>
                </c:pt>
                <c:pt idx="39">
                  <c:v>1.0249875889306583</c:v>
                </c:pt>
                <c:pt idx="40">
                  <c:v>1.0824606286116045</c:v>
                </c:pt>
                <c:pt idx="41">
                  <c:v>1.1415987756688137</c:v>
                </c:pt>
                <c:pt idx="42">
                  <c:v>1.2024028735187831</c:v>
                </c:pt>
                <c:pt idx="43">
                  <c:v>1.264873620857732</c:v>
                </c:pt>
                <c:pt idx="44">
                  <c:v>1.3290115774512652</c:v>
                </c:pt>
                <c:pt idx="45">
                  <c:v>1.3948171695222129</c:v>
                </c:pt>
                <c:pt idx="46">
                  <c:v>1.4622906947740939</c:v>
                </c:pt>
                <c:pt idx="47">
                  <c:v>1.531432327083357</c:v>
                </c:pt>
                <c:pt idx="48">
                  <c:v>1.602242120889857</c:v>
                </c:pt>
                <c:pt idx="49">
                  <c:v>1.6747200153118034</c:v>
                </c:pt>
                <c:pt idx="50">
                  <c:v>1.7488658380086148</c:v>
                </c:pt>
                <c:pt idx="51">
                  <c:v>1.8246798002508346</c:v>
                </c:pt>
                <c:pt idx="52">
                  <c:v>1.9021629958586159</c:v>
                </c:pt>
                <c:pt idx="53">
                  <c:v>1.9813169183064114</c:v>
                </c:pt>
                <c:pt idx="54">
                  <c:v>2.0621429733960515</c:v>
                </c:pt>
                <c:pt idx="55">
                  <c:v>2.14464248180263</c:v>
                </c:pt>
                <c:pt idx="56">
                  <c:v>2.2288166814847701</c:v>
                </c:pt>
                <c:pt idx="57">
                  <c:v>2.314666729969058</c:v>
                </c:pt>
                <c:pt idx="58">
                  <c:v>2.4021937065175645</c:v>
                </c:pt>
                <c:pt idx="59">
                  <c:v>2.4913986141865943</c:v>
                </c:pt>
                <c:pt idx="60">
                  <c:v>2.5822823817841098</c:v>
                </c:pt>
                <c:pt idx="61">
                  <c:v>2.6748458657326464</c:v>
                </c:pt>
                <c:pt idx="62">
                  <c:v>2.7690898518439733</c:v>
                </c:pt>
                <c:pt idx="63">
                  <c:v>2.8650150570112496</c:v>
                </c:pt>
                <c:pt idx="64">
                  <c:v>2.9626221308239526</c:v>
                </c:pt>
                <c:pt idx="65">
                  <c:v>3.0619116571104588</c:v>
                </c:pt>
                <c:pt idx="66">
                  <c:v>3.1628841554127587</c:v>
                </c:pt>
                <c:pt idx="67">
                  <c:v>3.265540082397465</c:v>
                </c:pt>
                <c:pt idx="68">
                  <c:v>3.3698798332069448</c:v>
                </c:pt>
                <c:pt idx="69">
                  <c:v>3.4759037427541331</c:v>
                </c:pt>
                <c:pt idx="70">
                  <c:v>3.5836120869643189</c:v>
                </c:pt>
                <c:pt idx="71">
                  <c:v>3.6930050839669675</c:v>
                </c:pt>
                <c:pt idx="72">
                  <c:v>3.804082895240414</c:v>
                </c:pt>
                <c:pt idx="73">
                  <c:v>3.9168456267120773</c:v>
                </c:pt>
                <c:pt idx="74">
                  <c:v>4.0312933298166502</c:v>
                </c:pt>
                <c:pt idx="75">
                  <c:v>4.1474260025145622</c:v>
                </c:pt>
                <c:pt idx="76">
                  <c:v>4.265243590272858</c:v>
                </c:pt>
                <c:pt idx="77">
                  <c:v>4.3847459870104863</c:v>
                </c:pt>
                <c:pt idx="78">
                  <c:v>4.5059330360098704</c:v>
                </c:pt>
                <c:pt idx="79">
                  <c:v>4.6288045307965078</c:v>
                </c:pt>
                <c:pt idx="80">
                  <c:v>4.753360215988236</c:v>
                </c:pt>
                <c:pt idx="81">
                  <c:v>4.8795997881157005</c:v>
                </c:pt>
                <c:pt idx="82">
                  <c:v>5.0075228964154643</c:v>
                </c:pt>
                <c:pt idx="83">
                  <c:v>5.1371291435971083</c:v>
                </c:pt>
                <c:pt idx="84">
                  <c:v>5.2684180865855934</c:v>
                </c:pt>
                <c:pt idx="85">
                  <c:v>5.4013892372400809</c:v>
                </c:pt>
                <c:pt idx="86">
                  <c:v>5.5360420630503286</c:v>
                </c:pt>
                <c:pt idx="87">
                  <c:v>5.6723759878117264</c:v>
                </c:pt>
                <c:pt idx="88">
                  <c:v>5.8103903922799649</c:v>
                </c:pt>
                <c:pt idx="89">
                  <c:v>5.9500846148062774</c:v>
                </c:pt>
                <c:pt idx="90">
                  <c:v>6.0914579519541414</c:v>
                </c:pt>
                <c:pt idx="91">
                  <c:v>6.2345096590982809</c:v>
                </c:pt>
                <c:pt idx="92">
                  <c:v>6.3792389510067551</c:v>
                </c:pt>
                <c:pt idx="93">
                  <c:v>6.5256450024068844</c:v>
                </c:pt>
                <c:pt idx="94">
                  <c:v>6.6737269485357213</c:v>
                </c:pt>
                <c:pt idx="95">
                  <c:v>6.8234838856757385</c:v>
                </c:pt>
                <c:pt idx="96">
                  <c:v>6.9749148716763614</c:v>
                </c:pt>
                <c:pt idx="97">
                  <c:v>7.1280189264619516</c:v>
                </c:pt>
                <c:pt idx="98">
                  <c:v>7.2827950325268143</c:v>
                </c:pt>
                <c:pt idx="99">
                  <c:v>7.4392421354177589</c:v>
                </c:pt>
                <c:pt idx="100">
                  <c:v>7.5973591442047388</c:v>
                </c:pt>
                <c:pt idx="101">
                  <c:v>7.7571446860603386</c:v>
                </c:pt>
                <c:pt idx="102">
                  <c:v>7.9185968597188241</c:v>
                </c:pt>
                <c:pt idx="103">
                  <c:v>8.0817134803946402</c:v>
                </c:pt>
                <c:pt idx="104">
                  <c:v>8.2464923258312091</c:v>
                </c:pt>
                <c:pt idx="105">
                  <c:v>8.4129311367800881</c:v>
                </c:pt>
                <c:pt idx="106">
                  <c:v>8.5810276174695534</c:v>
                </c:pt>
                <c:pt idx="107">
                  <c:v>8.750779436063036</c:v>
                </c:pt>
                <c:pt idx="108">
                  <c:v>8.9221842251077828</c:v>
                </c:pt>
                <c:pt idx="109">
                  <c:v>9.0952395819741447</c:v>
                </c:pt>
                <c:pt idx="110">
                  <c:v>9.269943069285814</c:v>
                </c:pt>
                <c:pt idx="111">
                  <c:v>9.4462922153413835</c:v>
                </c:pt>
                <c:pt idx="112">
                  <c:v>9.6242845145275329</c:v>
                </c:pt>
                <c:pt idx="113">
                  <c:v>9.8039174277241496</c:v>
                </c:pt>
                <c:pt idx="114">
                  <c:v>9.9851883827016881</c:v>
                </c:pt>
                <c:pt idx="115">
                  <c:v>10.168094774511044</c:v>
                </c:pt>
                <c:pt idx="116">
                  <c:v>10.352633965866206</c:v>
                </c:pt>
                <c:pt idx="117">
                  <c:v>10.538803287519954</c:v>
                </c:pt>
                <c:pt idx="118">
                  <c:v>10.726600038632833</c:v>
                </c:pt>
                <c:pt idx="119">
                  <c:v>10.916021487135646</c:v>
                </c:pt>
                <c:pt idx="120">
                  <c:v>11.107064870085688</c:v>
                </c:pt>
                <c:pt idx="121">
                  <c:v>11.299727394016934</c:v>
                </c:pt>
                <c:pt idx="122">
                  <c:v>11.494006235284381</c:v>
                </c:pt>
                <c:pt idx="123">
                  <c:v>11.68989854040275</c:v>
                </c:pt>
                <c:pt idx="124">
                  <c:v>11.887401426379714</c:v>
                </c:pt>
                <c:pt idx="125">
                  <c:v>12.08651198104387</c:v>
                </c:pt>
                <c:pt idx="126">
                  <c:v>12.287227263367575</c:v>
                </c:pt>
                <c:pt idx="127">
                  <c:v>12.48954430378485</c:v>
                </c:pt>
                <c:pt idx="128">
                  <c:v>12.693460104504506</c:v>
                </c:pt>
                <c:pt idx="129">
                  <c:v>12.898971639818612</c:v>
                </c:pt>
                <c:pt idx="130">
                  <c:v>13.106075856406484</c:v>
                </c:pt>
                <c:pt idx="131">
                  <c:v>13.314769673634324</c:v>
                </c:pt>
                <c:pt idx="132">
                  <c:v>13.52504998385063</c:v>
                </c:pt>
                <c:pt idx="133">
                  <c:v>13.736913652677522</c:v>
                </c:pt>
                <c:pt idx="134">
                  <c:v>13.950357519298086</c:v>
                </c:pt>
                <c:pt idx="135">
                  <c:v>14.165378396739882</c:v>
                </c:pt>
                <c:pt idx="136">
                  <c:v>14.3819730721547</c:v>
                </c:pt>
                <c:pt idx="137">
                  <c:v>14.600138307094692</c:v>
                </c:pt>
                <c:pt idx="138">
                  <c:v>14.819870837784972</c:v>
                </c:pt>
                <c:pt idx="139">
                  <c:v>15.041167375392797</c:v>
                </c:pt>
                <c:pt idx="140">
                  <c:v>15.264024606293411</c:v>
                </c:pt>
                <c:pt idx="141">
                  <c:v>15.488439192332653</c:v>
                </c:pt>
                <c:pt idx="142">
                  <c:v>15.714407771086419</c:v>
                </c:pt>
                <c:pt idx="143">
                  <c:v>15.94192695611706</c:v>
                </c:pt>
                <c:pt idx="144">
                  <c:v>16.170993337226793</c:v>
                </c:pt>
                <c:pt idx="145">
                  <c:v>16.401603480708218</c:v>
                </c:pt>
                <c:pt idx="146">
                  <c:v>16.633753929592004</c:v>
                </c:pt>
                <c:pt idx="147">
                  <c:v>16.867441203891822</c:v>
                </c:pt>
                <c:pt idx="148">
                  <c:v>17.102661800846601</c:v>
                </c:pt>
                <c:pt idx="149">
                  <c:v>17.339412195160165</c:v>
                </c:pt>
                <c:pt idx="150">
                  <c:v>17.577688839238316</c:v>
                </c:pt>
                <c:pt idx="151">
                  <c:v>17.817488251334225</c:v>
                </c:pt>
                <c:pt idx="152">
                  <c:v>18.058807103949182</c:v>
                </c:pt>
                <c:pt idx="153">
                  <c:v>18.301642136446539</c:v>
                </c:pt>
                <c:pt idx="154">
                  <c:v>18.54599006739852</c:v>
                </c:pt>
                <c:pt idx="155">
                  <c:v>18.791847594797424</c:v>
                </c:pt>
                <c:pt idx="156">
                  <c:v>19.039211396264786</c:v>
                </c:pt>
                <c:pt idx="157">
                  <c:v>19.28807812925854</c:v>
                </c:pt>
                <c:pt idx="158">
                  <c:v>19.538444431278236</c:v>
                </c:pt>
                <c:pt idx="159">
                  <c:v>19.790306920068346</c:v>
                </c:pt>
                <c:pt idx="160">
                  <c:v>20.043662193819703</c:v>
                </c:pt>
                <c:pt idx="161">
                  <c:v>20.298506831369121</c:v>
                </c:pt>
                <c:pt idx="162">
                  <c:v>20.554837392397225</c:v>
                </c:pt>
                <c:pt idx="163">
                  <c:v>20.812650417624525</c:v>
                </c:pt>
                <c:pt idx="164">
                  <c:v>21.071942429005798</c:v>
                </c:pt>
                <c:pt idx="165">
                  <c:v>21.332709929922782</c:v>
                </c:pt>
                <c:pt idx="166">
                  <c:v>21.594949405375228</c:v>
                </c:pt>
                <c:pt idx="167">
                  <c:v>21.858657322170348</c:v>
                </c:pt>
                <c:pt idx="168">
                  <c:v>22.123830129110683</c:v>
                </c:pt>
                <c:pt idx="169">
                  <c:v>22.390464257180426</c:v>
                </c:pt>
                <c:pt idx="170">
                  <c:v>22.658556119730228</c:v>
                </c:pt>
                <c:pt idx="171">
                  <c:v>22.928102112660522</c:v>
                </c:pt>
                <c:pt idx="172">
                  <c:v>23.199098614603368</c:v>
                </c:pt>
                <c:pt idx="173">
                  <c:v>23.471541987102889</c:v>
                </c:pt>
                <c:pt idx="174">
                  <c:v>23.745428574794275</c:v>
                </c:pt>
                <c:pt idx="175">
                  <c:v>24.020754705581432</c:v>
                </c:pt>
                <c:pt idx="176">
                  <c:v>24.297516690813243</c:v>
                </c:pt>
                <c:pt idx="177">
                  <c:v>24.575710825458504</c:v>
                </c:pt>
                <c:pt idx="178">
                  <c:v>24.855333388279551</c:v>
                </c:pt>
                <c:pt idx="179">
                  <c:v>25.136380642004596</c:v>
                </c:pt>
                <c:pt idx="180">
                  <c:v>25.418848833498782</c:v>
                </c:pt>
                <c:pt idx="181">
                  <c:v>25.702734193933992</c:v>
                </c:pt>
                <c:pt idx="182">
                  <c:v>25.988032938957435</c:v>
                </c:pt>
                <c:pt idx="183">
                  <c:v>26.274741268859</c:v>
                </c:pt>
                <c:pt idx="184">
                  <c:v>26.562855368737434</c:v>
                </c:pt>
                <c:pt idx="185">
                  <c:v>26.852371408665341</c:v>
                </c:pt>
                <c:pt idx="186">
                  <c:v>27.143285543853008</c:v>
                </c:pt>
                <c:pt idx="187">
                  <c:v>27.435593914811104</c:v>
                </c:pt>
                <c:pt idx="188">
                  <c:v>27.729292647512246</c:v>
                </c:pt>
                <c:pt idx="189">
                  <c:v>28.024377853551442</c:v>
                </c:pt>
                <c:pt idx="190">
                  <c:v>28.32084563030546</c:v>
                </c:pt>
                <c:pt idx="191">
                  <c:v>28.618692061091089</c:v>
                </c:pt>
                <c:pt idx="192">
                  <c:v>28.917913215322358</c:v>
                </c:pt>
                <c:pt idx="193">
                  <c:v>29.218505148666669</c:v>
                </c:pt>
                <c:pt idx="194">
                  <c:v>29.520463903199914</c:v>
                </c:pt>
                <c:pt idx="195">
                  <c:v>29.823785507560554</c:v>
                </c:pt>
                <c:pt idx="196">
                  <c:v>30.128465977102671</c:v>
                </c:pt>
                <c:pt idx="197">
                  <c:v>30.434501314048021</c:v>
                </c:pt>
                <c:pt idx="198">
                  <c:v>30.741887507637106</c:v>
                </c:pt>
                <c:pt idx="199">
                  <c:v>31.050620534279233</c:v>
                </c:pt>
                <c:pt idx="200">
                  <c:v>31.360696357701627</c:v>
                </c:pt>
                <c:pt idx="201">
                  <c:v>31.67211092909757</c:v>
                </c:pt>
                <c:pt idx="202">
                  <c:v>31.984860187273583</c:v>
                </c:pt>
                <c:pt idx="203">
                  <c:v>32.298940058795665</c:v>
                </c:pt>
                <c:pt idx="204">
                  <c:v>32.614346458134627</c:v>
                </c:pt>
                <c:pt idx="205">
                  <c:v>32.931075287810444</c:v>
                </c:pt>
                <c:pt idx="206">
                  <c:v>33.24912243853575</c:v>
                </c:pt>
                <c:pt idx="207">
                  <c:v>33.568483789358382</c:v>
                </c:pt>
                <c:pt idx="208">
                  <c:v>33.88915520780305</c:v>
                </c:pt>
                <c:pt idx="209">
                  <c:v>34.21113255001211</c:v>
                </c:pt>
                <c:pt idx="210">
                  <c:v>34.534411660885446</c:v>
                </c:pt>
                <c:pt idx="211">
                  <c:v>34.858988374219464</c:v>
                </c:pt>
                <c:pt idx="212">
                  <c:v>35.18485851284526</c:v>
                </c:pt>
                <c:pt idx="213">
                  <c:v>35.512017888765868</c:v>
                </c:pt>
                <c:pt idx="214">
                  <c:v>35.840462303292703</c:v>
                </c:pt>
                <c:pt idx="215">
                  <c:v>36.170187547181108</c:v>
                </c:pt>
                <c:pt idx="216">
                  <c:v>36.501189400765114</c:v>
                </c:pt>
                <c:pt idx="217">
                  <c:v>36.833463634091295</c:v>
                </c:pt>
                <c:pt idx="218">
                  <c:v>37.167006007051846</c:v>
                </c:pt>
                <c:pt idx="219">
                  <c:v>37.501812269516826</c:v>
                </c:pt>
                <c:pt idx="220">
                  <c:v>37.83787816146554</c:v>
                </c:pt>
                <c:pt idx="221">
                  <c:v>38.17519941311717</c:v>
                </c:pt>
                <c:pt idx="222">
                  <c:v>38.513771745060545</c:v>
                </c:pt>
                <c:pt idx="223">
                  <c:v>38.853590868383129</c:v>
                </c:pt>
                <c:pt idx="224">
                  <c:v>39.194652484799207</c:v>
                </c:pt>
                <c:pt idx="225">
                  <c:v>39.536952286777279</c:v>
                </c:pt>
                <c:pt idx="226">
                  <c:v>39.880485957666643</c:v>
                </c:pt>
                <c:pt idx="227">
                  <c:v>40.225249171823229</c:v>
                </c:pt>
                <c:pt idx="228">
                  <c:v>40.571237594734612</c:v>
                </c:pt>
                <c:pt idx="229">
                  <c:v>40.918446883144284</c:v>
                </c:pt>
                <c:pt idx="230">
                  <c:v>41.266872685175116</c:v>
                </c:pt>
                <c:pt idx="231">
                  <c:v>41.616510640452077</c:v>
                </c:pt>
                <c:pt idx="232">
                  <c:v>41.967356380224182</c:v>
                </c:pt>
                <c:pt idx="233">
                  <c:v>42.319405527485671</c:v>
                </c:pt>
                <c:pt idx="234">
                  <c:v>42.672653697096429</c:v>
                </c:pt>
                <c:pt idx="235">
                  <c:v>43.027096495901667</c:v>
                </c:pt>
                <c:pt idx="236">
                  <c:v>43.382729522850831</c:v>
                </c:pt>
                <c:pt idx="237">
                  <c:v>43.739548369115774</c:v>
                </c:pt>
                <c:pt idx="238">
                  <c:v>44.09754861820818</c:v>
                </c:pt>
                <c:pt idx="239">
                  <c:v>44.456725846096241</c:v>
                </c:pt>
                <c:pt idx="240">
                  <c:v>44.817075621320619</c:v>
                </c:pt>
                <c:pt idx="241">
                  <c:v>45.178593505109625</c:v>
                </c:pt>
                <c:pt idx="242">
                  <c:v>45.54127505149372</c:v>
                </c:pt>
                <c:pt idx="243">
                  <c:v>45.90511580741925</c:v>
                </c:pt>
                <c:pt idx="244">
                  <c:v>46.270111312861452</c:v>
                </c:pt>
                <c:pt idx="245">
                  <c:v>46.63625710093676</c:v>
                </c:pt>
                <c:pt idx="246">
                  <c:v>47.00354869801437</c:v>
                </c:pt>
                <c:pt idx="247">
                  <c:v>47.371981623827082</c:v>
                </c:pt>
                <c:pt idx="248">
                  <c:v>47.741551391581453</c:v>
                </c:pt>
                <c:pt idx="249">
                  <c:v>48.112253508067184</c:v>
                </c:pt>
                <c:pt idx="250">
                  <c:v>48.48408347376585</c:v>
                </c:pt>
                <c:pt idx="251">
                  <c:v>48.85703637726931</c:v>
                </c:pt>
                <c:pt idx="252">
                  <c:v>49.231106489181478</c:v>
                </c:pt>
                <c:pt idx="253">
                  <c:v>49.606287667617785</c:v>
                </c:pt>
                <c:pt idx="254">
                  <c:v>49.982573764239177</c:v>
                </c:pt>
                <c:pt idx="255">
                  <c:v>50.359958624395631</c:v>
                </c:pt>
                <c:pt idx="256">
                  <c:v>50.738436087268504</c:v>
                </c:pt>
                <c:pt idx="257">
                  <c:v>51.117999986011803</c:v>
                </c:pt>
                <c:pt idx="258">
                  <c:v>51.498644147892264</c:v>
                </c:pt>
                <c:pt idx="259">
                  <c:v>51.880362394428339</c:v>
                </c:pt>
                <c:pt idx="260">
                  <c:v>52.263148541528032</c:v>
                </c:pt>
                <c:pt idx="261">
                  <c:v>52.64699639962565</c:v>
                </c:pt>
                <c:pt idx="262">
                  <c:v>53.031899773817379</c:v>
                </c:pt>
                <c:pt idx="263">
                  <c:v>53.417852463995807</c:v>
                </c:pt>
                <c:pt idx="264">
                  <c:v>53.804848264983271</c:v>
                </c:pt>
                <c:pt idx="265">
                  <c:v>54.192880966664148</c:v>
                </c:pt>
                <c:pt idx="266">
                  <c:v>54.581944354116011</c:v>
                </c:pt>
                <c:pt idx="267">
                  <c:v>54.972032207739694</c:v>
                </c:pt>
                <c:pt idx="268">
                  <c:v>55.363138303388254</c:v>
                </c:pt>
                <c:pt idx="269">
                  <c:v>55.755256412494816</c:v>
                </c:pt>
                <c:pt idx="270">
                  <c:v>56.148380302199371</c:v>
                </c:pt>
                <c:pt idx="271">
                  <c:v>56.542503735474426</c:v>
                </c:pt>
                <c:pt idx="272">
                  <c:v>56.937620471249623</c:v>
                </c:pt>
                <c:pt idx="273">
                  <c:v>57.333724264535221</c:v>
                </c:pt>
                <c:pt idx="274">
                  <c:v>57.730808866544542</c:v>
                </c:pt>
                <c:pt idx="275">
                  <c:v>58.128868024815311</c:v>
                </c:pt>
                <c:pt idx="276">
                  <c:v>58.527895483329914</c:v>
                </c:pt>
                <c:pt idx="277">
                  <c:v>58.927884982634609</c:v>
                </c:pt>
                <c:pt idx="278">
                  <c:v>59.328830259957641</c:v>
                </c:pt>
                <c:pt idx="279">
                  <c:v>59.730725049326324</c:v>
                </c:pt>
                <c:pt idx="280">
                  <c:v>60.133563081683022</c:v>
                </c:pt>
                <c:pt idx="281">
                  <c:v>60.537338085000073</c:v>
                </c:pt>
                <c:pt idx="282">
                  <c:v>60.942043784393682</c:v>
                </c:pt>
                <c:pt idx="283">
                  <c:v>61.347673902236743</c:v>
                </c:pt>
                <c:pt idx="284">
                  <c:v>61.754222158270593</c:v>
                </c:pt>
                <c:pt idx="285">
                  <c:v>62.16168226971574</c:v>
                </c:pt>
                <c:pt idx="286">
                  <c:v>62.570047951381532</c:v>
                </c:pt>
                <c:pt idx="287">
                  <c:v>62.979312915774791</c:v>
                </c:pt>
                <c:pt idx="288">
                  <c:v>63.389470873207372</c:v>
                </c:pt>
                <c:pt idx="289">
                  <c:v>63.800515531902747</c:v>
                </c:pt>
                <c:pt idx="290">
                  <c:v>64.212440598101495</c:v>
                </c:pt>
                <c:pt idx="291">
                  <c:v>64.62523977616577</c:v>
                </c:pt>
                <c:pt idx="292">
                  <c:v>65.038906768682779</c:v>
                </c:pt>
                <c:pt idx="293">
                  <c:v>65.453435276567191</c:v>
                </c:pt>
                <c:pt idx="294">
                  <c:v>65.868818999162528</c:v>
                </c:pt>
                <c:pt idx="295">
                  <c:v>66.285051634341542</c:v>
                </c:pt>
                <c:pt idx="296">
                  <c:v>66.702126878605583</c:v>
                </c:pt>
                <c:pt idx="297">
                  <c:v>67.120038427182934</c:v>
                </c:pt>
                <c:pt idx="298">
                  <c:v>67.538775407615006</c:v>
                </c:pt>
                <c:pt idx="299">
                  <c:v>67.958317810156004</c:v>
                </c:pt>
                <c:pt idx="300">
                  <c:v>68.378641055308051</c:v>
                </c:pt>
                <c:pt idx="301">
                  <c:v>68.799720564809292</c:v>
                </c:pt>
                <c:pt idx="302">
                  <c:v>69.221531762258664</c:v>
                </c:pt>
                <c:pt idx="303">
                  <c:v>69.644050073728565</c:v>
                </c:pt>
                <c:pt idx="304">
                  <c:v>70.067250928365354</c:v>
                </c:pt>
                <c:pt idx="305">
                  <c:v>70.491109758977814</c:v>
                </c:pt>
                <c:pt idx="306">
                  <c:v>70.915602002613468</c:v>
                </c:pt>
                <c:pt idx="307">
                  <c:v>71.340703101122955</c:v>
                </c:pt>
                <c:pt idx="308">
                  <c:v>71.766388501712299</c:v>
                </c:pt>
                <c:pt idx="309">
                  <c:v>72.192633657483356</c:v>
                </c:pt>
                <c:pt idx="310">
                  <c:v>72.619414027962193</c:v>
                </c:pt>
                <c:pt idx="311">
                  <c:v>73.04670507961562</c:v>
                </c:pt>
                <c:pt idx="312">
                  <c:v>73.474482286355894</c:v>
                </c:pt>
                <c:pt idx="313">
                  <c:v>73.902721130033498</c:v>
                </c:pt>
                <c:pt idx="314">
                  <c:v>74.331397100918196</c:v>
                </c:pt>
                <c:pt idx="315">
                  <c:v>74.76048569816831</c:v>
                </c:pt>
                <c:pt idx="316">
                  <c:v>75.18996243028819</c:v>
                </c:pt>
                <c:pt idx="317">
                  <c:v>75.61980281557409</c:v>
                </c:pt>
                <c:pt idx="318">
                  <c:v>76.049982382548322</c:v>
                </c:pt>
                <c:pt idx="319">
                  <c:v>76.480476670381734</c:v>
                </c:pt>
                <c:pt idx="320">
                  <c:v>76.911261229304685</c:v>
                </c:pt>
                <c:pt idx="321">
                  <c:v>77.342313458367784</c:v>
                </c:pt>
                <c:pt idx="322">
                  <c:v>77.773614443448096</c:v>
                </c:pt>
                <c:pt idx="323">
                  <c:v>78.205147118340108</c:v>
                </c:pt>
                <c:pt idx="324">
                  <c:v>78.636894425485181</c:v>
                </c:pt>
                <c:pt idx="325">
                  <c:v>79.068839316141734</c:v>
                </c:pt>
                <c:pt idx="326">
                  <c:v>79.500964750549912</c:v>
                </c:pt>
                <c:pt idx="327">
                  <c:v>79.933253698090653</c:v>
                </c:pt>
                <c:pt idx="328">
                  <c:v>80.365689137439219</c:v>
                </c:pt>
                <c:pt idx="329">
                  <c:v>80.798254056713205</c:v>
                </c:pt>
                <c:pt idx="330">
                  <c:v>81.230931453615057</c:v>
                </c:pt>
                <c:pt idx="331">
                  <c:v>81.663704335569065</c:v>
                </c:pt>
                <c:pt idx="332">
                  <c:v>82.096555719852972</c:v>
                </c:pt>
                <c:pt idx="333">
                  <c:v>82.529468633724079</c:v>
                </c:pt>
                <c:pt idx="334">
                  <c:v>82.962426114539895</c:v>
                </c:pt>
                <c:pt idx="335">
                  <c:v>83.395411209873473</c:v>
                </c:pt>
                <c:pt idx="336">
                  <c:v>83.828406977623288</c:v>
                </c:pt>
                <c:pt idx="337">
                  <c:v>84.261396486117746</c:v>
                </c:pt>
                <c:pt idx="338">
                  <c:v>84.694362814214401</c:v>
                </c:pt>
                <c:pt idx="339">
                  <c:v>85.12728905139376</c:v>
                </c:pt>
                <c:pt idx="340">
                  <c:v>85.560158297847821</c:v>
                </c:pt>
                <c:pt idx="341">
                  <c:v>85.992953664563331</c:v>
                </c:pt>
                <c:pt idx="342">
                  <c:v>86.425658273399705</c:v>
                </c:pt>
                <c:pt idx="343">
                  <c:v>86.858255257161758</c:v>
                </c:pt>
                <c:pt idx="344">
                  <c:v>87.290727759667107</c:v>
                </c:pt>
                <c:pt idx="345">
                  <c:v>87.72305893580841</c:v>
                </c:pt>
                <c:pt idx="346">
                  <c:v>88.155231951610403</c:v>
                </c:pt>
                <c:pt idx="347">
                  <c:v>88.587229984281663</c:v>
                </c:pt>
                <c:pt idx="348">
                  <c:v>89.019036423145593</c:v>
                </c:pt>
                <c:pt idx="349">
                  <c:v>89.450635070524427</c:v>
                </c:pt>
                <c:pt idx="350">
                  <c:v>89.882009940582449</c:v>
                </c:pt>
                <c:pt idx="351">
                  <c:v>90.313145058201286</c:v>
                </c:pt>
                <c:pt idx="352">
                  <c:v>90.74402445899706</c:v>
                </c:pt>
                <c:pt idx="353">
                  <c:v>91.174632189332925</c:v>
                </c:pt>
                <c:pt idx="354">
                  <c:v>91.604952306327021</c:v>
                </c:pt>
                <c:pt idx="355">
                  <c:v>92.034968877855846</c:v>
                </c:pt>
                <c:pt idx="356">
                  <c:v>92.464665982553015</c:v>
                </c:pt>
                <c:pt idx="357">
                  <c:v>92.894027709803495</c:v>
                </c:pt>
                <c:pt idx="358">
                  <c:v>93.323038159733287</c:v>
                </c:pt>
                <c:pt idx="359">
                  <c:v>93.751681443194514</c:v>
                </c:pt>
                <c:pt idx="360">
                  <c:v>94.179945885626651</c:v>
                </c:pt>
                <c:pt idx="361">
                  <c:v>94.607828229618917</c:v>
                </c:pt>
                <c:pt idx="362">
                  <c:v>95.035329424048584</c:v>
                </c:pt>
                <c:pt idx="363">
                  <c:v>95.462450414534416</c:v>
                </c:pt>
                <c:pt idx="364">
                  <c:v>95.889192143452036</c:v>
                </c:pt>
                <c:pt idx="365">
                  <c:v>96.31555554994911</c:v>
                </c:pt>
                <c:pt idx="366">
                  <c:v>96.741541569960589</c:v>
                </c:pt>
                <c:pt idx="367">
                  <c:v>97.16715113622368</c:v>
                </c:pt>
                <c:pt idx="368">
                  <c:v>97.592385178292929</c:v>
                </c:pt>
                <c:pt idx="369">
                  <c:v>98.017244622555026</c:v>
                </c:pt>
                <c:pt idx="370">
                  <c:v>98.44173039224367</c:v>
                </c:pt>
                <c:pt idx="371">
                  <c:v>98.86584340745425</c:v>
                </c:pt>
                <c:pt idx="372">
                  <c:v>99.289584585158494</c:v>
                </c:pt>
                <c:pt idx="373">
                  <c:v>99.712954839219009</c:v>
                </c:pt>
                <c:pt idx="374">
                  <c:v>100.13595508040376</c:v>
                </c:pt>
                <c:pt idx="375">
                  <c:v>100.55858621640043</c:v>
                </c:pt>
                <c:pt idx="376">
                  <c:v>100.98084915183071</c:v>
                </c:pt>
                <c:pt idx="377">
                  <c:v>101.40274478826453</c:v>
                </c:pt>
                <c:pt idx="378">
                  <c:v>101.82427402423417</c:v>
                </c:pt>
                <c:pt idx="379">
                  <c:v>102.24543775524833</c:v>
                </c:pt>
                <c:pt idx="380">
                  <c:v>102.66623687380607</c:v>
                </c:pt>
                <c:pt idx="381">
                  <c:v>103.0866722694107</c:v>
                </c:pt>
                <c:pt idx="382">
                  <c:v>103.50674482858361</c:v>
                </c:pt>
                <c:pt idx="383">
                  <c:v>103.92645543487795</c:v>
                </c:pt>
                <c:pt idx="384">
                  <c:v>104.34580496889234</c:v>
                </c:pt>
                <c:pt idx="385">
                  <c:v>104.76479430828435</c:v>
                </c:pt>
                <c:pt idx="386">
                  <c:v>105.1834243277841</c:v>
                </c:pt>
                <c:pt idx="387">
                  <c:v>105.60169589920756</c:v>
                </c:pt>
                <c:pt idx="388">
                  <c:v>106.01960989146995</c:v>
                </c:pt>
                <c:pt idx="389">
                  <c:v>106.43716717059903</c:v>
                </c:pt>
                <c:pt idx="390">
                  <c:v>106.85436859974818</c:v>
                </c:pt>
                <c:pt idx="391">
                  <c:v>107.27121503920961</c:v>
                </c:pt>
                <c:pt idx="392">
                  <c:v>107.68770734642733</c:v>
                </c:pt>
                <c:pt idx="393">
                  <c:v>108.10384637601015</c:v>
                </c:pt>
                <c:pt idx="394">
                  <c:v>108.51963297974454</c:v>
                </c:pt>
                <c:pt idx="395">
                  <c:v>108.93506800660744</c:v>
                </c:pt>
                <c:pt idx="396">
                  <c:v>109.35015230277899</c:v>
                </c:pt>
                <c:pt idx="397">
                  <c:v>109.76488671165527</c:v>
                </c:pt>
                <c:pt idx="398">
                  <c:v>110.17927207386077</c:v>
                </c:pt>
                <c:pt idx="399">
                  <c:v>110.59330922726106</c:v>
                </c:pt>
                <c:pt idx="400">
                  <c:v>111.00699900697511</c:v>
                </c:pt>
                <c:pt idx="401">
                  <c:v>115.12485573050628</c:v>
                </c:pt>
                <c:pt idx="402">
                  <c:v>119.20851142227517</c:v>
                </c:pt>
                <c:pt idx="403">
                  <c:v>123.25877593586939</c:v>
                </c:pt>
                <c:pt idx="404">
                  <c:v>127.27643322430974</c:v>
                </c:pt>
                <c:pt idx="405">
                  <c:v>131.26224247158873</c:v>
                </c:pt>
                <c:pt idx="406">
                  <c:v>135.21693916290926</c:v>
                </c:pt>
                <c:pt idx="407">
                  <c:v>139.1412360975871</c:v>
                </c:pt>
                <c:pt idx="408">
                  <c:v>143.03582434828425</c:v>
                </c:pt>
                <c:pt idx="409">
                  <c:v>146.90137416996754</c:v>
                </c:pt>
                <c:pt idx="410">
                  <c:v>150.73853586173834</c:v>
                </c:pt>
                <c:pt idx="411">
                  <c:v>154.54794058445037</c:v>
                </c:pt>
                <c:pt idx="412">
                  <c:v>158.33020113682335</c:v>
                </c:pt>
                <c:pt idx="413">
                  <c:v>162.08591269256743</c:v>
                </c:pt>
                <c:pt idx="414">
                  <c:v>165.81565350085677</c:v>
                </c:pt>
                <c:pt idx="415">
                  <c:v>169.51998555232689</c:v>
                </c:pt>
                <c:pt idx="416">
                  <c:v>173.19945521262144</c:v>
                </c:pt>
                <c:pt idx="417">
                  <c:v>176.85459382537491</c:v>
                </c:pt>
                <c:pt idx="418">
                  <c:v>180.48591828639053</c:v>
                </c:pt>
                <c:pt idx="419">
                  <c:v>184.09393159065485</c:v>
                </c:pt>
                <c:pt idx="420">
                  <c:v>187.67912335372131</c:v>
                </c:pt>
                <c:pt idx="421">
                  <c:v>191.24197030889457</c:v>
                </c:pt>
                <c:pt idx="422">
                  <c:v>194.78293678155421</c:v>
                </c:pt>
                <c:pt idx="423">
                  <c:v>198.30247514186973</c:v>
                </c:pt>
                <c:pt idx="424">
                  <c:v>201.80102623707913</c:v>
                </c:pt>
                <c:pt idx="425">
                  <c:v>205.2790198044286</c:v>
                </c:pt>
                <c:pt idx="426">
                  <c:v>208.73687486580232</c:v>
                </c:pt>
                <c:pt idx="427">
                  <c:v>212.17500010500689</c:v>
                </c:pt>
                <c:pt idx="428">
                  <c:v>215.59379422861542</c:v>
                </c:pt>
                <c:pt idx="429">
                  <c:v>218.9936463112212</c:v>
                </c:pt>
                <c:pt idx="430">
                  <c:v>222.37493612589861</c:v>
                </c:pt>
                <c:pt idx="431">
                  <c:v>225.73803446062126</c:v>
                </c:pt>
                <c:pt idx="432">
                  <c:v>229.08330342134241</c:v>
                </c:pt>
                <c:pt idx="433">
                  <c:v>232.41109672240057</c:v>
                </c:pt>
                <c:pt idx="434">
                  <c:v>235.72175996487454</c:v>
                </c:pt>
                <c:pt idx="435">
                  <c:v>239.01563090347506</c:v>
                </c:pt>
                <c:pt idx="436">
                  <c:v>242.29303970252664</c:v>
                </c:pt>
                <c:pt idx="437">
                  <c:v>245.55430918156051</c:v>
                </c:pt>
                <c:pt idx="438">
                  <c:v>248.79975505101027</c:v>
                </c:pt>
                <c:pt idx="439">
                  <c:v>252.02968613847338</c:v>
                </c:pt>
                <c:pt idx="440">
                  <c:v>255.2444046059756</c:v>
                </c:pt>
                <c:pt idx="441">
                  <c:v>258.44420615865016</c:v>
                </c:pt>
                <c:pt idx="442">
                  <c:v>261.62938024522106</c:v>
                </c:pt>
                <c:pt idx="443">
                  <c:v>264.80021025065753</c:v>
                </c:pt>
                <c:pt idx="444">
                  <c:v>267.95697368134608</c:v>
                </c:pt>
                <c:pt idx="445">
                  <c:v>271.09994234310784</c:v>
                </c:pt>
                <c:pt idx="446">
                  <c:v>274.22938251236951</c:v>
                </c:pt>
                <c:pt idx="447">
                  <c:v>277.34555510078047</c:v>
                </c:pt>
                <c:pt idx="448">
                  <c:v>280.44871581355136</c:v>
                </c:pt>
                <c:pt idx="449">
                  <c:v>283.53911530177396</c:v>
                </c:pt>
                <c:pt idx="450">
                  <c:v>286.61699930896873</c:v>
                </c:pt>
                <c:pt idx="451">
                  <c:v>289.6826088120913</c:v>
                </c:pt>
                <c:pt idx="452">
                  <c:v>292.73618015721684</c:v>
                </c:pt>
                <c:pt idx="453">
                  <c:v>295.77794519010882</c:v>
                </c:pt>
                <c:pt idx="454">
                  <c:v>298.80813138186664</c:v>
                </c:pt>
                <c:pt idx="455">
                  <c:v>301.82696194983498</c:v>
                </c:pt>
                <c:pt idx="456">
                  <c:v>304.83465597394792</c:v>
                </c:pt>
                <c:pt idx="457">
                  <c:v>307.83142850866949</c:v>
                </c:pt>
                <c:pt idx="458">
                  <c:v>310.81749069068314</c:v>
                </c:pt>
                <c:pt idx="459">
                  <c:v>313.79304984247261</c:v>
                </c:pt>
                <c:pt idx="460">
                  <c:v>316.75830957192824</c:v>
                </c:pt>
                <c:pt idx="461">
                  <c:v>319.71346986810306</c:v>
                </c:pt>
                <c:pt idx="462">
                  <c:v>322.65872719323522</c:v>
                </c:pt>
                <c:pt idx="463">
                  <c:v>325.59427457114413</c:v>
                </c:pt>
                <c:pt idx="464">
                  <c:v>328.52030167210074</c:v>
                </c:pt>
                <c:pt idx="465">
                  <c:v>331.43699489426342</c:v>
                </c:pt>
                <c:pt idx="466">
                  <c:v>334.3445374417638</c:v>
                </c:pt>
                <c:pt idx="467">
                  <c:v>337.24310939951886</c:v>
                </c:pt>
                <c:pt idx="468">
                  <c:v>340.13288780483856</c:v>
                </c:pt>
                <c:pt idx="469">
                  <c:v>343.01404671589023</c:v>
                </c:pt>
                <c:pt idx="470">
                  <c:v>345.88675727707397</c:v>
                </c:pt>
                <c:pt idx="471">
                  <c:v>348.75118778135555</c:v>
                </c:pt>
                <c:pt idx="472">
                  <c:v>351.60750372959632</c:v>
                </c:pt>
                <c:pt idx="473">
                  <c:v>354.45586788691151</c:v>
                </c:pt>
                <c:pt idx="474">
                  <c:v>357.29644033608133</c:v>
                </c:pt>
                <c:pt idx="475">
                  <c:v>360.12937852803128</c:v>
                </c:pt>
                <c:pt idx="476">
                  <c:v>362.95483732939033</c:v>
                </c:pt>
                <c:pt idx="477">
                  <c:v>365.77296906712797</c:v>
                </c:pt>
                <c:pt idx="478">
                  <c:v>368.58392357026253</c:v>
                </c:pt>
                <c:pt idx="479">
                  <c:v>371.3878482086252</c:v>
                </c:pt>
                <c:pt idx="480">
                  <c:v>374.184887928656</c:v>
                </c:pt>
                <c:pt idx="481">
                  <c:v>376.97518528619804</c:v>
                </c:pt>
                <c:pt idx="482">
                  <c:v>379.75888047624892</c:v>
                </c:pt>
                <c:pt idx="483">
                  <c:v>382.53611135961785</c:v>
                </c:pt>
                <c:pt idx="484">
                  <c:v>385.30701348642805</c:v>
                </c:pt>
                <c:pt idx="485">
                  <c:v>388.07172011639437</c:v>
                </c:pt>
                <c:pt idx="486">
                  <c:v>390.83036223579592</c:v>
                </c:pt>
                <c:pt idx="487">
                  <c:v>393.58306857105373</c:v>
                </c:pt>
                <c:pt idx="488">
                  <c:v>396.32996559881377</c:v>
                </c:pt>
                <c:pt idx="489">
                  <c:v>399.0711775524249</c:v>
                </c:pt>
                <c:pt idx="490">
                  <c:v>401.80682642469179</c:v>
                </c:pt>
                <c:pt idx="491">
                  <c:v>404.53703196677367</c:v>
                </c:pt>
                <c:pt idx="492">
                  <c:v>407.26191168308947</c:v>
                </c:pt>
                <c:pt idx="493">
                  <c:v>409.98158082208317</c:v>
                </c:pt>
                <c:pt idx="494">
                  <c:v>412.69615236269448</c:v>
                </c:pt>
                <c:pt idx="495">
                  <c:v>415.40573699637474</c:v>
                </c:pt>
                <c:pt idx="496">
                  <c:v>418.11044310448386</c:v>
                </c:pt>
                <c:pt idx="497">
                  <c:v>420.81037673090265</c:v>
                </c:pt>
                <c:pt idx="498">
                  <c:v>423.50564154969635</c:v>
                </c:pt>
                <c:pt idx="499">
                  <c:v>426.19633882767056</c:v>
                </c:pt>
                <c:pt idx="500">
                  <c:v>428.88256738167132</c:v>
                </c:pt>
                <c:pt idx="501">
                  <c:v>431.56442353049681</c:v>
                </c:pt>
                <c:pt idx="502">
                  <c:v>434.24200104131091</c:v>
                </c:pt>
                <c:pt idx="503">
                  <c:v>436.91539107048033</c:v>
                </c:pt>
                <c:pt idx="504">
                  <c:v>439.58468209879686</c:v>
                </c:pt>
                <c:pt idx="505">
                  <c:v>442.24995986109826</c:v>
                </c:pt>
                <c:pt idx="506">
                  <c:v>444.91130727036386</c:v>
                </c:pt>
                <c:pt idx="507">
                  <c:v>447.56880433643835</c:v>
                </c:pt>
                <c:pt idx="508">
                  <c:v>450.22252807962849</c:v>
                </c:pt>
                <c:pt idx="509">
                  <c:v>452.87255243952325</c:v>
                </c:pt>
                <c:pt idx="510">
                  <c:v>455.51894817950966</c:v>
                </c:pt>
                <c:pt idx="511">
                  <c:v>458.16178278759344</c:v>
                </c:pt>
                <c:pt idx="512">
                  <c:v>460.80112037428188</c:v>
                </c:pt>
                <c:pt idx="513">
                  <c:v>463.43702156844716</c:v>
                </c:pt>
                <c:pt idx="514">
                  <c:v>466.06954341225457</c:v>
                </c:pt>
                <c:pt idx="515">
                  <c:v>468.69873925640758</c:v>
                </c:pt>
                <c:pt idx="516">
                  <c:v>471.32465865712339</c:v>
                </c:pt>
                <c:pt idx="517">
                  <c:v>473.94734727640036</c:v>
                </c:pt>
                <c:pt idx="518">
                  <c:v>476.56684678726168</c:v>
                </c:pt>
                <c:pt idx="519">
                  <c:v>479.18319478575057</c:v>
                </c:pt>
                <c:pt idx="520">
                  <c:v>481.79642471149731</c:v>
                </c:pt>
                <c:pt idx="521">
                  <c:v>484.40656577867185</c:v>
                </c:pt>
                <c:pt idx="522">
                  <c:v>487.01364291906816</c:v>
                </c:pt>
                <c:pt idx="523">
                  <c:v>489.61767673893434</c:v>
                </c:pt>
                <c:pt idx="524">
                  <c:v>492.21868349096553</c:v>
                </c:pt>
                <c:pt idx="525">
                  <c:v>494.81667506261783</c:v>
                </c:pt>
                <c:pt idx="526">
                  <c:v>497.41165898158971</c:v>
                </c:pt>
                <c:pt idx="527">
                  <c:v>500.00363843896474</c:v>
                </c:pt>
                <c:pt idx="528">
                  <c:v>502.59261233013319</c:v>
                </c:pt>
                <c:pt idx="529">
                  <c:v>505.17857531322568</c:v>
                </c:pt>
                <c:pt idx="530">
                  <c:v>507.76151788442098</c:v>
                </c:pt>
                <c:pt idx="531">
                  <c:v>510.3414264691491</c:v>
                </c:pt>
                <c:pt idx="532">
                  <c:v>512.91828352791379</c:v>
                </c:pt>
                <c:pt idx="533">
                  <c:v>515.49206767521912</c:v>
                </c:pt>
                <c:pt idx="534">
                  <c:v>518.06275380990974</c:v>
                </c:pt>
                <c:pt idx="535">
                  <c:v>520.63031325512407</c:v>
                </c:pt>
                <c:pt idx="536">
                  <c:v>523.19471390601575</c:v>
                </c:pt>
                <c:pt idx="537">
                  <c:v>525.75592038341267</c:v>
                </c:pt>
                <c:pt idx="538">
                  <c:v>528.31389419165089</c:v>
                </c:pt>
                <c:pt idx="539">
                  <c:v>530.86859387892525</c:v>
                </c:pt>
                <c:pt idx="540">
                  <c:v>533.41997519864015</c:v>
                </c:pt>
                <c:pt idx="541">
                  <c:v>535.96799127040265</c:v>
                </c:pt>
                <c:pt idx="542">
                  <c:v>538.51259273947039</c:v>
                </c:pt>
                <c:pt idx="543">
                  <c:v>541.05372793364279</c:v>
                </c:pt>
                <c:pt idx="544">
                  <c:v>543.59134301675317</c:v>
                </c:pt>
                <c:pt idx="545">
                  <c:v>546.1253821380833</c:v>
                </c:pt>
                <c:pt idx="546">
                  <c:v>548.65578757717049</c:v>
                </c:pt>
                <c:pt idx="547">
                  <c:v>551.1824998836147</c:v>
                </c:pt>
                <c:pt idx="548">
                  <c:v>553.70545801161006</c:v>
                </c:pt>
                <c:pt idx="549">
                  <c:v>556.22459944903289</c:v>
                </c:pt>
                <c:pt idx="550">
                  <c:v>558.73986034100278</c:v>
                </c:pt>
                <c:pt idx="551">
                  <c:v>561.25117560790909</c:v>
                </c:pt>
                <c:pt idx="552">
                  <c:v>563.75847905795501</c:v>
                </c:pt>
                <c:pt idx="553">
                  <c:v>566.26170349431823</c:v>
                </c:pt>
                <c:pt idx="554">
                  <c:v>568.76078081706601</c:v>
                </c:pt>
                <c:pt idx="555">
                  <c:v>571.25564211998994</c:v>
                </c:pt>
                <c:pt idx="556">
                  <c:v>573.7462177825447</c:v>
                </c:pt>
                <c:pt idx="557">
                  <c:v>576.23243755709188</c:v>
                </c:pt>
                <c:pt idx="558">
                  <c:v>578.71423065165436</c:v>
                </c:pt>
                <c:pt idx="559">
                  <c:v>581.19152580839386</c:v>
                </c:pt>
                <c:pt idx="560">
                  <c:v>583.6642513780223</c:v>
                </c:pt>
                <c:pt idx="561">
                  <c:v>586.13233539035605</c:v>
                </c:pt>
                <c:pt idx="562">
                  <c:v>588.59570562121735</c:v>
                </c:pt>
                <c:pt idx="563">
                  <c:v>591.05428965588101</c:v>
                </c:pt>
                <c:pt idx="564">
                  <c:v>593.50801494925713</c:v>
                </c:pt>
                <c:pt idx="565">
                  <c:v>595.95680888299103</c:v>
                </c:pt>
                <c:pt idx="566">
                  <c:v>598.4005988196559</c:v>
                </c:pt>
                <c:pt idx="567">
                  <c:v>600.83931215420091</c:v>
                </c:pt>
                <c:pt idx="568">
                  <c:v>603.27287636281187</c:v>
                </c:pt>
                <c:pt idx="569">
                  <c:v>605.70121904933012</c:v>
                </c:pt>
                <c:pt idx="570">
                  <c:v>608.12426798936781</c:v>
                </c:pt>
                <c:pt idx="571">
                  <c:v>610.54195117224958</c:v>
                </c:pt>
                <c:pt idx="572">
                  <c:v>612.95419684090018</c:v>
                </c:pt>
                <c:pt idx="573">
                  <c:v>615.36093352979321</c:v>
                </c:pt>
                <c:pt idx="574">
                  <c:v>617.76209010106527</c:v>
                </c:pt>
                <c:pt idx="575">
                  <c:v>620.15759577889514</c:v>
                </c:pt>
                <c:pt idx="576">
                  <c:v>622.54738018224032</c:v>
                </c:pt>
                <c:pt idx="577">
                  <c:v>624.93137335601591</c:v>
                </c:pt>
                <c:pt idx="578">
                  <c:v>627.3095058007965</c:v>
                </c:pt>
                <c:pt idx="579">
                  <c:v>629.68170850111596</c:v>
                </c:pt>
                <c:pt idx="580">
                  <c:v>632.04791295243388</c:v>
                </c:pt>
                <c:pt idx="581">
                  <c:v>634.40805118683386</c:v>
                </c:pt>
                <c:pt idx="582">
                  <c:v>636.76205579751365</c:v>
                </c:pt>
                <c:pt idx="583">
                  <c:v>639.10985996212412</c:v>
                </c:pt>
                <c:pt idx="584">
                  <c:v>641.45139746500797</c:v>
                </c:pt>
                <c:pt idx="585">
                  <c:v>643.78660271838885</c:v>
                </c:pt>
                <c:pt idx="586">
                  <c:v>646.11541078255516</c:v>
                </c:pt>
                <c:pt idx="587">
                  <c:v>648.4377573850818</c:v>
                </c:pt>
                <c:pt idx="588">
                  <c:v>650.75357893912962</c:v>
                </c:pt>
                <c:pt idx="589">
                  <c:v>653.06281256085947</c:v>
                </c:pt>
                <c:pt idx="590">
                  <c:v>655.36539608599605</c:v>
                </c:pt>
                <c:pt idx="591">
                  <c:v>657.66126808557408</c:v>
                </c:pt>
                <c:pt idx="592">
                  <c:v>659.9503678808976</c:v>
                </c:pt>
                <c:pt idx="593">
                  <c:v>662.23263555774076</c:v>
                </c:pt>
                <c:pt idx="594">
                  <c:v>664.50801197981741</c:v>
                </c:pt>
                <c:pt idx="595">
                  <c:v>666.77643880154471</c:v>
                </c:pt>
                <c:pt idx="596">
                  <c:v>669.03785848012524</c:v>
                </c:pt>
                <c:pt idx="597">
                  <c:v>671.29221428696917</c:v>
                </c:pt>
                <c:pt idx="598">
                  <c:v>673.539450318479</c:v>
                </c:pt>
                <c:pt idx="599">
                  <c:v>675.77951150621629</c:v>
                </c:pt>
                <c:pt idx="600">
                  <c:v>678.01234362646949</c:v>
                </c:pt>
                <c:pt idx="601">
                  <c:v>680.2378933092416</c:v>
                </c:pt>
                <c:pt idx="602">
                  <c:v>682.4561080466741</c:v>
                </c:pt>
                <c:pt idx="603">
                  <c:v>684.66693620092428</c:v>
                </c:pt>
                <c:pt idx="604">
                  <c:v>686.87032701151099</c:v>
                </c:pt>
                <c:pt idx="605">
                  <c:v>689.06623060214417</c:v>
                </c:pt>
                <c:pt idx="606">
                  <c:v>691.25459798705185</c:v>
                </c:pt>
                <c:pt idx="607">
                  <c:v>693.43538107681889</c:v>
                </c:pt>
                <c:pt idx="608">
                  <c:v>695.60853268375024</c:v>
                </c:pt>
                <c:pt idx="609">
                  <c:v>697.77400652677102</c:v>
                </c:pt>
                <c:pt idx="610">
                  <c:v>699.93175723587592</c:v>
                </c:pt>
                <c:pt idx="611">
                  <c:v>702.08174035613968</c:v>
                </c:pt>
                <c:pt idx="612">
                  <c:v>704.22391235129896</c:v>
                </c:pt>
                <c:pt idx="613">
                  <c:v>706.35823060691769</c:v>
                </c:pt>
                <c:pt idx="614">
                  <c:v>708.48465343314524</c:v>
                </c:pt>
                <c:pt idx="615">
                  <c:v>710.60314006707881</c:v>
                </c:pt>
                <c:pt idx="616">
                  <c:v>712.71365067473835</c:v>
                </c:pt>
                <c:pt idx="617">
                  <c:v>714.81614635266533</c:v>
                </c:pt>
                <c:pt idx="618">
                  <c:v>716.91058912915332</c:v>
                </c:pt>
                <c:pt idx="619">
                  <c:v>718.9969419651203</c:v>
                </c:pt>
                <c:pt idx="620">
                  <c:v>721.07516875463091</c:v>
                </c:pt>
                <c:pt idx="621">
                  <c:v>723.14523432507804</c:v>
                </c:pt>
                <c:pt idx="622">
                  <c:v>725.2071044370316</c:v>
                </c:pt>
                <c:pt idx="623">
                  <c:v>727.26074578376301</c:v>
                </c:pt>
                <c:pt idx="624">
                  <c:v>729.30612599045355</c:v>
                </c:pt>
                <c:pt idx="625">
                  <c:v>731.34321361309435</c:v>
                </c:pt>
                <c:pt idx="626">
                  <c:v>733.37197813708599</c:v>
                </c:pt>
                <c:pt idx="627">
                  <c:v>735.3923899755456</c:v>
                </c:pt>
                <c:pt idx="628">
                  <c:v>737.4044204673279</c:v>
                </c:pt>
                <c:pt idx="629">
                  <c:v>739.40804187476897</c:v>
                </c:pt>
                <c:pt idx="630">
                  <c:v>741.40322738115958</c:v>
                </c:pt>
                <c:pt idx="631">
                  <c:v>743.38995108795439</c:v>
                </c:pt>
                <c:pt idx="632">
                  <c:v>745.36818801172512</c:v>
                </c:pt>
                <c:pt idx="633">
                  <c:v>747.33791408086427</c:v>
                </c:pt>
                <c:pt idx="634">
                  <c:v>749.2991061320464</c:v>
                </c:pt>
                <c:pt idx="635">
                  <c:v>751.25174190645305</c:v>
                </c:pt>
                <c:pt idx="636">
                  <c:v>753.19580004576869</c:v>
                </c:pt>
                <c:pt idx="637">
                  <c:v>755.13126008795439</c:v>
                </c:pt>
                <c:pt idx="638">
                  <c:v>757.05810246280475</c:v>
                </c:pt>
                <c:pt idx="639">
                  <c:v>758.97630848729534</c:v>
                </c:pt>
                <c:pt idx="640">
                  <c:v>760.88586036072684</c:v>
                </c:pt>
                <c:pt idx="641">
                  <c:v>762.78674115967169</c:v>
                </c:pt>
                <c:pt idx="642">
                  <c:v>764.67893483272985</c:v>
                </c:pt>
                <c:pt idx="643">
                  <c:v>766.56242619509953</c:v>
                </c:pt>
                <c:pt idx="644">
                  <c:v>768.43720092296894</c:v>
                </c:pt>
                <c:pt idx="645">
                  <c:v>770.30324554773506</c:v>
                </c:pt>
                <c:pt idx="646">
                  <c:v>772.16054745005522</c:v>
                </c:pt>
                <c:pt idx="647">
                  <c:v>774.009094853737</c:v>
                </c:pt>
                <c:pt idx="648">
                  <c:v>775.84887681947282</c:v>
                </c:pt>
                <c:pt idx="649">
                  <c:v>777.6798832384244</c:v>
                </c:pt>
                <c:pt idx="650">
                  <c:v>779.50210482566229</c:v>
                </c:pt>
                <c:pt idx="651">
                  <c:v>781.31553311346693</c:v>
                </c:pt>
                <c:pt idx="652">
                  <c:v>783.1201604444957</c:v>
                </c:pt>
                <c:pt idx="653">
                  <c:v>784.9159799648221</c:v>
                </c:pt>
                <c:pt idx="654">
                  <c:v>786.70298561685138</c:v>
                </c:pt>
                <c:pt idx="655">
                  <c:v>788.48117213211913</c:v>
                </c:pt>
                <c:pt idx="656">
                  <c:v>790.25053502397668</c:v>
                </c:pt>
                <c:pt idx="657">
                  <c:v>792.01107058016908</c:v>
                </c:pt>
                <c:pt idx="658">
                  <c:v>793.76277585531034</c:v>
                </c:pt>
                <c:pt idx="659">
                  <c:v>795.50564866326158</c:v>
                </c:pt>
                <c:pt idx="660">
                  <c:v>797.23968756941542</c:v>
                </c:pt>
                <c:pt idx="661">
                  <c:v>798.96489188289308</c:v>
                </c:pt>
                <c:pt idx="662">
                  <c:v>800.68126164865782</c:v>
                </c:pt>
                <c:pt idx="663">
                  <c:v>802.38879763954947</c:v>
                </c:pt>
                <c:pt idx="664">
                  <c:v>804.08750134824527</c:v>
                </c:pt>
                <c:pt idx="665">
                  <c:v>805.77737497915041</c:v>
                </c:pt>
                <c:pt idx="666">
                  <c:v>807.45842144022356</c:v>
                </c:pt>
                <c:pt idx="667">
                  <c:v>809.13064433474176</c:v>
                </c:pt>
                <c:pt idx="668">
                  <c:v>810.79404795300798</c:v>
                </c:pt>
                <c:pt idx="669">
                  <c:v>812.44863726400638</c:v>
                </c:pt>
                <c:pt idx="670">
                  <c:v>814.0944179070093</c:v>
                </c:pt>
                <c:pt idx="671">
                  <c:v>815.73139618314008</c:v>
                </c:pt>
                <c:pt idx="672">
                  <c:v>817.35957904689474</c:v>
                </c:pt>
                <c:pt idx="673">
                  <c:v>818.97897409762788</c:v>
                </c:pt>
                <c:pt idx="674">
                  <c:v>820.58958957100526</c:v>
                </c:pt>
                <c:pt idx="675">
                  <c:v>822.19143433042802</c:v>
                </c:pt>
                <c:pt idx="676">
                  <c:v>823.78451785843106</c:v>
                </c:pt>
                <c:pt idx="677">
                  <c:v>825.36885024806008</c:v>
                </c:pt>
                <c:pt idx="678">
                  <c:v>826.94444219422996</c:v>
                </c:pt>
                <c:pt idx="679">
                  <c:v>828.51130498506893</c:v>
                </c:pt>
                <c:pt idx="680">
                  <c:v>830.06945049325111</c:v>
                </c:pt>
                <c:pt idx="681">
                  <c:v>831.61889116732061</c:v>
                </c:pt>
                <c:pt idx="682">
                  <c:v>833.15964002301121</c:v>
                </c:pt>
                <c:pt idx="683">
                  <c:v>834.6917106345644</c:v>
                </c:pt>
                <c:pt idx="684">
                  <c:v>836.21511712604809</c:v>
                </c:pt>
                <c:pt idx="685">
                  <c:v>837.72987416268029</c:v>
                </c:pt>
                <c:pt idx="686">
                  <c:v>839.23599694215989</c:v>
                </c:pt>
                <c:pt idx="687">
                  <c:v>840.73350118600752</c:v>
                </c:pt>
                <c:pt idx="688">
                  <c:v>842.22240313091902</c:v>
                </c:pt>
                <c:pt idx="689">
                  <c:v>843.70271952013536</c:v>
                </c:pt>
                <c:pt idx="690">
                  <c:v>845.17446759482971</c:v>
                </c:pt>
                <c:pt idx="691">
                  <c:v>846.63766508551635</c:v>
                </c:pt>
                <c:pt idx="692">
                  <c:v>848.09233020348222</c:v>
                </c:pt>
                <c:pt idx="693">
                  <c:v>849.53848163224473</c:v>
                </c:pt>
                <c:pt idx="694">
                  <c:v>850.97613851903714</c:v>
                </c:pt>
                <c:pt idx="695">
                  <c:v>852.40532046632495</c:v>
                </c:pt>
                <c:pt idx="696">
                  <c:v>853.82604752335453</c:v>
                </c:pt>
                <c:pt idx="697">
                  <c:v>855.23834017773663</c:v>
                </c:pt>
                <c:pt idx="698">
                  <c:v>856.64221934706688</c:v>
                </c:pt>
                <c:pt idx="699">
                  <c:v>858.03770637058517</c:v>
                </c:pt>
                <c:pt idx="700">
                  <c:v>859.42482300087568</c:v>
                </c:pt>
                <c:pt idx="701">
                  <c:v>860.80359139561028</c:v>
                </c:pt>
                <c:pt idx="702">
                  <c:v>862.17403410933582</c:v>
                </c:pt>
                <c:pt idx="703">
                  <c:v>863.53617408530806</c:v>
                </c:pt>
                <c:pt idx="704">
                  <c:v>864.89003464737402</c:v>
                </c:pt>
                <c:pt idx="705">
                  <c:v>866.23563949190338</c:v>
                </c:pt>
                <c:pt idx="706">
                  <c:v>867.57301267977186</c:v>
                </c:pt>
                <c:pt idx="707">
                  <c:v>868.902178628397</c:v>
                </c:pt>
                <c:pt idx="708">
                  <c:v>870.22316210382814</c:v>
                </c:pt>
                <c:pt idx="709">
                  <c:v>871.53598821289268</c:v>
                </c:pt>
                <c:pt idx="710">
                  <c:v>872.84068239539852</c:v>
                </c:pt>
                <c:pt idx="711">
                  <c:v>874.13727041639572</c:v>
                </c:pt>
                <c:pt idx="712">
                  <c:v>874.13727041639572</c:v>
                </c:pt>
                <c:pt idx="713">
                  <c:v>874.13727041639572</c:v>
                </c:pt>
                <c:pt idx="714">
                  <c:v>874.13727041639572</c:v>
                </c:pt>
                <c:pt idx="715">
                  <c:v>874.13727041639572</c:v>
                </c:pt>
                <c:pt idx="716">
                  <c:v>874.13727041639572</c:v>
                </c:pt>
                <c:pt idx="717">
                  <c:v>874.13727041639572</c:v>
                </c:pt>
                <c:pt idx="718">
                  <c:v>874.13727041639572</c:v>
                </c:pt>
                <c:pt idx="719">
                  <c:v>874.13727041639572</c:v>
                </c:pt>
                <c:pt idx="720">
                  <c:v>874.13727041639572</c:v>
                </c:pt>
                <c:pt idx="721">
                  <c:v>874.13727041639572</c:v>
                </c:pt>
                <c:pt idx="722">
                  <c:v>874.13727041639572</c:v>
                </c:pt>
                <c:pt idx="723">
                  <c:v>874.13727041639572</c:v>
                </c:pt>
                <c:pt idx="724">
                  <c:v>874.13727041639572</c:v>
                </c:pt>
                <c:pt idx="725">
                  <c:v>874.13727041639572</c:v>
                </c:pt>
                <c:pt idx="726">
                  <c:v>874.13727041639572</c:v>
                </c:pt>
                <c:pt idx="727">
                  <c:v>874.13727041639572</c:v>
                </c:pt>
                <c:pt idx="728">
                  <c:v>874.13727041639572</c:v>
                </c:pt>
                <c:pt idx="729">
                  <c:v>874.13727041639572</c:v>
                </c:pt>
                <c:pt idx="730">
                  <c:v>874.13727041639572</c:v>
                </c:pt>
                <c:pt idx="731">
                  <c:v>874.13727041639572</c:v>
                </c:pt>
                <c:pt idx="732">
                  <c:v>874.13727041639572</c:v>
                </c:pt>
                <c:pt idx="733">
                  <c:v>874.13727041639572</c:v>
                </c:pt>
                <c:pt idx="734">
                  <c:v>874.13727041639572</c:v>
                </c:pt>
                <c:pt idx="735">
                  <c:v>874.13727041639572</c:v>
                </c:pt>
                <c:pt idx="736">
                  <c:v>874.13727041639572</c:v>
                </c:pt>
                <c:pt idx="737">
                  <c:v>874.13727041639572</c:v>
                </c:pt>
                <c:pt idx="738">
                  <c:v>874.13727041639572</c:v>
                </c:pt>
                <c:pt idx="739">
                  <c:v>874.13727041639572</c:v>
                </c:pt>
                <c:pt idx="740">
                  <c:v>874.13727041639572</c:v>
                </c:pt>
                <c:pt idx="741">
                  <c:v>874.13727041639572</c:v>
                </c:pt>
                <c:pt idx="742">
                  <c:v>874.13727041639572</c:v>
                </c:pt>
                <c:pt idx="743">
                  <c:v>874.13727041639572</c:v>
                </c:pt>
                <c:pt idx="744">
                  <c:v>874.13727041639572</c:v>
                </c:pt>
                <c:pt idx="745">
                  <c:v>874.13727041639572</c:v>
                </c:pt>
                <c:pt idx="746">
                  <c:v>874.13727041639572</c:v>
                </c:pt>
                <c:pt idx="747">
                  <c:v>874.13727041639572</c:v>
                </c:pt>
                <c:pt idx="748">
                  <c:v>874.13727041639572</c:v>
                </c:pt>
                <c:pt idx="749">
                  <c:v>874.13727041639572</c:v>
                </c:pt>
                <c:pt idx="750">
                  <c:v>874.13727041639572</c:v>
                </c:pt>
                <c:pt idx="751">
                  <c:v>874.13727041639572</c:v>
                </c:pt>
                <c:pt idx="752">
                  <c:v>874.13727041639572</c:v>
                </c:pt>
                <c:pt idx="753">
                  <c:v>874.13727041639572</c:v>
                </c:pt>
                <c:pt idx="754">
                  <c:v>874.13727041639572</c:v>
                </c:pt>
                <c:pt idx="755">
                  <c:v>874.13727041639572</c:v>
                </c:pt>
                <c:pt idx="756">
                  <c:v>874.13727041639572</c:v>
                </c:pt>
                <c:pt idx="757">
                  <c:v>874.13727041639572</c:v>
                </c:pt>
                <c:pt idx="758">
                  <c:v>874.13727041639572</c:v>
                </c:pt>
                <c:pt idx="759">
                  <c:v>874.13727041639572</c:v>
                </c:pt>
                <c:pt idx="760">
                  <c:v>874.13727041639572</c:v>
                </c:pt>
                <c:pt idx="761">
                  <c:v>874.13727041639572</c:v>
                </c:pt>
                <c:pt idx="762">
                  <c:v>874.13727041639572</c:v>
                </c:pt>
                <c:pt idx="763">
                  <c:v>874.13727041639572</c:v>
                </c:pt>
                <c:pt idx="764">
                  <c:v>874.13727041639572</c:v>
                </c:pt>
                <c:pt idx="765">
                  <c:v>874.13727041639572</c:v>
                </c:pt>
                <c:pt idx="766">
                  <c:v>874.13727041639572</c:v>
                </c:pt>
                <c:pt idx="767">
                  <c:v>874.13727041639572</c:v>
                </c:pt>
                <c:pt idx="768">
                  <c:v>874.13727041639572</c:v>
                </c:pt>
                <c:pt idx="769">
                  <c:v>874.13727041639572</c:v>
                </c:pt>
                <c:pt idx="770">
                  <c:v>874.13727041639572</c:v>
                </c:pt>
                <c:pt idx="771">
                  <c:v>874.13727041639572</c:v>
                </c:pt>
                <c:pt idx="772">
                  <c:v>874.13727041639572</c:v>
                </c:pt>
                <c:pt idx="773">
                  <c:v>874.13727041639572</c:v>
                </c:pt>
                <c:pt idx="774">
                  <c:v>874.13727041639572</c:v>
                </c:pt>
                <c:pt idx="775">
                  <c:v>874.13727041639572</c:v>
                </c:pt>
                <c:pt idx="776">
                  <c:v>874.13727041639572</c:v>
                </c:pt>
                <c:pt idx="777">
                  <c:v>874.13727041639572</c:v>
                </c:pt>
                <c:pt idx="778">
                  <c:v>874.13727041639572</c:v>
                </c:pt>
                <c:pt idx="779">
                  <c:v>874.13727041639572</c:v>
                </c:pt>
                <c:pt idx="780">
                  <c:v>874.13727041639572</c:v>
                </c:pt>
                <c:pt idx="781">
                  <c:v>874.13727041639572</c:v>
                </c:pt>
                <c:pt idx="782">
                  <c:v>874.13727041639572</c:v>
                </c:pt>
                <c:pt idx="783">
                  <c:v>874.13727041639572</c:v>
                </c:pt>
                <c:pt idx="784">
                  <c:v>874.13727041639572</c:v>
                </c:pt>
                <c:pt idx="785">
                  <c:v>874.13727041639572</c:v>
                </c:pt>
                <c:pt idx="786">
                  <c:v>874.13727041639572</c:v>
                </c:pt>
                <c:pt idx="787">
                  <c:v>874.13727041639572</c:v>
                </c:pt>
                <c:pt idx="788">
                  <c:v>874.13727041639572</c:v>
                </c:pt>
                <c:pt idx="789">
                  <c:v>874.13727041639572</c:v>
                </c:pt>
                <c:pt idx="790">
                  <c:v>874.13727041639572</c:v>
                </c:pt>
                <c:pt idx="791">
                  <c:v>874.13727041639572</c:v>
                </c:pt>
                <c:pt idx="792">
                  <c:v>874.13727041639572</c:v>
                </c:pt>
                <c:pt idx="793">
                  <c:v>874.13727041639572</c:v>
                </c:pt>
                <c:pt idx="794">
                  <c:v>874.13727041639572</c:v>
                </c:pt>
                <c:pt idx="795">
                  <c:v>874.13727041639572</c:v>
                </c:pt>
                <c:pt idx="796">
                  <c:v>874.13727041639572</c:v>
                </c:pt>
                <c:pt idx="797">
                  <c:v>874.13727041639572</c:v>
                </c:pt>
                <c:pt idx="798">
                  <c:v>874.13727041639572</c:v>
                </c:pt>
                <c:pt idx="799">
                  <c:v>874.13727041639572</c:v>
                </c:pt>
                <c:pt idx="800">
                  <c:v>874.13727041639572</c:v>
                </c:pt>
                <c:pt idx="801">
                  <c:v>874.13727041639572</c:v>
                </c:pt>
                <c:pt idx="802">
                  <c:v>874.13727041639572</c:v>
                </c:pt>
                <c:pt idx="803">
                  <c:v>874.13727041639572</c:v>
                </c:pt>
                <c:pt idx="804">
                  <c:v>874.13727041639572</c:v>
                </c:pt>
                <c:pt idx="805">
                  <c:v>874.13727041639572</c:v>
                </c:pt>
                <c:pt idx="806">
                  <c:v>874.13727041639572</c:v>
                </c:pt>
                <c:pt idx="807">
                  <c:v>874.13727041639572</c:v>
                </c:pt>
                <c:pt idx="808">
                  <c:v>874.13727041639572</c:v>
                </c:pt>
                <c:pt idx="809">
                  <c:v>874.13727041639572</c:v>
                </c:pt>
                <c:pt idx="810">
                  <c:v>874.13727041639572</c:v>
                </c:pt>
                <c:pt idx="811">
                  <c:v>874.13727041639572</c:v>
                </c:pt>
                <c:pt idx="812">
                  <c:v>874.13727041639572</c:v>
                </c:pt>
                <c:pt idx="813">
                  <c:v>874.13727041639572</c:v>
                </c:pt>
                <c:pt idx="814">
                  <c:v>874.13727041639572</c:v>
                </c:pt>
                <c:pt idx="815">
                  <c:v>874.13727041639572</c:v>
                </c:pt>
                <c:pt idx="816">
                  <c:v>874.13727041639572</c:v>
                </c:pt>
                <c:pt idx="817">
                  <c:v>874.13727041639572</c:v>
                </c:pt>
                <c:pt idx="818">
                  <c:v>874.13727041639572</c:v>
                </c:pt>
                <c:pt idx="819">
                  <c:v>874.13727041639572</c:v>
                </c:pt>
                <c:pt idx="820">
                  <c:v>874.13727041639572</c:v>
                </c:pt>
                <c:pt idx="821">
                  <c:v>874.13727041639572</c:v>
                </c:pt>
                <c:pt idx="822">
                  <c:v>874.13727041639572</c:v>
                </c:pt>
                <c:pt idx="823">
                  <c:v>874.13727041639572</c:v>
                </c:pt>
                <c:pt idx="824">
                  <c:v>874.13727041639572</c:v>
                </c:pt>
                <c:pt idx="825">
                  <c:v>874.13727041639572</c:v>
                </c:pt>
                <c:pt idx="826">
                  <c:v>874.13727041639572</c:v>
                </c:pt>
                <c:pt idx="827">
                  <c:v>874.13727041639572</c:v>
                </c:pt>
                <c:pt idx="828">
                  <c:v>874.13727041639572</c:v>
                </c:pt>
                <c:pt idx="829">
                  <c:v>874.13727041639572</c:v>
                </c:pt>
                <c:pt idx="830">
                  <c:v>874.13727041639572</c:v>
                </c:pt>
                <c:pt idx="831">
                  <c:v>874.13727041639572</c:v>
                </c:pt>
                <c:pt idx="832">
                  <c:v>874.13727041639572</c:v>
                </c:pt>
                <c:pt idx="833">
                  <c:v>874.13727041639572</c:v>
                </c:pt>
                <c:pt idx="834">
                  <c:v>874.13727041639572</c:v>
                </c:pt>
                <c:pt idx="835">
                  <c:v>874.13727041639572</c:v>
                </c:pt>
                <c:pt idx="836">
                  <c:v>874.13727041639572</c:v>
                </c:pt>
                <c:pt idx="837">
                  <c:v>874.13727041639572</c:v>
                </c:pt>
                <c:pt idx="838">
                  <c:v>874.13727041639572</c:v>
                </c:pt>
                <c:pt idx="839">
                  <c:v>874.13727041639572</c:v>
                </c:pt>
                <c:pt idx="840">
                  <c:v>874.13727041639572</c:v>
                </c:pt>
                <c:pt idx="841">
                  <c:v>874.13727041639572</c:v>
                </c:pt>
                <c:pt idx="842">
                  <c:v>874.13727041639572</c:v>
                </c:pt>
                <c:pt idx="843">
                  <c:v>874.13727041639572</c:v>
                </c:pt>
                <c:pt idx="844">
                  <c:v>874.13727041639572</c:v>
                </c:pt>
                <c:pt idx="845">
                  <c:v>874.13727041639572</c:v>
                </c:pt>
                <c:pt idx="846">
                  <c:v>874.13727041639572</c:v>
                </c:pt>
                <c:pt idx="847">
                  <c:v>874.13727041639572</c:v>
                </c:pt>
                <c:pt idx="848">
                  <c:v>874.13727041639572</c:v>
                </c:pt>
                <c:pt idx="849">
                  <c:v>874.13727041639572</c:v>
                </c:pt>
                <c:pt idx="850">
                  <c:v>874.13727041639572</c:v>
                </c:pt>
                <c:pt idx="851">
                  <c:v>874.13727041639572</c:v>
                </c:pt>
                <c:pt idx="852">
                  <c:v>874.13727041639572</c:v>
                </c:pt>
                <c:pt idx="853">
                  <c:v>874.13727041639572</c:v>
                </c:pt>
                <c:pt idx="854">
                  <c:v>874.13727041639572</c:v>
                </c:pt>
                <c:pt idx="855">
                  <c:v>874.13727041639572</c:v>
                </c:pt>
                <c:pt idx="856">
                  <c:v>874.13727041639572</c:v>
                </c:pt>
                <c:pt idx="857">
                  <c:v>874.13727041639572</c:v>
                </c:pt>
                <c:pt idx="858">
                  <c:v>874.13727041639572</c:v>
                </c:pt>
                <c:pt idx="859">
                  <c:v>874.13727041639572</c:v>
                </c:pt>
                <c:pt idx="860">
                  <c:v>874.13727041639572</c:v>
                </c:pt>
                <c:pt idx="861">
                  <c:v>874.13727041639572</c:v>
                </c:pt>
                <c:pt idx="862">
                  <c:v>874.13727041639572</c:v>
                </c:pt>
                <c:pt idx="863">
                  <c:v>874.13727041639572</c:v>
                </c:pt>
                <c:pt idx="864">
                  <c:v>874.13727041639572</c:v>
                </c:pt>
                <c:pt idx="865">
                  <c:v>874.13727041639572</c:v>
                </c:pt>
                <c:pt idx="866">
                  <c:v>874.13727041639572</c:v>
                </c:pt>
                <c:pt idx="867">
                  <c:v>874.13727041639572</c:v>
                </c:pt>
                <c:pt idx="868">
                  <c:v>874.13727041639572</c:v>
                </c:pt>
                <c:pt idx="869">
                  <c:v>874.13727041639572</c:v>
                </c:pt>
                <c:pt idx="870">
                  <c:v>874.13727041639572</c:v>
                </c:pt>
                <c:pt idx="871">
                  <c:v>874.13727041639572</c:v>
                </c:pt>
                <c:pt idx="872">
                  <c:v>874.13727041639572</c:v>
                </c:pt>
                <c:pt idx="873">
                  <c:v>874.13727041639572</c:v>
                </c:pt>
                <c:pt idx="874">
                  <c:v>874.13727041639572</c:v>
                </c:pt>
                <c:pt idx="875">
                  <c:v>874.13727041639572</c:v>
                </c:pt>
                <c:pt idx="876">
                  <c:v>874.13727041639572</c:v>
                </c:pt>
                <c:pt idx="877">
                  <c:v>874.13727041639572</c:v>
                </c:pt>
                <c:pt idx="878">
                  <c:v>874.13727041639572</c:v>
                </c:pt>
                <c:pt idx="879">
                  <c:v>874.13727041639572</c:v>
                </c:pt>
                <c:pt idx="880">
                  <c:v>874.13727041639572</c:v>
                </c:pt>
                <c:pt idx="881">
                  <c:v>874.13727041639572</c:v>
                </c:pt>
                <c:pt idx="882">
                  <c:v>874.13727041639572</c:v>
                </c:pt>
                <c:pt idx="883">
                  <c:v>874.13727041639572</c:v>
                </c:pt>
                <c:pt idx="884">
                  <c:v>874.13727041639572</c:v>
                </c:pt>
                <c:pt idx="885">
                  <c:v>874.13727041639572</c:v>
                </c:pt>
                <c:pt idx="886">
                  <c:v>874.13727041639572</c:v>
                </c:pt>
                <c:pt idx="887">
                  <c:v>874.13727041639572</c:v>
                </c:pt>
                <c:pt idx="888">
                  <c:v>874.13727041639572</c:v>
                </c:pt>
                <c:pt idx="889">
                  <c:v>874.13727041639572</c:v>
                </c:pt>
                <c:pt idx="890">
                  <c:v>874.13727041639572</c:v>
                </c:pt>
                <c:pt idx="891">
                  <c:v>874.13727041639572</c:v>
                </c:pt>
                <c:pt idx="892">
                  <c:v>874.13727041639572</c:v>
                </c:pt>
                <c:pt idx="893">
                  <c:v>874.13727041639572</c:v>
                </c:pt>
                <c:pt idx="894">
                  <c:v>874.13727041639572</c:v>
                </c:pt>
                <c:pt idx="895">
                  <c:v>874.13727041639572</c:v>
                </c:pt>
                <c:pt idx="896">
                  <c:v>874.13727041639572</c:v>
                </c:pt>
                <c:pt idx="897">
                  <c:v>874.13727041639572</c:v>
                </c:pt>
                <c:pt idx="898">
                  <c:v>874.13727041639572</c:v>
                </c:pt>
                <c:pt idx="899">
                  <c:v>874.13727041639572</c:v>
                </c:pt>
                <c:pt idx="900">
                  <c:v>874.13727041639572</c:v>
                </c:pt>
                <c:pt idx="901">
                  <c:v>874.13727041639572</c:v>
                </c:pt>
                <c:pt idx="902">
                  <c:v>874.13727041639572</c:v>
                </c:pt>
                <c:pt idx="903">
                  <c:v>874.13727041639572</c:v>
                </c:pt>
                <c:pt idx="904">
                  <c:v>874.13727041639572</c:v>
                </c:pt>
                <c:pt idx="905">
                  <c:v>874.13727041639572</c:v>
                </c:pt>
                <c:pt idx="906">
                  <c:v>874.13727041639572</c:v>
                </c:pt>
                <c:pt idx="907">
                  <c:v>874.13727041639572</c:v>
                </c:pt>
                <c:pt idx="908">
                  <c:v>874.13727041639572</c:v>
                </c:pt>
                <c:pt idx="909">
                  <c:v>874.13727041639572</c:v>
                </c:pt>
                <c:pt idx="910">
                  <c:v>874.13727041639572</c:v>
                </c:pt>
                <c:pt idx="911">
                  <c:v>874.13727041639572</c:v>
                </c:pt>
                <c:pt idx="912">
                  <c:v>874.13727041639572</c:v>
                </c:pt>
                <c:pt idx="913">
                  <c:v>874.13727041639572</c:v>
                </c:pt>
                <c:pt idx="914">
                  <c:v>874.13727041639572</c:v>
                </c:pt>
                <c:pt idx="915">
                  <c:v>874.13727041639572</c:v>
                </c:pt>
                <c:pt idx="916">
                  <c:v>874.13727041639572</c:v>
                </c:pt>
                <c:pt idx="917">
                  <c:v>874.13727041639572</c:v>
                </c:pt>
                <c:pt idx="918">
                  <c:v>874.13727041639572</c:v>
                </c:pt>
                <c:pt idx="919">
                  <c:v>874.13727041639572</c:v>
                </c:pt>
                <c:pt idx="920">
                  <c:v>874.13727041639572</c:v>
                </c:pt>
                <c:pt idx="921">
                  <c:v>874.13727041639572</c:v>
                </c:pt>
                <c:pt idx="922">
                  <c:v>874.13727041639572</c:v>
                </c:pt>
                <c:pt idx="923">
                  <c:v>874.13727041639572</c:v>
                </c:pt>
                <c:pt idx="924">
                  <c:v>874.13727041639572</c:v>
                </c:pt>
                <c:pt idx="925">
                  <c:v>874.13727041639572</c:v>
                </c:pt>
                <c:pt idx="926">
                  <c:v>874.13727041639572</c:v>
                </c:pt>
                <c:pt idx="927">
                  <c:v>874.13727041639572</c:v>
                </c:pt>
                <c:pt idx="928">
                  <c:v>874.13727041639572</c:v>
                </c:pt>
                <c:pt idx="929">
                  <c:v>874.13727041639572</c:v>
                </c:pt>
                <c:pt idx="930">
                  <c:v>874.13727041639572</c:v>
                </c:pt>
                <c:pt idx="931">
                  <c:v>874.13727041639572</c:v>
                </c:pt>
                <c:pt idx="932">
                  <c:v>874.13727041639572</c:v>
                </c:pt>
                <c:pt idx="933">
                  <c:v>874.13727041639572</c:v>
                </c:pt>
                <c:pt idx="934">
                  <c:v>874.13727041639572</c:v>
                </c:pt>
                <c:pt idx="935">
                  <c:v>874.13727041639572</c:v>
                </c:pt>
                <c:pt idx="936">
                  <c:v>874.13727041639572</c:v>
                </c:pt>
                <c:pt idx="937">
                  <c:v>874.13727041639572</c:v>
                </c:pt>
                <c:pt idx="938">
                  <c:v>874.13727041639572</c:v>
                </c:pt>
                <c:pt idx="939">
                  <c:v>874.13727041639572</c:v>
                </c:pt>
                <c:pt idx="940">
                  <c:v>874.13727041639572</c:v>
                </c:pt>
                <c:pt idx="941">
                  <c:v>874.13727041639572</c:v>
                </c:pt>
                <c:pt idx="942">
                  <c:v>874.13727041639572</c:v>
                </c:pt>
                <c:pt idx="943">
                  <c:v>874.13727041639572</c:v>
                </c:pt>
                <c:pt idx="944">
                  <c:v>874.13727041639572</c:v>
                </c:pt>
                <c:pt idx="945">
                  <c:v>874.13727041639572</c:v>
                </c:pt>
                <c:pt idx="946">
                  <c:v>874.13727041639572</c:v>
                </c:pt>
                <c:pt idx="947">
                  <c:v>874.13727041639572</c:v>
                </c:pt>
                <c:pt idx="948">
                  <c:v>874.13727041639572</c:v>
                </c:pt>
                <c:pt idx="949">
                  <c:v>874.13727041639572</c:v>
                </c:pt>
                <c:pt idx="950">
                  <c:v>874.13727041639572</c:v>
                </c:pt>
                <c:pt idx="951">
                  <c:v>874.13727041639572</c:v>
                </c:pt>
                <c:pt idx="952">
                  <c:v>874.13727041639572</c:v>
                </c:pt>
                <c:pt idx="953">
                  <c:v>874.13727041639572</c:v>
                </c:pt>
                <c:pt idx="954">
                  <c:v>874.13727041639572</c:v>
                </c:pt>
                <c:pt idx="955">
                  <c:v>874.13727041639572</c:v>
                </c:pt>
                <c:pt idx="956">
                  <c:v>874.13727041639572</c:v>
                </c:pt>
                <c:pt idx="957">
                  <c:v>874.13727041639572</c:v>
                </c:pt>
                <c:pt idx="958">
                  <c:v>874.13727041639572</c:v>
                </c:pt>
                <c:pt idx="959">
                  <c:v>874.13727041639572</c:v>
                </c:pt>
                <c:pt idx="960">
                  <c:v>874.13727041639572</c:v>
                </c:pt>
                <c:pt idx="961">
                  <c:v>874.13727041639572</c:v>
                </c:pt>
                <c:pt idx="962">
                  <c:v>874.13727041639572</c:v>
                </c:pt>
                <c:pt idx="963">
                  <c:v>874.13727041639572</c:v>
                </c:pt>
                <c:pt idx="964">
                  <c:v>874.13727041639572</c:v>
                </c:pt>
                <c:pt idx="965">
                  <c:v>874.13727041639572</c:v>
                </c:pt>
                <c:pt idx="966">
                  <c:v>874.13727041639572</c:v>
                </c:pt>
                <c:pt idx="967">
                  <c:v>874.13727041639572</c:v>
                </c:pt>
                <c:pt idx="968">
                  <c:v>874.13727041639572</c:v>
                </c:pt>
                <c:pt idx="969">
                  <c:v>874.13727041639572</c:v>
                </c:pt>
                <c:pt idx="970">
                  <c:v>874.13727041639572</c:v>
                </c:pt>
                <c:pt idx="971">
                  <c:v>874.13727041639572</c:v>
                </c:pt>
                <c:pt idx="972">
                  <c:v>874.13727041639572</c:v>
                </c:pt>
                <c:pt idx="973">
                  <c:v>874.13727041639572</c:v>
                </c:pt>
                <c:pt idx="974">
                  <c:v>874.13727041639572</c:v>
                </c:pt>
                <c:pt idx="975">
                  <c:v>874.13727041639572</c:v>
                </c:pt>
                <c:pt idx="976">
                  <c:v>874.13727041639572</c:v>
                </c:pt>
                <c:pt idx="977">
                  <c:v>874.13727041639572</c:v>
                </c:pt>
                <c:pt idx="978">
                  <c:v>874.13727041639572</c:v>
                </c:pt>
                <c:pt idx="979">
                  <c:v>874.13727041639572</c:v>
                </c:pt>
                <c:pt idx="980">
                  <c:v>874.13727041639572</c:v>
                </c:pt>
                <c:pt idx="981">
                  <c:v>874.13727041639572</c:v>
                </c:pt>
                <c:pt idx="982">
                  <c:v>874.13727041639572</c:v>
                </c:pt>
                <c:pt idx="983">
                  <c:v>874.13727041639572</c:v>
                </c:pt>
                <c:pt idx="984">
                  <c:v>874.13727041639572</c:v>
                </c:pt>
                <c:pt idx="985">
                  <c:v>874.13727041639572</c:v>
                </c:pt>
                <c:pt idx="986">
                  <c:v>874.13727041639572</c:v>
                </c:pt>
                <c:pt idx="987">
                  <c:v>874.13727041639572</c:v>
                </c:pt>
                <c:pt idx="988">
                  <c:v>874.13727041639572</c:v>
                </c:pt>
                <c:pt idx="989">
                  <c:v>874.13727041639572</c:v>
                </c:pt>
                <c:pt idx="990">
                  <c:v>874.13727041639572</c:v>
                </c:pt>
                <c:pt idx="991">
                  <c:v>874.13727041639572</c:v>
                </c:pt>
                <c:pt idx="992">
                  <c:v>874.13727041639572</c:v>
                </c:pt>
                <c:pt idx="993">
                  <c:v>874.13727041639572</c:v>
                </c:pt>
                <c:pt idx="994">
                  <c:v>874.13727041639572</c:v>
                </c:pt>
                <c:pt idx="995">
                  <c:v>874.13727041639572</c:v>
                </c:pt>
                <c:pt idx="996">
                  <c:v>874.13727041639572</c:v>
                </c:pt>
                <c:pt idx="997">
                  <c:v>874.13727041639572</c:v>
                </c:pt>
                <c:pt idx="998">
                  <c:v>874.13727041639572</c:v>
                </c:pt>
                <c:pt idx="999">
                  <c:v>874.13727041639572</c:v>
                </c:pt>
                <c:pt idx="1000">
                  <c:v>874.13727041639572</c:v>
                </c:pt>
              </c:numCache>
            </c:numRef>
          </c:xVal>
          <c:yVal>
            <c:numRef>
              <c:f>Calculs!$K$4:$K$1004</c:f>
              <c:numCache>
                <c:formatCode>0.00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1370.6112288098584</c:v>
                </c:pt>
                <c:pt idx="518">
                  <c:v>1371.26414623096</c:v>
                </c:pt>
                <c:pt idx="519">
                  <c:v>1371.818177831788</c:v>
                </c:pt>
                <c:pt idx="520">
                  <c:v>1372.2734488980361</c:v>
                </c:pt>
                <c:pt idx="521">
                  <c:v>1372.6300816103483</c:v>
                </c:pt>
                <c:pt idx="522">
                  <c:v>1372.888195507408</c:v>
                </c:pt>
                <c:pt idx="523">
                  <c:v>1373.0479079602799</c:v>
                </c:pt>
                <c:pt idx="524">
                  <c:v>1373.1093346555149</c:v>
                </c:pt>
                <c:pt idx="525">
                  <c:v>1373.0725900841969</c:v>
                </c:pt>
                <c:pt idx="526">
                  <c:v>1372.9377880338441</c:v>
                </c:pt>
                <c:pt idx="527">
                  <c:v>1372.7050420798976</c:v>
                </c:pt>
                <c:pt idx="528">
                  <c:v>1372.3744660734446</c:v>
                </c:pt>
                <c:pt idx="529">
                  <c:v>1371.946174621836</c:v>
                </c:pt>
                <c:pt idx="530">
                  <c:v>1371.4202835589724</c:v>
                </c:pt>
                <c:pt idx="531">
                  <c:v>1370.7969104022388</c:v>
                </c:pt>
                <c:pt idx="532">
                  <c:v>1370.0761747933545</c:v>
                </c:pt>
                <c:pt idx="533">
                  <c:v>1369.2581989207529</c:v>
                </c:pt>
                <c:pt idx="534">
                  <c:v>1368.3431079215018</c:v>
                </c:pt>
                <c:pt idx="535">
                  <c:v>1367.3310302611926</c:v>
                </c:pt>
                <c:pt idx="536">
                  <c:v>1366.2220980906491</c:v>
                </c:pt>
                <c:pt idx="537">
                  <c:v>1365.016447578719</c:v>
                </c:pt>
                <c:pt idx="538">
                  <c:v>1363.714219220793</c:v>
                </c:pt>
                <c:pt idx="539">
                  <c:v>1362.3155581230474</c:v>
                </c:pt>
                <c:pt idx="540">
                  <c:v>1360.8206142627012</c:v>
                </c:pt>
                <c:pt idx="541">
                  <c:v>1359.2295427248403</c:v>
                </c:pt>
                <c:pt idx="542">
                  <c:v>1357.5425039165602</c:v>
                </c:pt>
                <c:pt idx="543">
                  <c:v>1355.7596637593417</c:v>
                </c:pt>
                <c:pt idx="544">
                  <c:v>1353.8811938606818</c:v>
                </c:pt>
                <c:pt idx="545">
                  <c:v>1351.9072716660855</c:v>
                </c:pt>
                <c:pt idx="546">
                  <c:v>1349.8380805925585</c:v>
                </c:pt>
                <c:pt idx="547">
                  <c:v>1347.6738101447595</c:v>
                </c:pt>
                <c:pt idx="548">
                  <c:v>1345.4146560149584</c:v>
                </c:pt>
                <c:pt idx="549">
                  <c:v>1343.0608201679217</c:v>
                </c:pt>
                <c:pt idx="550">
                  <c:v>1340.6125109118054</c:v>
                </c:pt>
                <c:pt idx="551">
                  <c:v>1338.0699429560834</c:v>
                </c:pt>
                <c:pt idx="552">
                  <c:v>1335.4333374574881</c:v>
                </c:pt>
                <c:pt idx="553">
                  <c:v>1332.7029220548748</c:v>
                </c:pt>
                <c:pt idx="554">
                  <c:v>1329.878930893864</c:v>
                </c:pt>
                <c:pt idx="555">
                  <c:v>1326.9616046420508</c:v>
                </c:pt>
                <c:pt idx="556">
                  <c:v>1323.9511904955139</c:v>
                </c:pt>
                <c:pt idx="557">
                  <c:v>1320.8479421772972</c:v>
                </c:pt>
                <c:pt idx="558">
                  <c:v>1317.6521199284846</c:v>
                </c:pt>
                <c:pt idx="559">
                  <c:v>1314.3639904924314</c:v>
                </c:pt>
                <c:pt idx="560">
                  <c:v>1310.9838270926768</c:v>
                </c:pt>
                <c:pt idx="561">
                  <c:v>1307.5119094050085</c:v>
                </c:pt>
                <c:pt idx="562">
                  <c:v>1303.948523524115</c:v>
                </c:pt>
                <c:pt idx="563">
                  <c:v>1300.2939619252243</c:v>
                </c:pt>
                <c:pt idx="564">
                  <c:v>1296.5485234210878</c:v>
                </c:pt>
                <c:pt idx="565">
                  <c:v>1292.7125131146452</c:v>
                </c:pt>
                <c:pt idx="566">
                  <c:v>1288.7862423476711</c:v>
                </c:pt>
                <c:pt idx="567">
                  <c:v>1284.7700286456825</c:v>
                </c:pt>
                <c:pt idx="568">
                  <c:v>1280.664195659363</c:v>
                </c:pt>
                <c:pt idx="569">
                  <c:v>1276.4690731027372</c:v>
                </c:pt>
                <c:pt idx="570">
                  <c:v>1272.1849966883112</c:v>
                </c:pt>
                <c:pt idx="571">
                  <c:v>1267.8123080593812</c:v>
                </c:pt>
                <c:pt idx="572">
                  <c:v>1263.3513547196883</c:v>
                </c:pt>
                <c:pt idx="573">
                  <c:v>1258.8024899605982</c:v>
                </c:pt>
                <c:pt idx="574">
                  <c:v>1254.1660727859564</c:v>
                </c:pt>
                <c:pt idx="575">
                  <c:v>1249.4424678347721</c:v>
                </c:pt>
                <c:pt idx="576">
                  <c:v>1244.6320453018657</c:v>
                </c:pt>
                <c:pt idx="577">
                  <c:v>1239.7351808566102</c:v>
                </c:pt>
                <c:pt idx="578">
                  <c:v>1234.7522555598871</c:v>
                </c:pt>
                <c:pt idx="579">
                  <c:v>1229.6836557793692</c:v>
                </c:pt>
                <c:pt idx="580">
                  <c:v>1224.5297731032415</c:v>
                </c:pt>
                <c:pt idx="581">
                  <c:v>1219.2910042524577</c:v>
                </c:pt>
                <c:pt idx="582">
                  <c:v>1213.9677509916312</c:v>
                </c:pt>
                <c:pt idx="583">
                  <c:v>1208.5604200386517</c:v>
                </c:pt>
                <c:pt idx="584">
                  <c:v>1203.0694229731148</c:v>
                </c:pt>
                <c:pt idx="585">
                  <c:v>1197.4951761436473</c:v>
                </c:pt>
                <c:pt idx="586">
                  <c:v>1191.8381005742096</c:v>
                </c:pt>
                <c:pt idx="587">
                  <c:v>1186.0986218694502</c:v>
                </c:pt>
                <c:pt idx="588">
                  <c:v>1180.277170119188</c:v>
                </c:pt>
                <c:pt idx="589">
                  <c:v>1174.3741798020908</c:v>
                </c:pt>
                <c:pt idx="590">
                  <c:v>1168.3900896886209</c:v>
                </c:pt>
                <c:pt idx="591">
                  <c:v>1162.3253427433131</c:v>
                </c:pt>
                <c:pt idx="592">
                  <c:v>1156.1803860264476</c:v>
                </c:pt>
                <c:pt idx="593">
                  <c:v>1149.9556705951838</c:v>
                </c:pt>
                <c:pt idx="594">
                  <c:v>1143.6516514042094</c:v>
                </c:pt>
                <c:pt idx="595">
                  <c:v>1137.2687872059689</c:v>
                </c:pt>
                <c:pt idx="596">
                  <c:v>1130.8075404505255</c:v>
                </c:pt>
                <c:pt idx="597">
                  <c:v>1124.2683771851114</c:v>
                </c:pt>
                <c:pt idx="598">
                  <c:v>1117.6517669534212</c:v>
                </c:pt>
                <c:pt idx="599">
                  <c:v>1110.9581826947012</c:v>
                </c:pt>
                <c:pt idx="600">
                  <c:v>1104.188100642685</c:v>
                </c:pt>
                <c:pt idx="601">
                  <c:v>1097.3420002244245</c:v>
                </c:pt>
                <c:pt idx="602">
                  <c:v>1090.4203639590676</c:v>
                </c:pt>
                <c:pt idx="603">
                  <c:v>1083.4236773566265</c:v>
                </c:pt>
                <c:pt idx="604">
                  <c:v>1076.3524288167871</c:v>
                </c:pt>
                <c:pt idx="605">
                  <c:v>1069.2071095277993</c:v>
                </c:pt>
                <c:pt idx="606">
                  <c:v>1061.988213365498</c:v>
                </c:pt>
                <c:pt idx="607">
                  <c:v>1054.6962367924948</c:v>
                </c:pt>
                <c:pt idx="608">
                  <c:v>1047.3316787575818</c:v>
                </c:pt>
                <c:pt idx="609">
                  <c:v>1039.895040595391</c:v>
                </c:pt>
                <c:pt idx="610">
                  <c:v>1032.3868259263479</c:v>
                </c:pt>
                <c:pt idx="611">
                  <c:v>1024.807540556958</c:v>
                </c:pt>
                <c:pt idx="612">
                  <c:v>1017.1576923804653</c:v>
                </c:pt>
                <c:pt idx="613">
                  <c:v>1009.4377912779198</c:v>
                </c:pt>
                <c:pt idx="614">
                  <c:v>1001.6483490196896</c:v>
                </c:pt>
                <c:pt idx="615">
                  <c:v>993.78987916745302</c:v>
                </c:pt>
                <c:pt idx="616">
                  <c:v>985.862896976706</c:v>
                </c:pt>
                <c:pt idx="617">
                  <c:v>977.86791929981678</c:v>
                </c:pt>
                <c:pt idx="618">
                  <c:v>969.80546448966152</c:v>
                </c:pt>
                <c:pt idx="619">
                  <c:v>961.67605230387187</c:v>
                </c:pt>
                <c:pt idx="620">
                  <c:v>953.48020380972514</c:v>
                </c:pt>
                <c:pt idx="621">
                  <c:v>945.21844128970724</c:v>
                </c:pt>
                <c:pt idx="622">
                  <c:v>936.89128814777678</c:v>
                </c:pt>
                <c:pt idx="623">
                  <c:v>928.49926881635884</c:v>
                </c:pt>
                <c:pt idx="624">
                  <c:v>920.04290866409497</c:v>
                </c:pt>
                <c:pt idx="625">
                  <c:v>911.52273390437597</c:v>
                </c:pt>
                <c:pt idx="626">
                  <c:v>902.93927150468278</c:v>
                </c:pt>
                <c:pt idx="627">
                  <c:v>894.29304909675966</c:v>
                </c:pt>
                <c:pt idx="628">
                  <c:v>885.58459488764345</c:v>
                </c:pt>
                <c:pt idx="629">
                  <c:v>876.8144375715716</c:v>
                </c:pt>
                <c:pt idx="630">
                  <c:v>867.983106242791</c:v>
                </c:pt>
                <c:pt idx="631">
                  <c:v>859.09113030928791</c:v>
                </c:pt>
                <c:pt idx="632">
                  <c:v>850.13903940746013</c:v>
                </c:pt>
                <c:pt idx="633">
                  <c:v>841.12736331774954</c:v>
                </c:pt>
                <c:pt idx="634">
                  <c:v>832.05663188125482</c:v>
                </c:pt>
                <c:pt idx="635">
                  <c:v>822.92737491734067</c:v>
                </c:pt>
                <c:pt idx="636">
                  <c:v>813.74012214226127</c:v>
                </c:pt>
                <c:pt idx="637">
                  <c:v>804.49540308881308</c:v>
                </c:pt>
                <c:pt idx="638">
                  <c:v>795.19374702703306</c:v>
                </c:pt>
                <c:pt idx="639">
                  <c:v>785.83568288595575</c:v>
                </c:pt>
                <c:pt idx="640">
                  <c:v>776.42173917644368</c:v>
                </c:pt>
                <c:pt idx="641">
                  <c:v>766.952443915103</c:v>
                </c:pt>
                <c:pt idx="642">
                  <c:v>757.4283245492968</c:v>
                </c:pt>
                <c:pt idx="643">
                  <c:v>747.84990788326706</c:v>
                </c:pt>
                <c:pt idx="644">
                  <c:v>738.21772000537624</c:v>
                </c:pt>
                <c:pt idx="645">
                  <c:v>728.53228621647702</c:v>
                </c:pt>
                <c:pt idx="646">
                  <c:v>718.79413095942061</c:v>
                </c:pt>
                <c:pt idx="647">
                  <c:v>709.00377774971059</c:v>
                </c:pt>
                <c:pt idx="648">
                  <c:v>699.16174910731024</c:v>
                </c:pt>
                <c:pt idx="649">
                  <c:v>689.26856648961063</c:v>
                </c:pt>
                <c:pt idx="650">
                  <c:v>679.32475022556434</c:v>
                </c:pt>
                <c:pt idx="651">
                  <c:v>669.33081945099138</c:v>
                </c:pt>
                <c:pt idx="652">
                  <c:v>659.28729204506124</c:v>
                </c:pt>
                <c:pt idx="653">
                  <c:v>649.19468456795539</c:v>
                </c:pt>
                <c:pt idx="654">
                  <c:v>639.05351219971351</c:v>
                </c:pt>
                <c:pt idx="655">
                  <c:v>628.86428868026644</c:v>
                </c:pt>
                <c:pt idx="656">
                  <c:v>618.6275262506573</c:v>
                </c:pt>
                <c:pt idx="657">
                  <c:v>608.34373559545293</c:v>
                </c:pt>
                <c:pt idx="658">
                  <c:v>598.01342578634603</c:v>
                </c:pt>
                <c:pt idx="659">
                  <c:v>587.63710422694885</c:v>
                </c:pt>
                <c:pt idx="660">
                  <c:v>577.21527659877711</c:v>
                </c:pt>
                <c:pt idx="661">
                  <c:v>566.74844680842432</c:v>
                </c:pt>
                <c:pt idx="662">
                  <c:v>556.23711693592452</c:v>
                </c:pt>
                <c:pt idx="663">
                  <c:v>545.6817871843017</c:v>
                </c:pt>
                <c:pt idx="664">
                  <c:v>535.08295583030281</c:v>
                </c:pt>
                <c:pt idx="665">
                  <c:v>524.44111917631221</c:v>
                </c:pt>
                <c:pt idx="666">
                  <c:v>513.75677150344313</c:v>
                </c:pt>
                <c:pt idx="667">
                  <c:v>503.03040502580313</c:v>
                </c:pt>
                <c:pt idx="668">
                  <c:v>492.26250984592798</c:v>
                </c:pt>
                <c:pt idx="669">
                  <c:v>481.45357391137969</c:v>
                </c:pt>
                <c:pt idx="670">
                  <c:v>470.60408297250325</c:v>
                </c:pt>
                <c:pt idx="671">
                  <c:v>459.71452054133596</c:v>
                </c:pt>
                <c:pt idx="672">
                  <c:v>448.78536785166324</c:v>
                </c:pt>
                <c:pt idx="673">
                  <c:v>437.81710382021413</c:v>
                </c:pt>
                <c:pt idx="674">
                  <c:v>426.81020500898978</c:v>
                </c:pt>
                <c:pt idx="675">
                  <c:v>415.7651455887169</c:v>
                </c:pt>
                <c:pt idx="676">
                  <c:v>404.68239730341884</c:v>
                </c:pt>
                <c:pt idx="677">
                  <c:v>393.56242943609601</c:v>
                </c:pt>
                <c:pt idx="678">
                  <c:v>382.40570877550687</c:v>
                </c:pt>
                <c:pt idx="679">
                  <c:v>371.21269958404099</c:v>
                </c:pt>
                <c:pt idx="680">
                  <c:v>359.98386356667481</c:v>
                </c:pt>
                <c:pt idx="681">
                  <c:v>348.71965984100086</c:v>
                </c:pt>
                <c:pt idx="682">
                  <c:v>337.42054490832027</c:v>
                </c:pt>
                <c:pt idx="683">
                  <c:v>326.08697262578909</c:v>
                </c:pt>
                <c:pt idx="684">
                  <c:v>314.7193941796076</c:v>
                </c:pt>
                <c:pt idx="685">
                  <c:v>303.31825805924251</c:v>
                </c:pt>
                <c:pt idx="686">
                  <c:v>291.88401003267103</c:v>
                </c:pt>
                <c:pt idx="687">
                  <c:v>280.41709312263566</c:v>
                </c:pt>
                <c:pt idx="688">
                  <c:v>268.91794758389898</c:v>
                </c:pt>
                <c:pt idx="689">
                  <c:v>257.38701088148628</c:v>
                </c:pt>
                <c:pt idx="690">
                  <c:v>245.82471766990511</c:v>
                </c:pt>
                <c:pt idx="691">
                  <c:v>234.23149977332957</c:v>
                </c:pt>
                <c:pt idx="692">
                  <c:v>222.6077861667373</c:v>
                </c:pt>
                <c:pt idx="693">
                  <c:v>210.9540029579872</c:v>
                </c:pt>
                <c:pt idx="694">
                  <c:v>199.27057337082567</c:v>
                </c:pt>
                <c:pt idx="695">
                  <c:v>187.55791772880872</c:v>
                </c:pt>
                <c:pt idx="696">
                  <c:v>175.8164534401275</c:v>
                </c:pt>
                <c:pt idx="697">
                  <c:v>164.04659498332472</c:v>
                </c:pt>
                <c:pt idx="698">
                  <c:v>152.24875389388893</c:v>
                </c:pt>
                <c:pt idx="699">
                  <c:v>140.423338751714</c:v>
                </c:pt>
                <c:pt idx="700">
                  <c:v>128.57075516941072</c:v>
                </c:pt>
                <c:pt idx="701">
                  <c:v>116.69140578145765</c:v>
                </c:pt>
                <c:pt idx="702">
                  <c:v>104.78569023417785</c:v>
                </c:pt>
                <c:pt idx="703">
                  <c:v>92.854005176528645</c:v>
                </c:pt>
                <c:pt idx="704">
                  <c:v>80.896744251690905</c:v>
                </c:pt>
                <c:pt idx="705">
                  <c:v>68.91429808944487</c:v>
                </c:pt>
                <c:pt idx="706">
                  <c:v>56.907054299319029</c:v>
                </c:pt>
                <c:pt idx="707">
                  <c:v>44.875397464498832</c:v>
                </c:pt>
                <c:pt idx="708">
                  <c:v>32.819709136481897</c:v>
                </c:pt>
                <c:pt idx="709">
                  <c:v>20.740367830466383</c:v>
                </c:pt>
                <c:pt idx="710">
                  <c:v>8.6377490214591433</c:v>
                </c:pt>
                <c:pt idx="711">
                  <c:v>-3.4877748589096171</c:v>
                </c:pt>
                <c:pt idx="712">
                  <c:v>-3.4999117537742355</c:v>
                </c:pt>
                <c:pt idx="713">
                  <c:v>-3.5120486709904264</c:v>
                </c:pt>
                <c:pt idx="714">
                  <c:v>-3.5241856105578258</c:v>
                </c:pt>
                <c:pt idx="715">
                  <c:v>-3.5363225724760694</c:v>
                </c:pt>
                <c:pt idx="716">
                  <c:v>-3.5484595567447932</c:v>
                </c:pt>
                <c:pt idx="717">
                  <c:v>-3.5605965633636329</c:v>
                </c:pt>
                <c:pt idx="718">
                  <c:v>-3.572733592332225</c:v>
                </c:pt>
                <c:pt idx="719">
                  <c:v>-3.5848706436502051</c:v>
                </c:pt>
                <c:pt idx="720">
                  <c:v>-3.5970077173172093</c:v>
                </c:pt>
                <c:pt idx="721">
                  <c:v>-3.6091448133328732</c:v>
                </c:pt>
                <c:pt idx="722">
                  <c:v>-3.6212819316968332</c:v>
                </c:pt>
                <c:pt idx="723">
                  <c:v>-3.6334190724087252</c:v>
                </c:pt>
                <c:pt idx="724">
                  <c:v>-3.645556235468185</c:v>
                </c:pt>
                <c:pt idx="725">
                  <c:v>-3.6576934208748484</c:v>
                </c:pt>
                <c:pt idx="726">
                  <c:v>-3.6698306286283513</c:v>
                </c:pt>
                <c:pt idx="727">
                  <c:v>-3.68196785872833</c:v>
                </c:pt>
                <c:pt idx="728">
                  <c:v>-3.6941051111744203</c:v>
                </c:pt>
                <c:pt idx="729">
                  <c:v>-3.7062423859662585</c:v>
                </c:pt>
                <c:pt idx="730">
                  <c:v>-3.7183796831034805</c:v>
                </c:pt>
                <c:pt idx="731">
                  <c:v>-3.7305170025857222</c:v>
                </c:pt>
                <c:pt idx="732">
                  <c:v>-3.7426543444126192</c:v>
                </c:pt>
                <c:pt idx="733">
                  <c:v>-3.7547917085838081</c:v>
                </c:pt>
                <c:pt idx="734">
                  <c:v>-3.7669290950989245</c:v>
                </c:pt>
                <c:pt idx="735">
                  <c:v>-3.7790665039576044</c:v>
                </c:pt>
                <c:pt idx="736">
                  <c:v>-3.791203935159484</c:v>
                </c:pt>
                <c:pt idx="737">
                  <c:v>-3.8033413887041991</c:v>
                </c:pt>
                <c:pt idx="738">
                  <c:v>-3.8154788645913857</c:v>
                </c:pt>
                <c:pt idx="739">
                  <c:v>-3.8276163628206801</c:v>
                </c:pt>
                <c:pt idx="740">
                  <c:v>-3.839753883391718</c:v>
                </c:pt>
                <c:pt idx="741">
                  <c:v>-3.8518914263041353</c:v>
                </c:pt>
                <c:pt idx="742">
                  <c:v>-3.8640289915575683</c:v>
                </c:pt>
                <c:pt idx="743">
                  <c:v>-3.8761665791516529</c:v>
                </c:pt>
                <c:pt idx="744">
                  <c:v>-3.8883041890860253</c:v>
                </c:pt>
                <c:pt idx="745">
                  <c:v>-3.9004418213603214</c:v>
                </c:pt>
                <c:pt idx="746">
                  <c:v>-3.912579475974177</c:v>
                </c:pt>
                <c:pt idx="747">
                  <c:v>-3.9247171529272284</c:v>
                </c:pt>
                <c:pt idx="748">
                  <c:v>-3.9368548522191116</c:v>
                </c:pt>
                <c:pt idx="749">
                  <c:v>-3.9489925738494627</c:v>
                </c:pt>
                <c:pt idx="750">
                  <c:v>-3.9611303178179176</c:v>
                </c:pt>
                <c:pt idx="751">
                  <c:v>-3.9732680841241126</c:v>
                </c:pt>
                <c:pt idx="752">
                  <c:v>-3.9854058727676831</c:v>
                </c:pt>
                <c:pt idx="753">
                  <c:v>-3.9975436837482659</c:v>
                </c:pt>
                <c:pt idx="754">
                  <c:v>-4.0096815170654967</c:v>
                </c:pt>
                <c:pt idx="755">
                  <c:v>-4.0218193727190119</c:v>
                </c:pt>
                <c:pt idx="756">
                  <c:v>-4.0339572507084469</c:v>
                </c:pt>
                <c:pt idx="757">
                  <c:v>-4.0460951510334384</c:v>
                </c:pt>
                <c:pt idx="758">
                  <c:v>-4.0582330736936223</c:v>
                </c:pt>
                <c:pt idx="759">
                  <c:v>-4.0703710186886344</c:v>
                </c:pt>
                <c:pt idx="760">
                  <c:v>-4.0825089860181105</c:v>
                </c:pt>
                <c:pt idx="761">
                  <c:v>-4.0946469756816875</c:v>
                </c:pt>
                <c:pt idx="762">
                  <c:v>-4.106784987679001</c:v>
                </c:pt>
                <c:pt idx="763">
                  <c:v>-4.1189230220096871</c:v>
                </c:pt>
                <c:pt idx="764">
                  <c:v>-4.1310610786733815</c:v>
                </c:pt>
                <c:pt idx="765">
                  <c:v>-4.1431991576697209</c:v>
                </c:pt>
                <c:pt idx="766">
                  <c:v>-4.1553372589983413</c:v>
                </c:pt>
                <c:pt idx="767">
                  <c:v>-4.1674753826588784</c:v>
                </c:pt>
                <c:pt idx="768">
                  <c:v>-4.179613528650969</c:v>
                </c:pt>
                <c:pt idx="769">
                  <c:v>-4.1917516969742481</c:v>
                </c:pt>
                <c:pt idx="770">
                  <c:v>-4.2038898876283533</c:v>
                </c:pt>
                <c:pt idx="771">
                  <c:v>-4.2160281006129194</c:v>
                </c:pt>
                <c:pt idx="772">
                  <c:v>-4.2281663359275834</c:v>
                </c:pt>
                <c:pt idx="773">
                  <c:v>-4.240304593571981</c:v>
                </c:pt>
                <c:pt idx="774">
                  <c:v>-4.252442873545748</c:v>
                </c:pt>
                <c:pt idx="775">
                  <c:v>-4.2645811758485204</c:v>
                </c:pt>
                <c:pt idx="776">
                  <c:v>-4.2767195004799348</c:v>
                </c:pt>
                <c:pt idx="777">
                  <c:v>-4.2888578474396271</c:v>
                </c:pt>
                <c:pt idx="778">
                  <c:v>-4.300996216727234</c:v>
                </c:pt>
                <c:pt idx="779">
                  <c:v>-4.3131346083423914</c:v>
                </c:pt>
                <c:pt idx="780">
                  <c:v>-4.3252730222847351</c:v>
                </c:pt>
                <c:pt idx="781">
                  <c:v>-4.337411458553901</c:v>
                </c:pt>
                <c:pt idx="782">
                  <c:v>-4.3495499171495258</c:v>
                </c:pt>
                <c:pt idx="783">
                  <c:v>-4.3616883980712453</c:v>
                </c:pt>
                <c:pt idx="784">
                  <c:v>-4.3738269013186954</c:v>
                </c:pt>
                <c:pt idx="785">
                  <c:v>-4.3859654268915129</c:v>
                </c:pt>
                <c:pt idx="786">
                  <c:v>-4.3981039747893336</c:v>
                </c:pt>
                <c:pt idx="787">
                  <c:v>-4.4102425450117941</c:v>
                </c:pt>
                <c:pt idx="788">
                  <c:v>-4.4223811375585296</c:v>
                </c:pt>
                <c:pt idx="789">
                  <c:v>-4.4345197524291775</c:v>
                </c:pt>
                <c:pt idx="790">
                  <c:v>-4.4466583896233729</c:v>
                </c:pt>
                <c:pt idx="791">
                  <c:v>-4.4587970491407525</c:v>
                </c:pt>
                <c:pt idx="792">
                  <c:v>-4.4709357309809521</c:v>
                </c:pt>
                <c:pt idx="793">
                  <c:v>-4.4830744351436085</c:v>
                </c:pt>
                <c:pt idx="794">
                  <c:v>-4.4952131616283575</c:v>
                </c:pt>
                <c:pt idx="795">
                  <c:v>-4.507351910434835</c:v>
                </c:pt>
                <c:pt idx="796">
                  <c:v>-4.5194906815626776</c:v>
                </c:pt>
                <c:pt idx="797">
                  <c:v>-4.5316294750115214</c:v>
                </c:pt>
                <c:pt idx="798">
                  <c:v>-4.543768290781002</c:v>
                </c:pt>
                <c:pt idx="799">
                  <c:v>-4.5559071288707562</c:v>
                </c:pt>
                <c:pt idx="800">
                  <c:v>-4.5680459892804199</c:v>
                </c:pt>
                <c:pt idx="801">
                  <c:v>-4.5801848720096299</c:v>
                </c:pt>
                <c:pt idx="802">
                  <c:v>-4.5923237770580219</c:v>
                </c:pt>
                <c:pt idx="803">
                  <c:v>-4.6044627044252318</c:v>
                </c:pt>
                <c:pt idx="804">
                  <c:v>-4.6166016541108963</c:v>
                </c:pt>
                <c:pt idx="805">
                  <c:v>-4.6287406261146513</c:v>
                </c:pt>
                <c:pt idx="806">
                  <c:v>-4.6408796204361327</c:v>
                </c:pt>
                <c:pt idx="807">
                  <c:v>-4.6530186370749771</c:v>
                </c:pt>
                <c:pt idx="808">
                  <c:v>-4.6651576760308213</c:v>
                </c:pt>
                <c:pt idx="809">
                  <c:v>-4.6772967373033012</c:v>
                </c:pt>
                <c:pt idx="810">
                  <c:v>-4.6894358208920526</c:v>
                </c:pt>
                <c:pt idx="811">
                  <c:v>-4.7015749267967122</c:v>
                </c:pt>
                <c:pt idx="812">
                  <c:v>-4.7137140550169159</c:v>
                </c:pt>
                <c:pt idx="813">
                  <c:v>-4.7258532055522995</c:v>
                </c:pt>
                <c:pt idx="814">
                  <c:v>-4.7379923784024998</c:v>
                </c:pt>
                <c:pt idx="815">
                  <c:v>-4.7501315735671525</c:v>
                </c:pt>
                <c:pt idx="816">
                  <c:v>-4.7622707910458946</c:v>
                </c:pt>
                <c:pt idx="817">
                  <c:v>-4.7744100308383626</c:v>
                </c:pt>
                <c:pt idx="818">
                  <c:v>-4.7865492929441915</c:v>
                </c:pt>
                <c:pt idx="819">
                  <c:v>-4.7986885773630181</c:v>
                </c:pt>
                <c:pt idx="820">
                  <c:v>-4.8108278840944791</c:v>
                </c:pt>
                <c:pt idx="821">
                  <c:v>-4.8229672131382104</c:v>
                </c:pt>
                <c:pt idx="822">
                  <c:v>-4.8351065644938487</c:v>
                </c:pt>
                <c:pt idx="823">
                  <c:v>-4.8472459381610298</c:v>
                </c:pt>
                <c:pt idx="824">
                  <c:v>-4.8593853341393896</c:v>
                </c:pt>
                <c:pt idx="825">
                  <c:v>-4.8715247524285648</c:v>
                </c:pt>
                <c:pt idx="826">
                  <c:v>-4.8836641930281921</c:v>
                </c:pt>
                <c:pt idx="827">
                  <c:v>-4.8958036559379066</c:v>
                </c:pt>
                <c:pt idx="828">
                  <c:v>-4.9079431411573458</c:v>
                </c:pt>
                <c:pt idx="829">
                  <c:v>-4.9200826486861455</c:v>
                </c:pt>
                <c:pt idx="830">
                  <c:v>-4.9322221785239417</c:v>
                </c:pt>
                <c:pt idx="831">
                  <c:v>-4.9443617306703711</c:v>
                </c:pt>
                <c:pt idx="832">
                  <c:v>-4.9565013051250695</c:v>
                </c:pt>
                <c:pt idx="833">
                  <c:v>-4.9686409018876736</c:v>
                </c:pt>
                <c:pt idx="834">
                  <c:v>-4.9807805209578193</c:v>
                </c:pt>
                <c:pt idx="835">
                  <c:v>-4.9929201623351434</c:v>
                </c:pt>
                <c:pt idx="836">
                  <c:v>-5.0050598260192825</c:v>
                </c:pt>
                <c:pt idx="837">
                  <c:v>-5.0171995120098716</c:v>
                </c:pt>
                <c:pt idx="838">
                  <c:v>-5.0293392203065483</c:v>
                </c:pt>
                <c:pt idx="839">
                  <c:v>-5.0414789509089486</c:v>
                </c:pt>
                <c:pt idx="840">
                  <c:v>-5.0536187038167082</c:v>
                </c:pt>
                <c:pt idx="841">
                  <c:v>-5.0657584790294639</c:v>
                </c:pt>
                <c:pt idx="842">
                  <c:v>-5.0778982765468523</c:v>
                </c:pt>
                <c:pt idx="843">
                  <c:v>-5.0900380963685095</c:v>
                </c:pt>
                <c:pt idx="844">
                  <c:v>-5.1021779384940711</c:v>
                </c:pt>
                <c:pt idx="845">
                  <c:v>-5.114317802923174</c:v>
                </c:pt>
                <c:pt idx="846">
                  <c:v>-5.1264576896554548</c:v>
                </c:pt>
                <c:pt idx="847">
                  <c:v>-5.1385975986905494</c:v>
                </c:pt>
                <c:pt idx="848">
                  <c:v>-5.1507375300280946</c:v>
                </c:pt>
                <c:pt idx="849">
                  <c:v>-5.1628774836677263</c:v>
                </c:pt>
                <c:pt idx="850">
                  <c:v>-5.175017459609081</c:v>
                </c:pt>
                <c:pt idx="851">
                  <c:v>-5.1871574578517947</c:v>
                </c:pt>
                <c:pt idx="852">
                  <c:v>-5.1992974783955042</c:v>
                </c:pt>
                <c:pt idx="853">
                  <c:v>-5.211437521239846</c:v>
                </c:pt>
                <c:pt idx="854">
                  <c:v>-5.2235775863844562</c:v>
                </c:pt>
                <c:pt idx="855">
                  <c:v>-5.2357176738289706</c:v>
                </c:pt>
                <c:pt idx="856">
                  <c:v>-5.2478577835730267</c:v>
                </c:pt>
                <c:pt idx="857">
                  <c:v>-5.2599979156162595</c:v>
                </c:pt>
                <c:pt idx="858">
                  <c:v>-5.2721380699583067</c:v>
                </c:pt>
                <c:pt idx="859">
                  <c:v>-5.2842782465988041</c:v>
                </c:pt>
                <c:pt idx="860">
                  <c:v>-5.2964184455373875</c:v>
                </c:pt>
                <c:pt idx="861">
                  <c:v>-5.3085586667736937</c:v>
                </c:pt>
                <c:pt idx="862">
                  <c:v>-5.3206989103073594</c:v>
                </c:pt>
                <c:pt idx="863">
                  <c:v>-5.3328391761380214</c:v>
                </c:pt>
                <c:pt idx="864">
                  <c:v>-5.3449794642653146</c:v>
                </c:pt>
                <c:pt idx="865">
                  <c:v>-5.3571197746888766</c:v>
                </c:pt>
                <c:pt idx="866">
                  <c:v>-5.3692601074083433</c:v>
                </c:pt>
                <c:pt idx="867">
                  <c:v>-5.3814004624233513</c:v>
                </c:pt>
                <c:pt idx="868">
                  <c:v>-5.3935408397335367</c:v>
                </c:pt>
                <c:pt idx="869">
                  <c:v>-5.4056812393385361</c:v>
                </c:pt>
                <c:pt idx="870">
                  <c:v>-5.4178216612379861</c:v>
                </c:pt>
                <c:pt idx="871">
                  <c:v>-5.4299621054315228</c:v>
                </c:pt>
                <c:pt idx="872">
                  <c:v>-5.4421025719187828</c:v>
                </c:pt>
                <c:pt idx="873">
                  <c:v>-5.4542430606994028</c:v>
                </c:pt>
                <c:pt idx="874">
                  <c:v>-5.4663835717730187</c:v>
                </c:pt>
                <c:pt idx="875">
                  <c:v>-5.4785241051392672</c:v>
                </c:pt>
                <c:pt idx="876">
                  <c:v>-5.4906646607977843</c:v>
                </c:pt>
                <c:pt idx="877">
                  <c:v>-5.5028052387482065</c:v>
                </c:pt>
                <c:pt idx="878">
                  <c:v>-5.5149458389901707</c:v>
                </c:pt>
                <c:pt idx="879">
                  <c:v>-5.5270864615233135</c:v>
                </c:pt>
                <c:pt idx="880">
                  <c:v>-5.5392271063472709</c:v>
                </c:pt>
                <c:pt idx="881">
                  <c:v>-5.5513677734616786</c:v>
                </c:pt>
                <c:pt idx="882">
                  <c:v>-5.5635084628661744</c:v>
                </c:pt>
                <c:pt idx="883">
                  <c:v>-5.575649174560394</c:v>
                </c:pt>
                <c:pt idx="884">
                  <c:v>-5.5877899085439742</c:v>
                </c:pt>
                <c:pt idx="885">
                  <c:v>-5.5999306648165508</c:v>
                </c:pt>
                <c:pt idx="886">
                  <c:v>-5.6120714433777605</c:v>
                </c:pt>
                <c:pt idx="887">
                  <c:v>-5.6242122442272402</c:v>
                </c:pt>
                <c:pt idx="888">
                  <c:v>-5.6363530673646256</c:v>
                </c:pt>
                <c:pt idx="889">
                  <c:v>-5.6484939127895544</c:v>
                </c:pt>
                <c:pt idx="890">
                  <c:v>-5.6606347805016615</c:v>
                </c:pt>
                <c:pt idx="891">
                  <c:v>-5.6727756705005845</c:v>
                </c:pt>
                <c:pt idx="892">
                  <c:v>-5.6849165827859593</c:v>
                </c:pt>
                <c:pt idx="893">
                  <c:v>-5.6970575173574227</c:v>
                </c:pt>
                <c:pt idx="894">
                  <c:v>-5.7091984742146114</c:v>
                </c:pt>
                <c:pt idx="895">
                  <c:v>-5.7213394533571611</c:v>
                </c:pt>
                <c:pt idx="896">
                  <c:v>-5.7334804547847087</c:v>
                </c:pt>
                <c:pt idx="897">
                  <c:v>-5.7456214784968909</c:v>
                </c:pt>
                <c:pt idx="898">
                  <c:v>-5.7577625244933444</c:v>
                </c:pt>
                <c:pt idx="899">
                  <c:v>-5.769903592773705</c:v>
                </c:pt>
                <c:pt idx="900">
                  <c:v>-5.7820446833376096</c:v>
                </c:pt>
                <c:pt idx="901">
                  <c:v>-5.7941857961846939</c:v>
                </c:pt>
                <c:pt idx="902">
                  <c:v>-5.8063269313145955</c:v>
                </c:pt>
                <c:pt idx="903">
                  <c:v>-5.8184680887269504</c:v>
                </c:pt>
                <c:pt idx="904">
                  <c:v>-5.8306092684213953</c:v>
                </c:pt>
                <c:pt idx="905">
                  <c:v>-5.8427504703975659</c:v>
                </c:pt>
                <c:pt idx="906">
                  <c:v>-5.8548916946551</c:v>
                </c:pt>
                <c:pt idx="907">
                  <c:v>-5.8670329411936333</c:v>
                </c:pt>
                <c:pt idx="908">
                  <c:v>-5.8791742100128026</c:v>
                </c:pt>
                <c:pt idx="909">
                  <c:v>-5.8913155011122438</c:v>
                </c:pt>
                <c:pt idx="910">
                  <c:v>-5.9034568144915944</c:v>
                </c:pt>
                <c:pt idx="911">
                  <c:v>-5.9155981501504904</c:v>
                </c:pt>
                <c:pt idx="912">
                  <c:v>-5.9277395080885684</c:v>
                </c:pt>
                <c:pt idx="913">
                  <c:v>-5.9398808883054652</c:v>
                </c:pt>
                <c:pt idx="914">
                  <c:v>-5.9520222908008167</c:v>
                </c:pt>
                <c:pt idx="915">
                  <c:v>-5.9641637155742595</c:v>
                </c:pt>
                <c:pt idx="916">
                  <c:v>-5.9763051626254304</c:v>
                </c:pt>
                <c:pt idx="917">
                  <c:v>-5.9884466319539662</c:v>
                </c:pt>
                <c:pt idx="918">
                  <c:v>-6.0005881235595036</c:v>
                </c:pt>
                <c:pt idx="919">
                  <c:v>-6.0127296374416783</c:v>
                </c:pt>
                <c:pt idx="920">
                  <c:v>-6.0248711736001272</c:v>
                </c:pt>
                <c:pt idx="921">
                  <c:v>-6.0370127320344871</c:v>
                </c:pt>
                <c:pt idx="922">
                  <c:v>-6.0491543127443945</c:v>
                </c:pt>
                <c:pt idx="923">
                  <c:v>-6.0612959157294863</c:v>
                </c:pt>
                <c:pt idx="924">
                  <c:v>-6.0734375409893984</c:v>
                </c:pt>
                <c:pt idx="925">
                  <c:v>-6.0855791885237673</c:v>
                </c:pt>
                <c:pt idx="926">
                  <c:v>-6.09772085833223</c:v>
                </c:pt>
                <c:pt idx="927">
                  <c:v>-6.1098625504144231</c:v>
                </c:pt>
                <c:pt idx="928">
                  <c:v>-6.1220042647699833</c:v>
                </c:pt>
                <c:pt idx="929">
                  <c:v>-6.1341460013985465</c:v>
                </c:pt>
                <c:pt idx="930">
                  <c:v>-6.1462877602997494</c:v>
                </c:pt>
                <c:pt idx="931">
                  <c:v>-6.1584295414732297</c:v>
                </c:pt>
                <c:pt idx="932">
                  <c:v>-6.1705713449186232</c:v>
                </c:pt>
                <c:pt idx="933">
                  <c:v>-6.1827131706355658</c:v>
                </c:pt>
                <c:pt idx="934">
                  <c:v>-6.194855018623695</c:v>
                </c:pt>
                <c:pt idx="935">
                  <c:v>-6.2069968888826477</c:v>
                </c:pt>
                <c:pt idx="936">
                  <c:v>-6.2191387814120596</c:v>
                </c:pt>
                <c:pt idx="937">
                  <c:v>-6.2312806962115674</c:v>
                </c:pt>
                <c:pt idx="938">
                  <c:v>-6.243422633280808</c:v>
                </c:pt>
                <c:pt idx="939">
                  <c:v>-6.2555645926194181</c:v>
                </c:pt>
                <c:pt idx="940">
                  <c:v>-6.2677065742270344</c:v>
                </c:pt>
                <c:pt idx="941">
                  <c:v>-6.2798485781032927</c:v>
                </c:pt>
                <c:pt idx="942">
                  <c:v>-6.2919906042478306</c:v>
                </c:pt>
                <c:pt idx="943">
                  <c:v>-6.3041326526602841</c:v>
                </c:pt>
                <c:pt idx="944">
                  <c:v>-6.3162747233402898</c:v>
                </c:pt>
                <c:pt idx="945">
                  <c:v>-6.3284168162874854</c:v>
                </c:pt>
                <c:pt idx="946">
                  <c:v>-6.3405589315015067</c:v>
                </c:pt>
                <c:pt idx="947">
                  <c:v>-6.3527010689819905</c:v>
                </c:pt>
                <c:pt idx="948">
                  <c:v>-6.3648432287285726</c:v>
                </c:pt>
                <c:pt idx="949">
                  <c:v>-6.3769854107408905</c:v>
                </c:pt>
                <c:pt idx="950">
                  <c:v>-6.3891276150185812</c:v>
                </c:pt>
                <c:pt idx="951">
                  <c:v>-6.4012698415612803</c:v>
                </c:pt>
                <c:pt idx="952">
                  <c:v>-6.4134120903686247</c:v>
                </c:pt>
                <c:pt idx="953">
                  <c:v>-6.4255543614402519</c:v>
                </c:pt>
                <c:pt idx="954">
                  <c:v>-6.4376966547757979</c:v>
                </c:pt>
                <c:pt idx="955">
                  <c:v>-6.4498389703748993</c:v>
                </c:pt>
                <c:pt idx="956">
                  <c:v>-6.4619813082371929</c:v>
                </c:pt>
                <c:pt idx="957">
                  <c:v>-6.4741236683623153</c:v>
                </c:pt>
                <c:pt idx="958">
                  <c:v>-6.4862660507499035</c:v>
                </c:pt>
                <c:pt idx="959">
                  <c:v>-6.498408455399594</c:v>
                </c:pt>
                <c:pt idx="960">
                  <c:v>-6.5105508823110227</c:v>
                </c:pt>
                <c:pt idx="961">
                  <c:v>-6.5226933314838274</c:v>
                </c:pt>
                <c:pt idx="962">
                  <c:v>-6.5348358029176437</c:v>
                </c:pt>
                <c:pt idx="963">
                  <c:v>-6.5469782966121093</c:v>
                </c:pt>
                <c:pt idx="964">
                  <c:v>-6.5591208125668601</c:v>
                </c:pt>
                <c:pt idx="965">
                  <c:v>-6.5712633507815337</c:v>
                </c:pt>
                <c:pt idx="966">
                  <c:v>-6.5834059112557659</c:v>
                </c:pt>
                <c:pt idx="967">
                  <c:v>-6.5955484939891944</c:v>
                </c:pt>
                <c:pt idx="968">
                  <c:v>-6.607691098981455</c:v>
                </c:pt>
                <c:pt idx="969">
                  <c:v>-6.6198337262321845</c:v>
                </c:pt>
                <c:pt idx="970">
                  <c:v>-6.6319763757410195</c:v>
                </c:pt>
                <c:pt idx="971">
                  <c:v>-6.6441190475075969</c:v>
                </c:pt>
                <c:pt idx="972">
                  <c:v>-6.6562617415315533</c:v>
                </c:pt>
                <c:pt idx="973">
                  <c:v>-6.6684044578125263</c:v>
                </c:pt>
                <c:pt idx="974">
                  <c:v>-6.6805471963501519</c:v>
                </c:pt>
                <c:pt idx="975">
                  <c:v>-6.6926899571440668</c:v>
                </c:pt>
                <c:pt idx="976">
                  <c:v>-6.7048327401939076</c:v>
                </c:pt>
                <c:pt idx="977">
                  <c:v>-6.7169755454993112</c:v>
                </c:pt>
                <c:pt idx="978">
                  <c:v>-6.7291183730599142</c:v>
                </c:pt>
                <c:pt idx="979">
                  <c:v>-6.7412612228753535</c:v>
                </c:pt>
                <c:pt idx="980">
                  <c:v>-6.7534040949452656</c:v>
                </c:pt>
                <c:pt idx="981">
                  <c:v>-6.7655469892692874</c:v>
                </c:pt>
                <c:pt idx="982">
                  <c:v>-6.7776899058470557</c:v>
                </c:pt>
                <c:pt idx="983">
                  <c:v>-6.789832844678207</c:v>
                </c:pt>
                <c:pt idx="984">
                  <c:v>-6.8019758057623783</c:v>
                </c:pt>
                <c:pt idx="985">
                  <c:v>-6.8141187890992061</c:v>
                </c:pt>
                <c:pt idx="986">
                  <c:v>-6.8262617946883273</c:v>
                </c:pt>
                <c:pt idx="987">
                  <c:v>-6.8384048225293785</c:v>
                </c:pt>
                <c:pt idx="988">
                  <c:v>-6.8505478726219966</c:v>
                </c:pt>
                <c:pt idx="989">
                  <c:v>-6.8626909449658182</c:v>
                </c:pt>
                <c:pt idx="990">
                  <c:v>-6.874834039560481</c:v>
                </c:pt>
                <c:pt idx="991">
                  <c:v>-6.8869771564056208</c:v>
                </c:pt>
                <c:pt idx="992">
                  <c:v>-6.8991202955008744</c:v>
                </c:pt>
                <c:pt idx="993">
                  <c:v>-6.9112634568458784</c:v>
                </c:pt>
                <c:pt idx="994">
                  <c:v>-6.9234066404402705</c:v>
                </c:pt>
                <c:pt idx="995">
                  <c:v>-6.9355498462836866</c:v>
                </c:pt>
                <c:pt idx="996">
                  <c:v>-6.9476930743757643</c:v>
                </c:pt>
                <c:pt idx="997">
                  <c:v>-6.9598363247161394</c:v>
                </c:pt>
                <c:pt idx="998">
                  <c:v>-6.9719795973044496</c:v>
                </c:pt>
                <c:pt idx="999">
                  <c:v>-6.9841228921403307</c:v>
                </c:pt>
                <c:pt idx="1000">
                  <c:v>-6.9962662092234202</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135.21693916290926</c:v>
                </c:pt>
                <c:pt idx="1">
                  <c:v>135.21693916290926</c:v>
                </c:pt>
                <c:pt idx="2">
                  <c:v>135.21693916290926</c:v>
                </c:pt>
                <c:pt idx="3">
                  <c:v>149.89010049698311</c:v>
                </c:pt>
                <c:pt idx="4">
                  <c:v>135.21693916290926</c:v>
                </c:pt>
                <c:pt idx="5">
                  <c:v>120.5437778288354</c:v>
                </c:pt>
                <c:pt idx="6">
                  <c:v>135.21693916290926</c:v>
                </c:pt>
              </c:numCache>
            </c:numRef>
          </c:xVal>
          <c:yVal>
            <c:numRef>
              <c:f>Trajecto!$C$141:$C$147</c:f>
              <c:numCache>
                <c:formatCode>0</c:formatCode>
                <c:ptCount val="7"/>
                <c:pt idx="0">
                  <c:v>586.92645336295391</c:v>
                </c:pt>
                <c:pt idx="1">
                  <c:v>146.73161334073848</c:v>
                </c:pt>
                <c:pt idx="2">
                  <c:v>0</c:v>
                </c:pt>
                <c:pt idx="3">
                  <c:v>29.346322668147696</c:v>
                </c:pt>
                <c:pt idx="4">
                  <c:v>0</c:v>
                </c:pt>
                <c:pt idx="5">
                  <c:v>29.346322668147696</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3.8178772664126285E-6</c:v>
                </c:pt>
                <c:pt idx="2">
                  <c:v>1.9070816121598966E-4</c:v>
                </c:pt>
                <c:pt idx="3">
                  <c:v>9.116418473183968E-4</c:v>
                </c:pt>
                <c:pt idx="4">
                  <c:v>2.5178378361195844E-3</c:v>
                </c:pt>
                <c:pt idx="5">
                  <c:v>5.3608671699687162E-3</c:v>
                </c:pt>
                <c:pt idx="6">
                  <c:v>9.7038179544608819E-3</c:v>
                </c:pt>
                <c:pt idx="7">
                  <c:v>1.5632240187048268E-2</c:v>
                </c:pt>
                <c:pt idx="8">
                  <c:v>2.3142821388612553E-2</c:v>
                </c:pt>
                <c:pt idx="9">
                  <c:v>3.2232230647339592E-2</c:v>
                </c:pt>
                <c:pt idx="10">
                  <c:v>4.289711868602309E-2</c:v>
                </c:pt>
                <c:pt idx="11">
                  <c:v>5.5134117930135174E-2</c:v>
                </c:pt>
                <c:pt idx="12">
                  <c:v>6.8939842576657862E-2</c:v>
                </c:pt>
                <c:pt idx="13">
                  <c:v>8.4310888663669578E-2</c:v>
                </c:pt>
                <c:pt idx="14">
                  <c:v>0.10124383414068046</c:v>
                </c:pt>
                <c:pt idx="15">
                  <c:v>0.1197352389397105</c:v>
                </c:pt>
                <c:pt idx="16">
                  <c:v>0.13978164504710419</c:v>
                </c:pt>
                <c:pt idx="17">
                  <c:v>0.16137957657607546</c:v>
                </c:pt>
                <c:pt idx="18">
                  <c:v>0.18452553983997649</c:v>
                </c:pt>
                <c:pt idx="19">
                  <c:v>0.20921602342628406</c:v>
                </c:pt>
                <c:pt idx="20">
                  <c:v>0.23544749827129691</c:v>
                </c:pt>
                <c:pt idx="21">
                  <c:v>0.26321641773553756</c:v>
                </c:pt>
                <c:pt idx="22">
                  <c:v>0.29251921767985195</c:v>
                </c:pt>
                <c:pt idx="23">
                  <c:v>0.32335231654220054</c:v>
                </c:pt>
                <c:pt idx="24">
                  <c:v>0.35571211541513326</c:v>
                </c:pt>
                <c:pt idx="25">
                  <c:v>0.38959499812394277</c:v>
                </c:pt>
                <c:pt idx="26">
                  <c:v>0.42499733130548806</c:v>
                </c:pt>
                <c:pt idx="27">
                  <c:v>0.46191546448768211</c:v>
                </c:pt>
                <c:pt idx="28">
                  <c:v>0.50034573016963635</c:v>
                </c:pt>
                <c:pt idx="29">
                  <c:v>0.540284443902455</c:v>
                </c:pt>
                <c:pt idx="30">
                  <c:v>0.58172790437067223</c:v>
                </c:pt>
                <c:pt idx="31">
                  <c:v>0.62467239347432468</c:v>
                </c:pt>
                <c:pt idx="32">
                  <c:v>0.66911417641165283</c:v>
                </c:pt>
                <c:pt idx="33">
                  <c:v>0.7150495017624231</c:v>
                </c:pt>
                <c:pt idx="34">
                  <c:v>0.76255852228951548</c:v>
                </c:pt>
                <c:pt idx="35">
                  <c:v>0.81172420709704107</c:v>
                </c:pt>
                <c:pt idx="36">
                  <c:v>0.86254837476277901</c:v>
                </c:pt>
                <c:pt idx="37">
                  <c:v>0.9150326965344393</c:v>
                </c:pt>
                <c:pt idx="38">
                  <c:v>0.96917866225531302</c:v>
                </c:pt>
                <c:pt idx="39">
                  <c:v>1.0249875889306583</c:v>
                </c:pt>
                <c:pt idx="40">
                  <c:v>1.0824606286116045</c:v>
                </c:pt>
                <c:pt idx="41">
                  <c:v>1.1415987756688137</c:v>
                </c:pt>
                <c:pt idx="42">
                  <c:v>1.2024028735187831</c:v>
                </c:pt>
                <c:pt idx="43">
                  <c:v>1.264873620857732</c:v>
                </c:pt>
                <c:pt idx="44">
                  <c:v>1.3290115774512652</c:v>
                </c:pt>
                <c:pt idx="45">
                  <c:v>1.3948171695222129</c:v>
                </c:pt>
                <c:pt idx="46">
                  <c:v>1.4622906947740939</c:v>
                </c:pt>
                <c:pt idx="47">
                  <c:v>1.531432327083357</c:v>
                </c:pt>
                <c:pt idx="48">
                  <c:v>1.602242120889857</c:v>
                </c:pt>
                <c:pt idx="49">
                  <c:v>1.6747200153118034</c:v>
                </c:pt>
                <c:pt idx="50">
                  <c:v>1.7488658380086148</c:v>
                </c:pt>
                <c:pt idx="51">
                  <c:v>1.8246798002508346</c:v>
                </c:pt>
                <c:pt idx="52">
                  <c:v>1.9021629958586159</c:v>
                </c:pt>
                <c:pt idx="53">
                  <c:v>1.9813169183064114</c:v>
                </c:pt>
                <c:pt idx="54">
                  <c:v>2.0621429733960515</c:v>
                </c:pt>
                <c:pt idx="55">
                  <c:v>2.14464248180263</c:v>
                </c:pt>
                <c:pt idx="56">
                  <c:v>2.2288166814847701</c:v>
                </c:pt>
                <c:pt idx="57">
                  <c:v>2.314666729969058</c:v>
                </c:pt>
                <c:pt idx="58">
                  <c:v>2.4021937065175645</c:v>
                </c:pt>
                <c:pt idx="59">
                  <c:v>2.4913986141865943</c:v>
                </c:pt>
                <c:pt idx="60">
                  <c:v>2.5822823817841098</c:v>
                </c:pt>
                <c:pt idx="61">
                  <c:v>2.6748458657326464</c:v>
                </c:pt>
                <c:pt idx="62">
                  <c:v>2.7690898518439733</c:v>
                </c:pt>
                <c:pt idx="63">
                  <c:v>2.8650150570112496</c:v>
                </c:pt>
                <c:pt idx="64">
                  <c:v>2.9626221308239526</c:v>
                </c:pt>
                <c:pt idx="65">
                  <c:v>3.0619116571104588</c:v>
                </c:pt>
                <c:pt idx="66">
                  <c:v>3.1628841554127587</c:v>
                </c:pt>
                <c:pt idx="67">
                  <c:v>3.265540082397465</c:v>
                </c:pt>
                <c:pt idx="68">
                  <c:v>3.3698798332069448</c:v>
                </c:pt>
                <c:pt idx="69">
                  <c:v>3.4759037427541331</c:v>
                </c:pt>
                <c:pt idx="70">
                  <c:v>3.5836120869643189</c:v>
                </c:pt>
                <c:pt idx="71">
                  <c:v>3.6930050839669675</c:v>
                </c:pt>
                <c:pt idx="72">
                  <c:v>3.804082895240414</c:v>
                </c:pt>
                <c:pt idx="73">
                  <c:v>3.9168456267120773</c:v>
                </c:pt>
                <c:pt idx="74">
                  <c:v>4.0312933298166502</c:v>
                </c:pt>
                <c:pt idx="75">
                  <c:v>4.1474260025145622</c:v>
                </c:pt>
                <c:pt idx="76">
                  <c:v>4.265243590272858</c:v>
                </c:pt>
                <c:pt idx="77">
                  <c:v>4.3847459870104863</c:v>
                </c:pt>
                <c:pt idx="78">
                  <c:v>4.5059330360098704</c:v>
                </c:pt>
                <c:pt idx="79">
                  <c:v>4.6288045307965078</c:v>
                </c:pt>
                <c:pt idx="80">
                  <c:v>4.753360215988236</c:v>
                </c:pt>
                <c:pt idx="81">
                  <c:v>4.8795997881157005</c:v>
                </c:pt>
                <c:pt idx="82">
                  <c:v>5.0075228964154643</c:v>
                </c:pt>
                <c:pt idx="83">
                  <c:v>5.1371291435971083</c:v>
                </c:pt>
                <c:pt idx="84">
                  <c:v>5.2684180865855934</c:v>
                </c:pt>
                <c:pt idx="85">
                  <c:v>5.4013892372400809</c:v>
                </c:pt>
                <c:pt idx="86">
                  <c:v>5.5360420630503286</c:v>
                </c:pt>
                <c:pt idx="87">
                  <c:v>5.6723759878117264</c:v>
                </c:pt>
                <c:pt idx="88">
                  <c:v>5.8103903922799649</c:v>
                </c:pt>
                <c:pt idx="89">
                  <c:v>5.9500846148062774</c:v>
                </c:pt>
                <c:pt idx="90">
                  <c:v>6.0914579519541414</c:v>
                </c:pt>
                <c:pt idx="91">
                  <c:v>6.2345096590982809</c:v>
                </c:pt>
                <c:pt idx="92">
                  <c:v>6.3792389510067551</c:v>
                </c:pt>
                <c:pt idx="93">
                  <c:v>6.5256450024068844</c:v>
                </c:pt>
                <c:pt idx="94">
                  <c:v>6.6737269485357213</c:v>
                </c:pt>
                <c:pt idx="95">
                  <c:v>6.8234838856757385</c:v>
                </c:pt>
                <c:pt idx="96">
                  <c:v>6.9749148716763614</c:v>
                </c:pt>
                <c:pt idx="97">
                  <c:v>7.1280189264619516</c:v>
                </c:pt>
                <c:pt idx="98">
                  <c:v>7.2827950325268143</c:v>
                </c:pt>
                <c:pt idx="99">
                  <c:v>7.4392421354177589</c:v>
                </c:pt>
                <c:pt idx="100">
                  <c:v>7.5973591442047388</c:v>
                </c:pt>
                <c:pt idx="101">
                  <c:v>7.7571446860603386</c:v>
                </c:pt>
                <c:pt idx="102">
                  <c:v>7.9185968597188241</c:v>
                </c:pt>
                <c:pt idx="103">
                  <c:v>8.0817134803946402</c:v>
                </c:pt>
                <c:pt idx="104">
                  <c:v>8.2464923258312091</c:v>
                </c:pt>
                <c:pt idx="105">
                  <c:v>8.4129311367800881</c:v>
                </c:pt>
                <c:pt idx="106">
                  <c:v>8.5810276174695534</c:v>
                </c:pt>
                <c:pt idx="107">
                  <c:v>8.750779436063036</c:v>
                </c:pt>
                <c:pt idx="108">
                  <c:v>8.9221842251077828</c:v>
                </c:pt>
                <c:pt idx="109">
                  <c:v>9.0952395819741447</c:v>
                </c:pt>
                <c:pt idx="110">
                  <c:v>9.269943069285814</c:v>
                </c:pt>
                <c:pt idx="111">
                  <c:v>9.4462922153413835</c:v>
                </c:pt>
                <c:pt idx="112">
                  <c:v>9.6242845145275329</c:v>
                </c:pt>
                <c:pt idx="113">
                  <c:v>9.8039174277241496</c:v>
                </c:pt>
                <c:pt idx="114">
                  <c:v>9.9851883827016881</c:v>
                </c:pt>
                <c:pt idx="115">
                  <c:v>10.168094774511044</c:v>
                </c:pt>
                <c:pt idx="116">
                  <c:v>10.352633965866206</c:v>
                </c:pt>
                <c:pt idx="117">
                  <c:v>10.538803287519954</c:v>
                </c:pt>
                <c:pt idx="118">
                  <c:v>10.726600038632833</c:v>
                </c:pt>
                <c:pt idx="119">
                  <c:v>10.916021487135646</c:v>
                </c:pt>
                <c:pt idx="120">
                  <c:v>11.107064870085688</c:v>
                </c:pt>
                <c:pt idx="121">
                  <c:v>11.299727394016934</c:v>
                </c:pt>
                <c:pt idx="122">
                  <c:v>11.494006235284381</c:v>
                </c:pt>
                <c:pt idx="123">
                  <c:v>11.68989854040275</c:v>
                </c:pt>
                <c:pt idx="124">
                  <c:v>11.887401426379714</c:v>
                </c:pt>
                <c:pt idx="125">
                  <c:v>12.08651198104387</c:v>
                </c:pt>
                <c:pt idx="126">
                  <c:v>12.287227263367575</c:v>
                </c:pt>
                <c:pt idx="127">
                  <c:v>12.48954430378485</c:v>
                </c:pt>
                <c:pt idx="128">
                  <c:v>12.693460104504506</c:v>
                </c:pt>
                <c:pt idx="129">
                  <c:v>12.898971639818612</c:v>
                </c:pt>
                <c:pt idx="130">
                  <c:v>13.106075856406484</c:v>
                </c:pt>
                <c:pt idx="131">
                  <c:v>13.314769673634324</c:v>
                </c:pt>
                <c:pt idx="132">
                  <c:v>13.52504998385063</c:v>
                </c:pt>
                <c:pt idx="133">
                  <c:v>13.736913652677522</c:v>
                </c:pt>
                <c:pt idx="134">
                  <c:v>13.950357519298086</c:v>
                </c:pt>
                <c:pt idx="135">
                  <c:v>14.165378396739882</c:v>
                </c:pt>
                <c:pt idx="136">
                  <c:v>14.3819730721547</c:v>
                </c:pt>
                <c:pt idx="137">
                  <c:v>14.600138307094692</c:v>
                </c:pt>
                <c:pt idx="138">
                  <c:v>14.819870837784972</c:v>
                </c:pt>
                <c:pt idx="139">
                  <c:v>15.041167375392797</c:v>
                </c:pt>
                <c:pt idx="140">
                  <c:v>15.264024606293411</c:v>
                </c:pt>
                <c:pt idx="141">
                  <c:v>15.488439192332653</c:v>
                </c:pt>
                <c:pt idx="142">
                  <c:v>15.714407771086419</c:v>
                </c:pt>
                <c:pt idx="143">
                  <c:v>15.94192695611706</c:v>
                </c:pt>
                <c:pt idx="144">
                  <c:v>16.170993337226793</c:v>
                </c:pt>
                <c:pt idx="145">
                  <c:v>16.401603480708218</c:v>
                </c:pt>
                <c:pt idx="146">
                  <c:v>16.633753929592004</c:v>
                </c:pt>
                <c:pt idx="147">
                  <c:v>16.867441203891822</c:v>
                </c:pt>
                <c:pt idx="148">
                  <c:v>17.102661800846601</c:v>
                </c:pt>
                <c:pt idx="149">
                  <c:v>17.339412195160165</c:v>
                </c:pt>
                <c:pt idx="150">
                  <c:v>17.577688839238316</c:v>
                </c:pt>
                <c:pt idx="151">
                  <c:v>17.817488251334225</c:v>
                </c:pt>
                <c:pt idx="152">
                  <c:v>18.058807103949182</c:v>
                </c:pt>
                <c:pt idx="153">
                  <c:v>18.301642136446539</c:v>
                </c:pt>
                <c:pt idx="154">
                  <c:v>18.54599006739852</c:v>
                </c:pt>
                <c:pt idx="155">
                  <c:v>18.791847594797424</c:v>
                </c:pt>
                <c:pt idx="156">
                  <c:v>19.039211396264786</c:v>
                </c:pt>
                <c:pt idx="157">
                  <c:v>19.28807812925854</c:v>
                </c:pt>
                <c:pt idx="158">
                  <c:v>19.538444431278236</c:v>
                </c:pt>
                <c:pt idx="159">
                  <c:v>19.790306920068346</c:v>
                </c:pt>
                <c:pt idx="160">
                  <c:v>20.043662193819703</c:v>
                </c:pt>
                <c:pt idx="161">
                  <c:v>20.298506831369121</c:v>
                </c:pt>
                <c:pt idx="162">
                  <c:v>20.554837392397225</c:v>
                </c:pt>
                <c:pt idx="163">
                  <c:v>20.812650417624525</c:v>
                </c:pt>
                <c:pt idx="164">
                  <c:v>21.071942429005798</c:v>
                </c:pt>
                <c:pt idx="165">
                  <c:v>21.332709929922782</c:v>
                </c:pt>
                <c:pt idx="166">
                  <c:v>21.594949405375228</c:v>
                </c:pt>
                <c:pt idx="167">
                  <c:v>21.858657322170348</c:v>
                </c:pt>
                <c:pt idx="168">
                  <c:v>22.123830129110683</c:v>
                </c:pt>
                <c:pt idx="169">
                  <c:v>22.390464257180426</c:v>
                </c:pt>
                <c:pt idx="170">
                  <c:v>22.658556119730228</c:v>
                </c:pt>
                <c:pt idx="171">
                  <c:v>22.928102112660522</c:v>
                </c:pt>
                <c:pt idx="172">
                  <c:v>23.199098614603368</c:v>
                </c:pt>
                <c:pt idx="173">
                  <c:v>23.471541987102889</c:v>
                </c:pt>
                <c:pt idx="174">
                  <c:v>23.745428574794275</c:v>
                </c:pt>
                <c:pt idx="175">
                  <c:v>24.020754705581432</c:v>
                </c:pt>
                <c:pt idx="176">
                  <c:v>24.297516690813243</c:v>
                </c:pt>
                <c:pt idx="177">
                  <c:v>24.575710825458504</c:v>
                </c:pt>
                <c:pt idx="178">
                  <c:v>24.855333388279551</c:v>
                </c:pt>
                <c:pt idx="179">
                  <c:v>25.136380642004596</c:v>
                </c:pt>
                <c:pt idx="180">
                  <c:v>25.418848833498782</c:v>
                </c:pt>
                <c:pt idx="181">
                  <c:v>25.702734193933992</c:v>
                </c:pt>
                <c:pt idx="182">
                  <c:v>25.988032938957435</c:v>
                </c:pt>
                <c:pt idx="183">
                  <c:v>26.274741268859</c:v>
                </c:pt>
                <c:pt idx="184">
                  <c:v>26.562855368737434</c:v>
                </c:pt>
                <c:pt idx="185">
                  <c:v>26.852371408665341</c:v>
                </c:pt>
                <c:pt idx="186">
                  <c:v>27.143285543853008</c:v>
                </c:pt>
                <c:pt idx="187">
                  <c:v>27.435593914811104</c:v>
                </c:pt>
                <c:pt idx="188">
                  <c:v>27.729292647512246</c:v>
                </c:pt>
                <c:pt idx="189">
                  <c:v>28.024377853551442</c:v>
                </c:pt>
                <c:pt idx="190">
                  <c:v>28.32084563030546</c:v>
                </c:pt>
                <c:pt idx="191">
                  <c:v>28.618692061091089</c:v>
                </c:pt>
                <c:pt idx="192">
                  <c:v>28.917913215322358</c:v>
                </c:pt>
                <c:pt idx="193">
                  <c:v>29.218505148666669</c:v>
                </c:pt>
                <c:pt idx="194">
                  <c:v>29.520463903199914</c:v>
                </c:pt>
                <c:pt idx="195">
                  <c:v>29.823785507560554</c:v>
                </c:pt>
                <c:pt idx="196">
                  <c:v>30.128465977102671</c:v>
                </c:pt>
                <c:pt idx="197">
                  <c:v>30.434501314048021</c:v>
                </c:pt>
                <c:pt idx="198">
                  <c:v>30.741887507637106</c:v>
                </c:pt>
                <c:pt idx="199">
                  <c:v>31.050620534279233</c:v>
                </c:pt>
                <c:pt idx="200">
                  <c:v>31.360696357701627</c:v>
                </c:pt>
                <c:pt idx="201">
                  <c:v>31.67211092909757</c:v>
                </c:pt>
                <c:pt idx="202">
                  <c:v>31.984860187273583</c:v>
                </c:pt>
                <c:pt idx="203">
                  <c:v>32.298940058795665</c:v>
                </c:pt>
                <c:pt idx="204">
                  <c:v>32.614346458134627</c:v>
                </c:pt>
                <c:pt idx="205">
                  <c:v>32.931075287810444</c:v>
                </c:pt>
                <c:pt idx="206">
                  <c:v>33.24912243853575</c:v>
                </c:pt>
                <c:pt idx="207">
                  <c:v>33.568483789358382</c:v>
                </c:pt>
                <c:pt idx="208">
                  <c:v>33.88915520780305</c:v>
                </c:pt>
                <c:pt idx="209">
                  <c:v>34.21113255001211</c:v>
                </c:pt>
                <c:pt idx="210">
                  <c:v>34.534411660885446</c:v>
                </c:pt>
                <c:pt idx="211">
                  <c:v>34.858988374219464</c:v>
                </c:pt>
                <c:pt idx="212">
                  <c:v>35.18485851284526</c:v>
                </c:pt>
                <c:pt idx="213">
                  <c:v>35.512017888765868</c:v>
                </c:pt>
                <c:pt idx="214">
                  <c:v>35.840462303292703</c:v>
                </c:pt>
                <c:pt idx="215">
                  <c:v>36.170187547181108</c:v>
                </c:pt>
                <c:pt idx="216">
                  <c:v>36.501189400765114</c:v>
                </c:pt>
                <c:pt idx="217">
                  <c:v>36.833463634091295</c:v>
                </c:pt>
                <c:pt idx="218">
                  <c:v>37.167006007051846</c:v>
                </c:pt>
                <c:pt idx="219">
                  <c:v>37.501812269516826</c:v>
                </c:pt>
                <c:pt idx="220">
                  <c:v>37.83787816146554</c:v>
                </c:pt>
                <c:pt idx="221">
                  <c:v>38.17519941311717</c:v>
                </c:pt>
                <c:pt idx="222">
                  <c:v>38.513771745060545</c:v>
                </c:pt>
                <c:pt idx="223">
                  <c:v>38.853590868383129</c:v>
                </c:pt>
                <c:pt idx="224">
                  <c:v>39.194652484799207</c:v>
                </c:pt>
                <c:pt idx="225">
                  <c:v>39.536952286777279</c:v>
                </c:pt>
                <c:pt idx="226">
                  <c:v>39.880485957666643</c:v>
                </c:pt>
                <c:pt idx="227">
                  <c:v>40.225249171823229</c:v>
                </c:pt>
                <c:pt idx="228">
                  <c:v>40.571237594734612</c:v>
                </c:pt>
                <c:pt idx="229">
                  <c:v>40.918446883144284</c:v>
                </c:pt>
                <c:pt idx="230">
                  <c:v>41.266872685175116</c:v>
                </c:pt>
                <c:pt idx="231">
                  <c:v>41.616510640452077</c:v>
                </c:pt>
                <c:pt idx="232">
                  <c:v>41.967356380224182</c:v>
                </c:pt>
                <c:pt idx="233">
                  <c:v>42.319405527485671</c:v>
                </c:pt>
                <c:pt idx="234">
                  <c:v>42.672653697096429</c:v>
                </c:pt>
                <c:pt idx="235">
                  <c:v>43.027096495901667</c:v>
                </c:pt>
                <c:pt idx="236">
                  <c:v>43.382729522850831</c:v>
                </c:pt>
                <c:pt idx="237">
                  <c:v>43.739548369115774</c:v>
                </c:pt>
                <c:pt idx="238">
                  <c:v>44.09754861820818</c:v>
                </c:pt>
                <c:pt idx="239">
                  <c:v>44.456725846096241</c:v>
                </c:pt>
                <c:pt idx="240">
                  <c:v>44.817075621320619</c:v>
                </c:pt>
                <c:pt idx="241">
                  <c:v>45.178593505109625</c:v>
                </c:pt>
                <c:pt idx="242">
                  <c:v>45.54127505149372</c:v>
                </c:pt>
                <c:pt idx="243">
                  <c:v>45.90511580741925</c:v>
                </c:pt>
                <c:pt idx="244">
                  <c:v>46.270111312861452</c:v>
                </c:pt>
                <c:pt idx="245">
                  <c:v>46.63625710093676</c:v>
                </c:pt>
                <c:pt idx="246">
                  <c:v>47.00354869801437</c:v>
                </c:pt>
                <c:pt idx="247">
                  <c:v>47.371981623827082</c:v>
                </c:pt>
                <c:pt idx="248">
                  <c:v>47.741551391581453</c:v>
                </c:pt>
                <c:pt idx="249">
                  <c:v>48.112253508067184</c:v>
                </c:pt>
                <c:pt idx="250">
                  <c:v>48.48408347376585</c:v>
                </c:pt>
                <c:pt idx="251">
                  <c:v>48.85703637726931</c:v>
                </c:pt>
                <c:pt idx="252">
                  <c:v>49.231106489181478</c:v>
                </c:pt>
                <c:pt idx="253">
                  <c:v>49.606287667617785</c:v>
                </c:pt>
                <c:pt idx="254">
                  <c:v>49.982573764239177</c:v>
                </c:pt>
                <c:pt idx="255">
                  <c:v>50.359958624395631</c:v>
                </c:pt>
                <c:pt idx="256">
                  <c:v>50.738436087268504</c:v>
                </c:pt>
                <c:pt idx="257">
                  <c:v>51.117999986011803</c:v>
                </c:pt>
                <c:pt idx="258">
                  <c:v>51.498644147892264</c:v>
                </c:pt>
                <c:pt idx="259">
                  <c:v>51.880362394428339</c:v>
                </c:pt>
                <c:pt idx="260">
                  <c:v>52.263148541528032</c:v>
                </c:pt>
                <c:pt idx="261">
                  <c:v>52.64699639962565</c:v>
                </c:pt>
                <c:pt idx="262">
                  <c:v>53.031899773817379</c:v>
                </c:pt>
                <c:pt idx="263">
                  <c:v>53.417852463995807</c:v>
                </c:pt>
                <c:pt idx="264">
                  <c:v>53.804848264983271</c:v>
                </c:pt>
                <c:pt idx="265">
                  <c:v>54.192880966664148</c:v>
                </c:pt>
                <c:pt idx="266">
                  <c:v>54.581944354116011</c:v>
                </c:pt>
                <c:pt idx="267">
                  <c:v>54.972032207739694</c:v>
                </c:pt>
                <c:pt idx="268">
                  <c:v>55.363138303388254</c:v>
                </c:pt>
                <c:pt idx="269">
                  <c:v>55.755256412494816</c:v>
                </c:pt>
                <c:pt idx="270">
                  <c:v>56.148380302199371</c:v>
                </c:pt>
                <c:pt idx="271">
                  <c:v>56.542503735474426</c:v>
                </c:pt>
                <c:pt idx="272">
                  <c:v>56.937620471249623</c:v>
                </c:pt>
                <c:pt idx="273">
                  <c:v>57.333724264535221</c:v>
                </c:pt>
                <c:pt idx="274">
                  <c:v>57.730808866544542</c:v>
                </c:pt>
                <c:pt idx="275">
                  <c:v>58.128868024815311</c:v>
                </c:pt>
                <c:pt idx="276">
                  <c:v>58.527895483329914</c:v>
                </c:pt>
                <c:pt idx="277">
                  <c:v>58.927884982634609</c:v>
                </c:pt>
                <c:pt idx="278">
                  <c:v>59.328830259957641</c:v>
                </c:pt>
                <c:pt idx="279">
                  <c:v>59.730725049326324</c:v>
                </c:pt>
                <c:pt idx="280">
                  <c:v>60.133563081683022</c:v>
                </c:pt>
                <c:pt idx="281">
                  <c:v>60.537338085000073</c:v>
                </c:pt>
                <c:pt idx="282">
                  <c:v>60.942043784393682</c:v>
                </c:pt>
                <c:pt idx="283">
                  <c:v>61.347673902236743</c:v>
                </c:pt>
                <c:pt idx="284">
                  <c:v>61.754222158270593</c:v>
                </c:pt>
                <c:pt idx="285">
                  <c:v>62.16168226971574</c:v>
                </c:pt>
                <c:pt idx="286">
                  <c:v>62.570047951381532</c:v>
                </c:pt>
                <c:pt idx="287">
                  <c:v>62.979312915774791</c:v>
                </c:pt>
                <c:pt idx="288">
                  <c:v>63.389470873207372</c:v>
                </c:pt>
                <c:pt idx="289">
                  <c:v>63.800515531902747</c:v>
                </c:pt>
                <c:pt idx="290">
                  <c:v>64.212440598101495</c:v>
                </c:pt>
                <c:pt idx="291">
                  <c:v>64.62523977616577</c:v>
                </c:pt>
                <c:pt idx="292">
                  <c:v>65.038906768682779</c:v>
                </c:pt>
                <c:pt idx="293">
                  <c:v>65.453435276567191</c:v>
                </c:pt>
                <c:pt idx="294">
                  <c:v>65.868818999162528</c:v>
                </c:pt>
                <c:pt idx="295">
                  <c:v>66.285051634341542</c:v>
                </c:pt>
                <c:pt idx="296">
                  <c:v>66.702126878605583</c:v>
                </c:pt>
                <c:pt idx="297">
                  <c:v>67.120038427182934</c:v>
                </c:pt>
                <c:pt idx="298">
                  <c:v>67.538775407615006</c:v>
                </c:pt>
                <c:pt idx="299">
                  <c:v>67.958317810156004</c:v>
                </c:pt>
                <c:pt idx="300">
                  <c:v>68.378641055308051</c:v>
                </c:pt>
                <c:pt idx="301">
                  <c:v>68.799720564809292</c:v>
                </c:pt>
                <c:pt idx="302">
                  <c:v>69.221531762258664</c:v>
                </c:pt>
                <c:pt idx="303">
                  <c:v>69.644050073728565</c:v>
                </c:pt>
                <c:pt idx="304">
                  <c:v>70.067250928365354</c:v>
                </c:pt>
                <c:pt idx="305">
                  <c:v>70.491109758977814</c:v>
                </c:pt>
                <c:pt idx="306">
                  <c:v>70.915602002613468</c:v>
                </c:pt>
                <c:pt idx="307">
                  <c:v>71.340703101122955</c:v>
                </c:pt>
                <c:pt idx="308">
                  <c:v>71.766388501712299</c:v>
                </c:pt>
                <c:pt idx="309">
                  <c:v>72.192633657483356</c:v>
                </c:pt>
                <c:pt idx="310">
                  <c:v>72.619414027962193</c:v>
                </c:pt>
                <c:pt idx="311">
                  <c:v>73.04670507961562</c:v>
                </c:pt>
                <c:pt idx="312">
                  <c:v>73.474482286355894</c:v>
                </c:pt>
                <c:pt idx="313">
                  <c:v>73.902721130033498</c:v>
                </c:pt>
                <c:pt idx="314">
                  <c:v>74.331397100918196</c:v>
                </c:pt>
                <c:pt idx="315">
                  <c:v>74.76048569816831</c:v>
                </c:pt>
                <c:pt idx="316">
                  <c:v>75.18996243028819</c:v>
                </c:pt>
                <c:pt idx="317">
                  <c:v>75.61980281557409</c:v>
                </c:pt>
                <c:pt idx="318">
                  <c:v>76.049982382548322</c:v>
                </c:pt>
                <c:pt idx="319">
                  <c:v>76.480476670381734</c:v>
                </c:pt>
                <c:pt idx="320">
                  <c:v>76.911261229304685</c:v>
                </c:pt>
                <c:pt idx="321">
                  <c:v>77.342313458367784</c:v>
                </c:pt>
                <c:pt idx="322">
                  <c:v>77.773614443448096</c:v>
                </c:pt>
                <c:pt idx="323">
                  <c:v>78.205147118340108</c:v>
                </c:pt>
                <c:pt idx="324">
                  <c:v>78.636894425485181</c:v>
                </c:pt>
                <c:pt idx="325">
                  <c:v>79.068839316141734</c:v>
                </c:pt>
                <c:pt idx="326">
                  <c:v>79.500964750549912</c:v>
                </c:pt>
                <c:pt idx="327">
                  <c:v>79.933253698090653</c:v>
                </c:pt>
                <c:pt idx="328">
                  <c:v>80.365689137439219</c:v>
                </c:pt>
                <c:pt idx="329">
                  <c:v>80.798254056713205</c:v>
                </c:pt>
                <c:pt idx="330">
                  <c:v>81.230931453615057</c:v>
                </c:pt>
                <c:pt idx="331">
                  <c:v>81.663704335569065</c:v>
                </c:pt>
                <c:pt idx="332">
                  <c:v>82.096555719852972</c:v>
                </c:pt>
                <c:pt idx="333">
                  <c:v>82.529468633724079</c:v>
                </c:pt>
                <c:pt idx="334">
                  <c:v>82.962426114539895</c:v>
                </c:pt>
                <c:pt idx="335">
                  <c:v>83.395411209873473</c:v>
                </c:pt>
                <c:pt idx="336">
                  <c:v>83.828406977623288</c:v>
                </c:pt>
                <c:pt idx="337">
                  <c:v>84.261396486117746</c:v>
                </c:pt>
                <c:pt idx="338">
                  <c:v>84.694362814214401</c:v>
                </c:pt>
                <c:pt idx="339">
                  <c:v>85.12728905139376</c:v>
                </c:pt>
                <c:pt idx="340">
                  <c:v>85.560158297847821</c:v>
                </c:pt>
                <c:pt idx="341">
                  <c:v>85.992953664563331</c:v>
                </c:pt>
                <c:pt idx="342">
                  <c:v>86.425658273399705</c:v>
                </c:pt>
                <c:pt idx="343">
                  <c:v>86.858255257161758</c:v>
                </c:pt>
                <c:pt idx="344">
                  <c:v>87.290727759667107</c:v>
                </c:pt>
                <c:pt idx="345">
                  <c:v>87.72305893580841</c:v>
                </c:pt>
                <c:pt idx="346">
                  <c:v>88.155231951610403</c:v>
                </c:pt>
                <c:pt idx="347">
                  <c:v>88.587229984281663</c:v>
                </c:pt>
                <c:pt idx="348">
                  <c:v>89.019036423145593</c:v>
                </c:pt>
                <c:pt idx="349">
                  <c:v>89.450635070524427</c:v>
                </c:pt>
                <c:pt idx="350">
                  <c:v>89.882009940582449</c:v>
                </c:pt>
                <c:pt idx="351">
                  <c:v>90.313145058201286</c:v>
                </c:pt>
                <c:pt idx="352">
                  <c:v>90.74402445899706</c:v>
                </c:pt>
                <c:pt idx="353">
                  <c:v>91.174632189332925</c:v>
                </c:pt>
                <c:pt idx="354">
                  <c:v>91.604952306327021</c:v>
                </c:pt>
                <c:pt idx="355">
                  <c:v>92.034968877855846</c:v>
                </c:pt>
                <c:pt idx="356">
                  <c:v>92.464665982553015</c:v>
                </c:pt>
                <c:pt idx="357">
                  <c:v>92.894027709803495</c:v>
                </c:pt>
                <c:pt idx="358">
                  <c:v>93.323038159733287</c:v>
                </c:pt>
                <c:pt idx="359">
                  <c:v>93.751681443194514</c:v>
                </c:pt>
                <c:pt idx="360">
                  <c:v>94.179945885626651</c:v>
                </c:pt>
                <c:pt idx="361">
                  <c:v>94.607828229618917</c:v>
                </c:pt>
                <c:pt idx="362">
                  <c:v>95.035329424048584</c:v>
                </c:pt>
                <c:pt idx="363">
                  <c:v>95.462450414534416</c:v>
                </c:pt>
                <c:pt idx="364">
                  <c:v>95.889192143452036</c:v>
                </c:pt>
                <c:pt idx="365">
                  <c:v>96.31555554994911</c:v>
                </c:pt>
                <c:pt idx="366">
                  <c:v>96.741541569960589</c:v>
                </c:pt>
                <c:pt idx="367">
                  <c:v>97.16715113622368</c:v>
                </c:pt>
                <c:pt idx="368">
                  <c:v>97.592385178292929</c:v>
                </c:pt>
                <c:pt idx="369">
                  <c:v>98.017244622555026</c:v>
                </c:pt>
                <c:pt idx="370">
                  <c:v>98.44173039224367</c:v>
                </c:pt>
                <c:pt idx="371">
                  <c:v>98.86584340745425</c:v>
                </c:pt>
                <c:pt idx="372">
                  <c:v>99.289584585158494</c:v>
                </c:pt>
                <c:pt idx="373">
                  <c:v>99.712954839219009</c:v>
                </c:pt>
                <c:pt idx="374">
                  <c:v>100.13595508040376</c:v>
                </c:pt>
                <c:pt idx="375">
                  <c:v>100.55858621640043</c:v>
                </c:pt>
                <c:pt idx="376">
                  <c:v>100.98084915183071</c:v>
                </c:pt>
                <c:pt idx="377">
                  <c:v>101.40274478826453</c:v>
                </c:pt>
                <c:pt idx="378">
                  <c:v>101.82427402423417</c:v>
                </c:pt>
                <c:pt idx="379">
                  <c:v>102.24543775524833</c:v>
                </c:pt>
                <c:pt idx="380">
                  <c:v>102.66623687380607</c:v>
                </c:pt>
                <c:pt idx="381">
                  <c:v>103.0866722694107</c:v>
                </c:pt>
                <c:pt idx="382">
                  <c:v>103.50674482858361</c:v>
                </c:pt>
                <c:pt idx="383">
                  <c:v>103.92645543487795</c:v>
                </c:pt>
                <c:pt idx="384">
                  <c:v>104.34580496889234</c:v>
                </c:pt>
                <c:pt idx="385">
                  <c:v>104.76479430828435</c:v>
                </c:pt>
                <c:pt idx="386">
                  <c:v>105.1834243277841</c:v>
                </c:pt>
                <c:pt idx="387">
                  <c:v>105.60169589920756</c:v>
                </c:pt>
                <c:pt idx="388">
                  <c:v>106.01960989146995</c:v>
                </c:pt>
                <c:pt idx="389">
                  <c:v>106.43716717059903</c:v>
                </c:pt>
                <c:pt idx="390">
                  <c:v>106.85436859974818</c:v>
                </c:pt>
                <c:pt idx="391">
                  <c:v>107.27121503920961</c:v>
                </c:pt>
                <c:pt idx="392">
                  <c:v>107.68770734642733</c:v>
                </c:pt>
                <c:pt idx="393">
                  <c:v>108.10384637601015</c:v>
                </c:pt>
                <c:pt idx="394">
                  <c:v>108.51963297974454</c:v>
                </c:pt>
                <c:pt idx="395">
                  <c:v>108.93506800660744</c:v>
                </c:pt>
                <c:pt idx="396">
                  <c:v>109.35015230277899</c:v>
                </c:pt>
                <c:pt idx="397">
                  <c:v>109.76488671165527</c:v>
                </c:pt>
                <c:pt idx="398">
                  <c:v>110.17927207386077</c:v>
                </c:pt>
                <c:pt idx="399">
                  <c:v>110.59330922726106</c:v>
                </c:pt>
                <c:pt idx="400">
                  <c:v>111.00699900697511</c:v>
                </c:pt>
                <c:pt idx="401">
                  <c:v>115.12485573050628</c:v>
                </c:pt>
                <c:pt idx="402">
                  <c:v>119.20851142227517</c:v>
                </c:pt>
                <c:pt idx="403">
                  <c:v>123.25877593586939</c:v>
                </c:pt>
                <c:pt idx="404">
                  <c:v>127.27643322430974</c:v>
                </c:pt>
                <c:pt idx="405">
                  <c:v>131.26224247158873</c:v>
                </c:pt>
                <c:pt idx="406">
                  <c:v>135.21693916290926</c:v>
                </c:pt>
                <c:pt idx="407">
                  <c:v>139.1412360975871</c:v>
                </c:pt>
                <c:pt idx="408">
                  <c:v>143.03582434828425</c:v>
                </c:pt>
                <c:pt idx="409">
                  <c:v>146.90137416996754</c:v>
                </c:pt>
                <c:pt idx="410">
                  <c:v>150.73853586173834</c:v>
                </c:pt>
                <c:pt idx="411">
                  <c:v>154.54794058445037</c:v>
                </c:pt>
                <c:pt idx="412">
                  <c:v>158.33020113682335</c:v>
                </c:pt>
                <c:pt idx="413">
                  <c:v>162.08591269256743</c:v>
                </c:pt>
                <c:pt idx="414">
                  <c:v>165.81565350085677</c:v>
                </c:pt>
                <c:pt idx="415">
                  <c:v>169.51998555232689</c:v>
                </c:pt>
                <c:pt idx="416">
                  <c:v>173.19945521262144</c:v>
                </c:pt>
                <c:pt idx="417">
                  <c:v>176.85459382537491</c:v>
                </c:pt>
                <c:pt idx="418">
                  <c:v>180.48591828639053</c:v>
                </c:pt>
                <c:pt idx="419">
                  <c:v>184.09393159065485</c:v>
                </c:pt>
                <c:pt idx="420">
                  <c:v>187.67912335372131</c:v>
                </c:pt>
                <c:pt idx="421">
                  <c:v>191.24197030889457</c:v>
                </c:pt>
                <c:pt idx="422">
                  <c:v>194.78293678155421</c:v>
                </c:pt>
                <c:pt idx="423">
                  <c:v>198.30247514186973</c:v>
                </c:pt>
                <c:pt idx="424">
                  <c:v>201.80102623707913</c:v>
                </c:pt>
                <c:pt idx="425">
                  <c:v>205.2790198044286</c:v>
                </c:pt>
                <c:pt idx="426">
                  <c:v>208.73687486580232</c:v>
                </c:pt>
                <c:pt idx="427">
                  <c:v>212.17500010500689</c:v>
                </c:pt>
                <c:pt idx="428">
                  <c:v>215.59379422861542</c:v>
                </c:pt>
                <c:pt idx="429">
                  <c:v>218.9936463112212</c:v>
                </c:pt>
                <c:pt idx="430">
                  <c:v>222.37493612589861</c:v>
                </c:pt>
                <c:pt idx="431">
                  <c:v>225.73803446062126</c:v>
                </c:pt>
                <c:pt idx="432">
                  <c:v>229.08330342134241</c:v>
                </c:pt>
                <c:pt idx="433">
                  <c:v>232.41109672240057</c:v>
                </c:pt>
                <c:pt idx="434">
                  <c:v>235.72175996487454</c:v>
                </c:pt>
                <c:pt idx="435">
                  <c:v>239.01563090347506</c:v>
                </c:pt>
                <c:pt idx="436">
                  <c:v>242.29303970252664</c:v>
                </c:pt>
                <c:pt idx="437">
                  <c:v>245.55430918156051</c:v>
                </c:pt>
                <c:pt idx="438">
                  <c:v>248.79975505101027</c:v>
                </c:pt>
                <c:pt idx="439">
                  <c:v>252.02968613847338</c:v>
                </c:pt>
                <c:pt idx="440">
                  <c:v>255.2444046059756</c:v>
                </c:pt>
                <c:pt idx="441">
                  <c:v>258.44420615865016</c:v>
                </c:pt>
                <c:pt idx="442">
                  <c:v>261.62938024522106</c:v>
                </c:pt>
                <c:pt idx="443">
                  <c:v>264.80021025065753</c:v>
                </c:pt>
                <c:pt idx="444">
                  <c:v>267.95697368134608</c:v>
                </c:pt>
                <c:pt idx="445">
                  <c:v>271.09994234310784</c:v>
                </c:pt>
                <c:pt idx="446">
                  <c:v>274.22938251236951</c:v>
                </c:pt>
                <c:pt idx="447">
                  <c:v>277.34555510078047</c:v>
                </c:pt>
                <c:pt idx="448">
                  <c:v>280.44871581355136</c:v>
                </c:pt>
                <c:pt idx="449">
                  <c:v>283.53911530177396</c:v>
                </c:pt>
                <c:pt idx="450">
                  <c:v>286.61699930896873</c:v>
                </c:pt>
                <c:pt idx="451">
                  <c:v>289.6826088120913</c:v>
                </c:pt>
                <c:pt idx="452">
                  <c:v>292.73618015721684</c:v>
                </c:pt>
                <c:pt idx="453">
                  <c:v>295.77794519010882</c:v>
                </c:pt>
                <c:pt idx="454">
                  <c:v>298.80813138186664</c:v>
                </c:pt>
                <c:pt idx="455">
                  <c:v>301.82696194983498</c:v>
                </c:pt>
                <c:pt idx="456">
                  <c:v>304.83465597394792</c:v>
                </c:pt>
                <c:pt idx="457">
                  <c:v>307.83142850866949</c:v>
                </c:pt>
                <c:pt idx="458">
                  <c:v>310.81749069068314</c:v>
                </c:pt>
                <c:pt idx="459">
                  <c:v>313.79304984247261</c:v>
                </c:pt>
                <c:pt idx="460">
                  <c:v>316.75830957192824</c:v>
                </c:pt>
                <c:pt idx="461">
                  <c:v>319.71346986810306</c:v>
                </c:pt>
                <c:pt idx="462">
                  <c:v>322.65872719323522</c:v>
                </c:pt>
                <c:pt idx="463">
                  <c:v>325.59427457114413</c:v>
                </c:pt>
                <c:pt idx="464">
                  <c:v>328.52030167210074</c:v>
                </c:pt>
                <c:pt idx="465">
                  <c:v>331.43699489426342</c:v>
                </c:pt>
                <c:pt idx="466">
                  <c:v>334.3445374417638</c:v>
                </c:pt>
                <c:pt idx="467">
                  <c:v>337.24310939951886</c:v>
                </c:pt>
                <c:pt idx="468">
                  <c:v>340.13288780483856</c:v>
                </c:pt>
                <c:pt idx="469">
                  <c:v>343.01404671589023</c:v>
                </c:pt>
                <c:pt idx="470">
                  <c:v>345.88675727707397</c:v>
                </c:pt>
                <c:pt idx="471">
                  <c:v>348.75118778135555</c:v>
                </c:pt>
                <c:pt idx="472">
                  <c:v>351.60750372959632</c:v>
                </c:pt>
                <c:pt idx="473">
                  <c:v>354.45586788691151</c:v>
                </c:pt>
                <c:pt idx="474">
                  <c:v>357.29644033608133</c:v>
                </c:pt>
                <c:pt idx="475">
                  <c:v>360.12937852803128</c:v>
                </c:pt>
                <c:pt idx="476">
                  <c:v>362.95483732939033</c:v>
                </c:pt>
                <c:pt idx="477">
                  <c:v>365.77296906712797</c:v>
                </c:pt>
                <c:pt idx="478">
                  <c:v>368.58392357026253</c:v>
                </c:pt>
                <c:pt idx="479">
                  <c:v>371.3878482086252</c:v>
                </c:pt>
                <c:pt idx="480">
                  <c:v>374.184887928656</c:v>
                </c:pt>
                <c:pt idx="481">
                  <c:v>376.97518528619804</c:v>
                </c:pt>
                <c:pt idx="482">
                  <c:v>379.75888047624892</c:v>
                </c:pt>
                <c:pt idx="483">
                  <c:v>382.53611135961785</c:v>
                </c:pt>
                <c:pt idx="484">
                  <c:v>385.30701348642805</c:v>
                </c:pt>
                <c:pt idx="485">
                  <c:v>388.07172011639437</c:v>
                </c:pt>
                <c:pt idx="486">
                  <c:v>390.83036223579592</c:v>
                </c:pt>
                <c:pt idx="487">
                  <c:v>393.58306857105373</c:v>
                </c:pt>
                <c:pt idx="488">
                  <c:v>396.32996559881377</c:v>
                </c:pt>
                <c:pt idx="489">
                  <c:v>399.0711775524249</c:v>
                </c:pt>
                <c:pt idx="490">
                  <c:v>401.80682642469179</c:v>
                </c:pt>
                <c:pt idx="491">
                  <c:v>404.53703196677367</c:v>
                </c:pt>
                <c:pt idx="492">
                  <c:v>407.26191168308947</c:v>
                </c:pt>
                <c:pt idx="493">
                  <c:v>409.98158082208317</c:v>
                </c:pt>
                <c:pt idx="494">
                  <c:v>412.69615236269448</c:v>
                </c:pt>
                <c:pt idx="495">
                  <c:v>415.40573699637474</c:v>
                </c:pt>
                <c:pt idx="496">
                  <c:v>418.11044310448386</c:v>
                </c:pt>
                <c:pt idx="497">
                  <c:v>420.81037673090265</c:v>
                </c:pt>
                <c:pt idx="498">
                  <c:v>423.50564154969635</c:v>
                </c:pt>
                <c:pt idx="499">
                  <c:v>426.19633882767056</c:v>
                </c:pt>
                <c:pt idx="500">
                  <c:v>428.88256738167132</c:v>
                </c:pt>
                <c:pt idx="501">
                  <c:v>431.56442353049681</c:v>
                </c:pt>
                <c:pt idx="502">
                  <c:v>434.24200104131091</c:v>
                </c:pt>
                <c:pt idx="503">
                  <c:v>436.91539107048033</c:v>
                </c:pt>
                <c:pt idx="504">
                  <c:v>439.58468209879686</c:v>
                </c:pt>
                <c:pt idx="505">
                  <c:v>442.24995986109826</c:v>
                </c:pt>
                <c:pt idx="506">
                  <c:v>444.91130727036386</c:v>
                </c:pt>
                <c:pt idx="507">
                  <c:v>447.56880433643835</c:v>
                </c:pt>
                <c:pt idx="508">
                  <c:v>450.22252807962849</c:v>
                </c:pt>
                <c:pt idx="509">
                  <c:v>452.87255243952325</c:v>
                </c:pt>
                <c:pt idx="510">
                  <c:v>455.51894817950966</c:v>
                </c:pt>
                <c:pt idx="511">
                  <c:v>458.16178278759344</c:v>
                </c:pt>
                <c:pt idx="512">
                  <c:v>460.80112037428188</c:v>
                </c:pt>
                <c:pt idx="513">
                  <c:v>463.43702156844716</c:v>
                </c:pt>
                <c:pt idx="514">
                  <c:v>466.06954341225457</c:v>
                </c:pt>
                <c:pt idx="515">
                  <c:v>468.69873925640758</c:v>
                </c:pt>
                <c:pt idx="516">
                  <c:v>471.32465865712339</c:v>
                </c:pt>
                <c:pt idx="517">
                  <c:v>473.94734727640036</c:v>
                </c:pt>
                <c:pt idx="518">
                  <c:v>476.56684678726168</c:v>
                </c:pt>
                <c:pt idx="519">
                  <c:v>479.18319478575057</c:v>
                </c:pt>
                <c:pt idx="520">
                  <c:v>481.79642471149731</c:v>
                </c:pt>
                <c:pt idx="521">
                  <c:v>484.40656577867185</c:v>
                </c:pt>
                <c:pt idx="522">
                  <c:v>487.01364291906816</c:v>
                </c:pt>
                <c:pt idx="523">
                  <c:v>489.61767673893434</c:v>
                </c:pt>
                <c:pt idx="524">
                  <c:v>492.21868349096553</c:v>
                </c:pt>
                <c:pt idx="525">
                  <c:v>494.81667506261783</c:v>
                </c:pt>
                <c:pt idx="526">
                  <c:v>497.41165898158971</c:v>
                </c:pt>
                <c:pt idx="527">
                  <c:v>500.00363843896474</c:v>
                </c:pt>
                <c:pt idx="528">
                  <c:v>502.59261233013319</c:v>
                </c:pt>
                <c:pt idx="529">
                  <c:v>505.17857531322568</c:v>
                </c:pt>
                <c:pt idx="530">
                  <c:v>507.76151788442098</c:v>
                </c:pt>
                <c:pt idx="531">
                  <c:v>510.3414264691491</c:v>
                </c:pt>
                <c:pt idx="532">
                  <c:v>512.91828352791379</c:v>
                </c:pt>
                <c:pt idx="533">
                  <c:v>515.49206767521912</c:v>
                </c:pt>
                <c:pt idx="534">
                  <c:v>518.06275380990974</c:v>
                </c:pt>
                <c:pt idx="535">
                  <c:v>520.63031325512407</c:v>
                </c:pt>
                <c:pt idx="536">
                  <c:v>523.19471390601575</c:v>
                </c:pt>
                <c:pt idx="537">
                  <c:v>525.75592038341267</c:v>
                </c:pt>
                <c:pt idx="538">
                  <c:v>528.31389419165089</c:v>
                </c:pt>
                <c:pt idx="539">
                  <c:v>530.86859387892525</c:v>
                </c:pt>
                <c:pt idx="540">
                  <c:v>533.41997519864015</c:v>
                </c:pt>
                <c:pt idx="541">
                  <c:v>535.96799127040265</c:v>
                </c:pt>
                <c:pt idx="542">
                  <c:v>538.51259273947039</c:v>
                </c:pt>
                <c:pt idx="543">
                  <c:v>541.05372793364279</c:v>
                </c:pt>
                <c:pt idx="544">
                  <c:v>543.59134301675317</c:v>
                </c:pt>
                <c:pt idx="545">
                  <c:v>546.1253821380833</c:v>
                </c:pt>
                <c:pt idx="546">
                  <c:v>548.65578757717049</c:v>
                </c:pt>
                <c:pt idx="547">
                  <c:v>551.1824998836147</c:v>
                </c:pt>
                <c:pt idx="548">
                  <c:v>553.70545801161006</c:v>
                </c:pt>
                <c:pt idx="549">
                  <c:v>556.22459944903289</c:v>
                </c:pt>
                <c:pt idx="550">
                  <c:v>558.73986034100278</c:v>
                </c:pt>
                <c:pt idx="551">
                  <c:v>561.25117560790909</c:v>
                </c:pt>
                <c:pt idx="552">
                  <c:v>563.75847905795501</c:v>
                </c:pt>
                <c:pt idx="553">
                  <c:v>566.26170349431823</c:v>
                </c:pt>
                <c:pt idx="554">
                  <c:v>568.76078081706601</c:v>
                </c:pt>
                <c:pt idx="555">
                  <c:v>571.25564211998994</c:v>
                </c:pt>
                <c:pt idx="556">
                  <c:v>573.7462177825447</c:v>
                </c:pt>
                <c:pt idx="557">
                  <c:v>576.23243755709188</c:v>
                </c:pt>
                <c:pt idx="558">
                  <c:v>578.71423065165436</c:v>
                </c:pt>
                <c:pt idx="559">
                  <c:v>581.19152580839386</c:v>
                </c:pt>
                <c:pt idx="560">
                  <c:v>583.6642513780223</c:v>
                </c:pt>
                <c:pt idx="561">
                  <c:v>586.13233539035605</c:v>
                </c:pt>
                <c:pt idx="562">
                  <c:v>588.59570562121735</c:v>
                </c:pt>
                <c:pt idx="563">
                  <c:v>591.05428965588101</c:v>
                </c:pt>
                <c:pt idx="564">
                  <c:v>593.50801494925713</c:v>
                </c:pt>
                <c:pt idx="565">
                  <c:v>595.95680888299103</c:v>
                </c:pt>
                <c:pt idx="566">
                  <c:v>598.4005988196559</c:v>
                </c:pt>
                <c:pt idx="567">
                  <c:v>600.83931215420091</c:v>
                </c:pt>
                <c:pt idx="568">
                  <c:v>603.27287636281187</c:v>
                </c:pt>
                <c:pt idx="569">
                  <c:v>605.70121904933012</c:v>
                </c:pt>
                <c:pt idx="570">
                  <c:v>608.12426798936781</c:v>
                </c:pt>
                <c:pt idx="571">
                  <c:v>610.54195117224958</c:v>
                </c:pt>
                <c:pt idx="572">
                  <c:v>612.95419684090018</c:v>
                </c:pt>
                <c:pt idx="573">
                  <c:v>615.36093352979321</c:v>
                </c:pt>
                <c:pt idx="574">
                  <c:v>617.76209010106527</c:v>
                </c:pt>
                <c:pt idx="575">
                  <c:v>620.15759577889514</c:v>
                </c:pt>
                <c:pt idx="576">
                  <c:v>622.54738018224032</c:v>
                </c:pt>
                <c:pt idx="577">
                  <c:v>624.93137335601591</c:v>
                </c:pt>
                <c:pt idx="578">
                  <c:v>627.3095058007965</c:v>
                </c:pt>
                <c:pt idx="579">
                  <c:v>629.68170850111596</c:v>
                </c:pt>
                <c:pt idx="580">
                  <c:v>632.04791295243388</c:v>
                </c:pt>
                <c:pt idx="581">
                  <c:v>634.40805118683386</c:v>
                </c:pt>
                <c:pt idx="582">
                  <c:v>636.76205579751365</c:v>
                </c:pt>
                <c:pt idx="583">
                  <c:v>639.10985996212412</c:v>
                </c:pt>
                <c:pt idx="584">
                  <c:v>641.45139746500797</c:v>
                </c:pt>
                <c:pt idx="585">
                  <c:v>643.78660271838885</c:v>
                </c:pt>
                <c:pt idx="586">
                  <c:v>646.11541078255516</c:v>
                </c:pt>
                <c:pt idx="587">
                  <c:v>648.4377573850818</c:v>
                </c:pt>
                <c:pt idx="588">
                  <c:v>650.75357893912962</c:v>
                </c:pt>
                <c:pt idx="589">
                  <c:v>653.06281256085947</c:v>
                </c:pt>
                <c:pt idx="590">
                  <c:v>655.36539608599605</c:v>
                </c:pt>
                <c:pt idx="591">
                  <c:v>657.66126808557408</c:v>
                </c:pt>
                <c:pt idx="592">
                  <c:v>659.9503678808976</c:v>
                </c:pt>
                <c:pt idx="593">
                  <c:v>662.23263555774076</c:v>
                </c:pt>
                <c:pt idx="594">
                  <c:v>664.50801197981741</c:v>
                </c:pt>
                <c:pt idx="595">
                  <c:v>666.77643880154471</c:v>
                </c:pt>
                <c:pt idx="596">
                  <c:v>669.03785848012524</c:v>
                </c:pt>
                <c:pt idx="597">
                  <c:v>671.29221428696917</c:v>
                </c:pt>
                <c:pt idx="598">
                  <c:v>673.539450318479</c:v>
                </c:pt>
                <c:pt idx="599">
                  <c:v>675.77951150621629</c:v>
                </c:pt>
                <c:pt idx="600">
                  <c:v>678.01234362646949</c:v>
                </c:pt>
                <c:pt idx="601">
                  <c:v>680.2378933092416</c:v>
                </c:pt>
                <c:pt idx="602">
                  <c:v>682.4561080466741</c:v>
                </c:pt>
                <c:pt idx="603">
                  <c:v>684.66693620092428</c:v>
                </c:pt>
                <c:pt idx="604">
                  <c:v>686.87032701151099</c:v>
                </c:pt>
                <c:pt idx="605">
                  <c:v>689.06623060214417</c:v>
                </c:pt>
                <c:pt idx="606">
                  <c:v>691.25459798705185</c:v>
                </c:pt>
                <c:pt idx="607">
                  <c:v>693.43538107681889</c:v>
                </c:pt>
                <c:pt idx="608">
                  <c:v>695.60853268375024</c:v>
                </c:pt>
                <c:pt idx="609">
                  <c:v>697.77400652677102</c:v>
                </c:pt>
                <c:pt idx="610">
                  <c:v>699.93175723587592</c:v>
                </c:pt>
                <c:pt idx="611">
                  <c:v>702.08174035613968</c:v>
                </c:pt>
                <c:pt idx="612">
                  <c:v>704.22391235129896</c:v>
                </c:pt>
                <c:pt idx="613">
                  <c:v>706.35823060691769</c:v>
                </c:pt>
                <c:pt idx="614">
                  <c:v>708.48465343314524</c:v>
                </c:pt>
                <c:pt idx="615">
                  <c:v>710.60314006707881</c:v>
                </c:pt>
                <c:pt idx="616">
                  <c:v>712.71365067473835</c:v>
                </c:pt>
                <c:pt idx="617">
                  <c:v>714.81614635266533</c:v>
                </c:pt>
                <c:pt idx="618">
                  <c:v>716.91058912915332</c:v>
                </c:pt>
                <c:pt idx="619">
                  <c:v>718.9969419651203</c:v>
                </c:pt>
                <c:pt idx="620">
                  <c:v>721.07516875463091</c:v>
                </c:pt>
                <c:pt idx="621">
                  <c:v>723.14523432507804</c:v>
                </c:pt>
                <c:pt idx="622">
                  <c:v>725.2071044370316</c:v>
                </c:pt>
                <c:pt idx="623">
                  <c:v>727.26074578376301</c:v>
                </c:pt>
                <c:pt idx="624">
                  <c:v>729.30612599045355</c:v>
                </c:pt>
                <c:pt idx="625">
                  <c:v>731.34321361309435</c:v>
                </c:pt>
                <c:pt idx="626">
                  <c:v>733.37197813708599</c:v>
                </c:pt>
                <c:pt idx="627">
                  <c:v>735.3923899755456</c:v>
                </c:pt>
                <c:pt idx="628">
                  <c:v>737.4044204673279</c:v>
                </c:pt>
                <c:pt idx="629">
                  <c:v>739.40804187476897</c:v>
                </c:pt>
                <c:pt idx="630">
                  <c:v>741.40322738115958</c:v>
                </c:pt>
                <c:pt idx="631">
                  <c:v>743.38995108795439</c:v>
                </c:pt>
                <c:pt idx="632">
                  <c:v>745.36818801172512</c:v>
                </c:pt>
                <c:pt idx="633">
                  <c:v>747.33791408086427</c:v>
                </c:pt>
                <c:pt idx="634">
                  <c:v>749.2991061320464</c:v>
                </c:pt>
                <c:pt idx="635">
                  <c:v>751.25174190645305</c:v>
                </c:pt>
                <c:pt idx="636">
                  <c:v>753.19580004576869</c:v>
                </c:pt>
                <c:pt idx="637">
                  <c:v>755.13126008795439</c:v>
                </c:pt>
                <c:pt idx="638">
                  <c:v>757.05810246280475</c:v>
                </c:pt>
                <c:pt idx="639">
                  <c:v>758.97630848729534</c:v>
                </c:pt>
                <c:pt idx="640">
                  <c:v>760.88586036072684</c:v>
                </c:pt>
                <c:pt idx="641">
                  <c:v>762.78674115967169</c:v>
                </c:pt>
                <c:pt idx="642">
                  <c:v>764.67893483272985</c:v>
                </c:pt>
                <c:pt idx="643">
                  <c:v>766.56242619509953</c:v>
                </c:pt>
                <c:pt idx="644">
                  <c:v>768.43720092296894</c:v>
                </c:pt>
                <c:pt idx="645">
                  <c:v>770.30324554773506</c:v>
                </c:pt>
                <c:pt idx="646">
                  <c:v>772.16054745005522</c:v>
                </c:pt>
                <c:pt idx="647">
                  <c:v>774.009094853737</c:v>
                </c:pt>
                <c:pt idx="648">
                  <c:v>775.84887681947282</c:v>
                </c:pt>
                <c:pt idx="649">
                  <c:v>777.6798832384244</c:v>
                </c:pt>
                <c:pt idx="650">
                  <c:v>779.50210482566229</c:v>
                </c:pt>
                <c:pt idx="651">
                  <c:v>781.31553311346693</c:v>
                </c:pt>
                <c:pt idx="652">
                  <c:v>783.1201604444957</c:v>
                </c:pt>
                <c:pt idx="653">
                  <c:v>784.9159799648221</c:v>
                </c:pt>
                <c:pt idx="654">
                  <c:v>786.70298561685138</c:v>
                </c:pt>
                <c:pt idx="655">
                  <c:v>788.48117213211913</c:v>
                </c:pt>
                <c:pt idx="656">
                  <c:v>790.25053502397668</c:v>
                </c:pt>
                <c:pt idx="657">
                  <c:v>792.01107058016908</c:v>
                </c:pt>
                <c:pt idx="658">
                  <c:v>793.76277585531034</c:v>
                </c:pt>
                <c:pt idx="659">
                  <c:v>795.50564866326158</c:v>
                </c:pt>
                <c:pt idx="660">
                  <c:v>797.23968756941542</c:v>
                </c:pt>
                <c:pt idx="661">
                  <c:v>798.96489188289308</c:v>
                </c:pt>
                <c:pt idx="662">
                  <c:v>800.68126164865782</c:v>
                </c:pt>
                <c:pt idx="663">
                  <c:v>802.38879763954947</c:v>
                </c:pt>
                <c:pt idx="664">
                  <c:v>804.08750134824527</c:v>
                </c:pt>
                <c:pt idx="665">
                  <c:v>805.77737497915041</c:v>
                </c:pt>
                <c:pt idx="666">
                  <c:v>807.45842144022356</c:v>
                </c:pt>
                <c:pt idx="667">
                  <c:v>809.13064433474176</c:v>
                </c:pt>
                <c:pt idx="668">
                  <c:v>810.79404795300798</c:v>
                </c:pt>
                <c:pt idx="669">
                  <c:v>812.44863726400638</c:v>
                </c:pt>
                <c:pt idx="670">
                  <c:v>814.0944179070093</c:v>
                </c:pt>
                <c:pt idx="671">
                  <c:v>815.73139618314008</c:v>
                </c:pt>
                <c:pt idx="672">
                  <c:v>817.35957904689474</c:v>
                </c:pt>
                <c:pt idx="673">
                  <c:v>818.97897409762788</c:v>
                </c:pt>
                <c:pt idx="674">
                  <c:v>820.58958957100526</c:v>
                </c:pt>
                <c:pt idx="675">
                  <c:v>822.19143433042802</c:v>
                </c:pt>
                <c:pt idx="676">
                  <c:v>823.78451785843106</c:v>
                </c:pt>
                <c:pt idx="677">
                  <c:v>825.36885024806008</c:v>
                </c:pt>
                <c:pt idx="678">
                  <c:v>826.94444219422996</c:v>
                </c:pt>
                <c:pt idx="679">
                  <c:v>828.51130498506893</c:v>
                </c:pt>
                <c:pt idx="680">
                  <c:v>830.06945049325111</c:v>
                </c:pt>
                <c:pt idx="681">
                  <c:v>831.61889116732061</c:v>
                </c:pt>
                <c:pt idx="682">
                  <c:v>833.15964002301121</c:v>
                </c:pt>
                <c:pt idx="683">
                  <c:v>834.6917106345644</c:v>
                </c:pt>
                <c:pt idx="684">
                  <c:v>836.21511712604809</c:v>
                </c:pt>
                <c:pt idx="685">
                  <c:v>837.72987416268029</c:v>
                </c:pt>
                <c:pt idx="686">
                  <c:v>839.23599694215989</c:v>
                </c:pt>
                <c:pt idx="687">
                  <c:v>840.73350118600752</c:v>
                </c:pt>
                <c:pt idx="688">
                  <c:v>842.22240313091902</c:v>
                </c:pt>
                <c:pt idx="689">
                  <c:v>843.70271952013536</c:v>
                </c:pt>
                <c:pt idx="690">
                  <c:v>845.17446759482971</c:v>
                </c:pt>
                <c:pt idx="691">
                  <c:v>846.63766508551635</c:v>
                </c:pt>
                <c:pt idx="692">
                  <c:v>848.09233020348222</c:v>
                </c:pt>
                <c:pt idx="693">
                  <c:v>849.53848163224473</c:v>
                </c:pt>
                <c:pt idx="694">
                  <c:v>850.97613851903714</c:v>
                </c:pt>
                <c:pt idx="695">
                  <c:v>852.40532046632495</c:v>
                </c:pt>
                <c:pt idx="696">
                  <c:v>853.82604752335453</c:v>
                </c:pt>
                <c:pt idx="697">
                  <c:v>855.23834017773663</c:v>
                </c:pt>
                <c:pt idx="698">
                  <c:v>856.64221934706688</c:v>
                </c:pt>
                <c:pt idx="699">
                  <c:v>858.03770637058517</c:v>
                </c:pt>
                <c:pt idx="700">
                  <c:v>859.42482300087568</c:v>
                </c:pt>
                <c:pt idx="701">
                  <c:v>860.80359139561028</c:v>
                </c:pt>
                <c:pt idx="702">
                  <c:v>862.17403410933582</c:v>
                </c:pt>
                <c:pt idx="703">
                  <c:v>863.53617408530806</c:v>
                </c:pt>
                <c:pt idx="704">
                  <c:v>864.89003464737402</c:v>
                </c:pt>
                <c:pt idx="705">
                  <c:v>866.23563949190338</c:v>
                </c:pt>
                <c:pt idx="706">
                  <c:v>867.57301267977186</c:v>
                </c:pt>
                <c:pt idx="707">
                  <c:v>868.902178628397</c:v>
                </c:pt>
                <c:pt idx="708">
                  <c:v>870.22316210382814</c:v>
                </c:pt>
                <c:pt idx="709">
                  <c:v>871.53598821289268</c:v>
                </c:pt>
                <c:pt idx="710">
                  <c:v>872.84068239539852</c:v>
                </c:pt>
                <c:pt idx="711">
                  <c:v>874.13727041639572</c:v>
                </c:pt>
                <c:pt idx="712">
                  <c:v>874.13727041639572</c:v>
                </c:pt>
                <c:pt idx="713">
                  <c:v>874.13727041639572</c:v>
                </c:pt>
                <c:pt idx="714">
                  <c:v>874.13727041639572</c:v>
                </c:pt>
                <c:pt idx="715">
                  <c:v>874.13727041639572</c:v>
                </c:pt>
                <c:pt idx="716">
                  <c:v>874.13727041639572</c:v>
                </c:pt>
                <c:pt idx="717">
                  <c:v>874.13727041639572</c:v>
                </c:pt>
                <c:pt idx="718">
                  <c:v>874.13727041639572</c:v>
                </c:pt>
                <c:pt idx="719">
                  <c:v>874.13727041639572</c:v>
                </c:pt>
                <c:pt idx="720">
                  <c:v>874.13727041639572</c:v>
                </c:pt>
                <c:pt idx="721">
                  <c:v>874.13727041639572</c:v>
                </c:pt>
                <c:pt idx="722">
                  <c:v>874.13727041639572</c:v>
                </c:pt>
                <c:pt idx="723">
                  <c:v>874.13727041639572</c:v>
                </c:pt>
                <c:pt idx="724">
                  <c:v>874.13727041639572</c:v>
                </c:pt>
                <c:pt idx="725">
                  <c:v>874.13727041639572</c:v>
                </c:pt>
                <c:pt idx="726">
                  <c:v>874.13727041639572</c:v>
                </c:pt>
                <c:pt idx="727">
                  <c:v>874.13727041639572</c:v>
                </c:pt>
                <c:pt idx="728">
                  <c:v>874.13727041639572</c:v>
                </c:pt>
                <c:pt idx="729">
                  <c:v>874.13727041639572</c:v>
                </c:pt>
                <c:pt idx="730">
                  <c:v>874.13727041639572</c:v>
                </c:pt>
                <c:pt idx="731">
                  <c:v>874.13727041639572</c:v>
                </c:pt>
                <c:pt idx="732">
                  <c:v>874.13727041639572</c:v>
                </c:pt>
                <c:pt idx="733">
                  <c:v>874.13727041639572</c:v>
                </c:pt>
                <c:pt idx="734">
                  <c:v>874.13727041639572</c:v>
                </c:pt>
                <c:pt idx="735">
                  <c:v>874.13727041639572</c:v>
                </c:pt>
                <c:pt idx="736">
                  <c:v>874.13727041639572</c:v>
                </c:pt>
                <c:pt idx="737">
                  <c:v>874.13727041639572</c:v>
                </c:pt>
                <c:pt idx="738">
                  <c:v>874.13727041639572</c:v>
                </c:pt>
                <c:pt idx="739">
                  <c:v>874.13727041639572</c:v>
                </c:pt>
                <c:pt idx="740">
                  <c:v>874.13727041639572</c:v>
                </c:pt>
                <c:pt idx="741">
                  <c:v>874.13727041639572</c:v>
                </c:pt>
                <c:pt idx="742">
                  <c:v>874.13727041639572</c:v>
                </c:pt>
                <c:pt idx="743">
                  <c:v>874.13727041639572</c:v>
                </c:pt>
                <c:pt idx="744">
                  <c:v>874.13727041639572</c:v>
                </c:pt>
                <c:pt idx="745">
                  <c:v>874.13727041639572</c:v>
                </c:pt>
                <c:pt idx="746">
                  <c:v>874.13727041639572</c:v>
                </c:pt>
                <c:pt idx="747">
                  <c:v>874.13727041639572</c:v>
                </c:pt>
                <c:pt idx="748">
                  <c:v>874.13727041639572</c:v>
                </c:pt>
                <c:pt idx="749">
                  <c:v>874.13727041639572</c:v>
                </c:pt>
                <c:pt idx="750">
                  <c:v>874.13727041639572</c:v>
                </c:pt>
                <c:pt idx="751">
                  <c:v>874.13727041639572</c:v>
                </c:pt>
                <c:pt idx="752">
                  <c:v>874.13727041639572</c:v>
                </c:pt>
                <c:pt idx="753">
                  <c:v>874.13727041639572</c:v>
                </c:pt>
                <c:pt idx="754">
                  <c:v>874.13727041639572</c:v>
                </c:pt>
                <c:pt idx="755">
                  <c:v>874.13727041639572</c:v>
                </c:pt>
                <c:pt idx="756">
                  <c:v>874.13727041639572</c:v>
                </c:pt>
                <c:pt idx="757">
                  <c:v>874.13727041639572</c:v>
                </c:pt>
                <c:pt idx="758">
                  <c:v>874.13727041639572</c:v>
                </c:pt>
                <c:pt idx="759">
                  <c:v>874.13727041639572</c:v>
                </c:pt>
                <c:pt idx="760">
                  <c:v>874.13727041639572</c:v>
                </c:pt>
                <c:pt idx="761">
                  <c:v>874.13727041639572</c:v>
                </c:pt>
                <c:pt idx="762">
                  <c:v>874.13727041639572</c:v>
                </c:pt>
                <c:pt idx="763">
                  <c:v>874.13727041639572</c:v>
                </c:pt>
                <c:pt idx="764">
                  <c:v>874.13727041639572</c:v>
                </c:pt>
                <c:pt idx="765">
                  <c:v>874.13727041639572</c:v>
                </c:pt>
                <c:pt idx="766">
                  <c:v>874.13727041639572</c:v>
                </c:pt>
                <c:pt idx="767">
                  <c:v>874.13727041639572</c:v>
                </c:pt>
                <c:pt idx="768">
                  <c:v>874.13727041639572</c:v>
                </c:pt>
                <c:pt idx="769">
                  <c:v>874.13727041639572</c:v>
                </c:pt>
                <c:pt idx="770">
                  <c:v>874.13727041639572</c:v>
                </c:pt>
                <c:pt idx="771">
                  <c:v>874.13727041639572</c:v>
                </c:pt>
                <c:pt idx="772">
                  <c:v>874.13727041639572</c:v>
                </c:pt>
                <c:pt idx="773">
                  <c:v>874.13727041639572</c:v>
                </c:pt>
                <c:pt idx="774">
                  <c:v>874.13727041639572</c:v>
                </c:pt>
                <c:pt idx="775">
                  <c:v>874.13727041639572</c:v>
                </c:pt>
                <c:pt idx="776">
                  <c:v>874.13727041639572</c:v>
                </c:pt>
                <c:pt idx="777">
                  <c:v>874.13727041639572</c:v>
                </c:pt>
                <c:pt idx="778">
                  <c:v>874.13727041639572</c:v>
                </c:pt>
                <c:pt idx="779">
                  <c:v>874.13727041639572</c:v>
                </c:pt>
                <c:pt idx="780">
                  <c:v>874.13727041639572</c:v>
                </c:pt>
                <c:pt idx="781">
                  <c:v>874.13727041639572</c:v>
                </c:pt>
                <c:pt idx="782">
                  <c:v>874.13727041639572</c:v>
                </c:pt>
                <c:pt idx="783">
                  <c:v>874.13727041639572</c:v>
                </c:pt>
                <c:pt idx="784">
                  <c:v>874.13727041639572</c:v>
                </c:pt>
                <c:pt idx="785">
                  <c:v>874.13727041639572</c:v>
                </c:pt>
                <c:pt idx="786">
                  <c:v>874.13727041639572</c:v>
                </c:pt>
                <c:pt idx="787">
                  <c:v>874.13727041639572</c:v>
                </c:pt>
                <c:pt idx="788">
                  <c:v>874.13727041639572</c:v>
                </c:pt>
                <c:pt idx="789">
                  <c:v>874.13727041639572</c:v>
                </c:pt>
                <c:pt idx="790">
                  <c:v>874.13727041639572</c:v>
                </c:pt>
                <c:pt idx="791">
                  <c:v>874.13727041639572</c:v>
                </c:pt>
                <c:pt idx="792">
                  <c:v>874.13727041639572</c:v>
                </c:pt>
                <c:pt idx="793">
                  <c:v>874.13727041639572</c:v>
                </c:pt>
                <c:pt idx="794">
                  <c:v>874.13727041639572</c:v>
                </c:pt>
                <c:pt idx="795">
                  <c:v>874.13727041639572</c:v>
                </c:pt>
                <c:pt idx="796">
                  <c:v>874.13727041639572</c:v>
                </c:pt>
                <c:pt idx="797">
                  <c:v>874.13727041639572</c:v>
                </c:pt>
                <c:pt idx="798">
                  <c:v>874.13727041639572</c:v>
                </c:pt>
                <c:pt idx="799">
                  <c:v>874.13727041639572</c:v>
                </c:pt>
                <c:pt idx="800">
                  <c:v>874.13727041639572</c:v>
                </c:pt>
                <c:pt idx="801">
                  <c:v>874.13727041639572</c:v>
                </c:pt>
                <c:pt idx="802">
                  <c:v>874.13727041639572</c:v>
                </c:pt>
                <c:pt idx="803">
                  <c:v>874.13727041639572</c:v>
                </c:pt>
                <c:pt idx="804">
                  <c:v>874.13727041639572</c:v>
                </c:pt>
                <c:pt idx="805">
                  <c:v>874.13727041639572</c:v>
                </c:pt>
                <c:pt idx="806">
                  <c:v>874.13727041639572</c:v>
                </c:pt>
                <c:pt idx="807">
                  <c:v>874.13727041639572</c:v>
                </c:pt>
                <c:pt idx="808">
                  <c:v>874.13727041639572</c:v>
                </c:pt>
                <c:pt idx="809">
                  <c:v>874.13727041639572</c:v>
                </c:pt>
                <c:pt idx="810">
                  <c:v>874.13727041639572</c:v>
                </c:pt>
                <c:pt idx="811">
                  <c:v>874.13727041639572</c:v>
                </c:pt>
                <c:pt idx="812">
                  <c:v>874.13727041639572</c:v>
                </c:pt>
                <c:pt idx="813">
                  <c:v>874.13727041639572</c:v>
                </c:pt>
                <c:pt idx="814">
                  <c:v>874.13727041639572</c:v>
                </c:pt>
                <c:pt idx="815">
                  <c:v>874.13727041639572</c:v>
                </c:pt>
                <c:pt idx="816">
                  <c:v>874.13727041639572</c:v>
                </c:pt>
                <c:pt idx="817">
                  <c:v>874.13727041639572</c:v>
                </c:pt>
                <c:pt idx="818">
                  <c:v>874.13727041639572</c:v>
                </c:pt>
                <c:pt idx="819">
                  <c:v>874.13727041639572</c:v>
                </c:pt>
                <c:pt idx="820">
                  <c:v>874.13727041639572</c:v>
                </c:pt>
                <c:pt idx="821">
                  <c:v>874.13727041639572</c:v>
                </c:pt>
                <c:pt idx="822">
                  <c:v>874.13727041639572</c:v>
                </c:pt>
                <c:pt idx="823">
                  <c:v>874.13727041639572</c:v>
                </c:pt>
                <c:pt idx="824">
                  <c:v>874.13727041639572</c:v>
                </c:pt>
                <c:pt idx="825">
                  <c:v>874.13727041639572</c:v>
                </c:pt>
                <c:pt idx="826">
                  <c:v>874.13727041639572</c:v>
                </c:pt>
                <c:pt idx="827">
                  <c:v>874.13727041639572</c:v>
                </c:pt>
                <c:pt idx="828">
                  <c:v>874.13727041639572</c:v>
                </c:pt>
                <c:pt idx="829">
                  <c:v>874.13727041639572</c:v>
                </c:pt>
                <c:pt idx="830">
                  <c:v>874.13727041639572</c:v>
                </c:pt>
                <c:pt idx="831">
                  <c:v>874.13727041639572</c:v>
                </c:pt>
                <c:pt idx="832">
                  <c:v>874.13727041639572</c:v>
                </c:pt>
                <c:pt idx="833">
                  <c:v>874.13727041639572</c:v>
                </c:pt>
                <c:pt idx="834">
                  <c:v>874.13727041639572</c:v>
                </c:pt>
                <c:pt idx="835">
                  <c:v>874.13727041639572</c:v>
                </c:pt>
                <c:pt idx="836">
                  <c:v>874.13727041639572</c:v>
                </c:pt>
                <c:pt idx="837">
                  <c:v>874.13727041639572</c:v>
                </c:pt>
                <c:pt idx="838">
                  <c:v>874.13727041639572</c:v>
                </c:pt>
                <c:pt idx="839">
                  <c:v>874.13727041639572</c:v>
                </c:pt>
                <c:pt idx="840">
                  <c:v>874.13727041639572</c:v>
                </c:pt>
                <c:pt idx="841">
                  <c:v>874.13727041639572</c:v>
                </c:pt>
                <c:pt idx="842">
                  <c:v>874.13727041639572</c:v>
                </c:pt>
                <c:pt idx="843">
                  <c:v>874.13727041639572</c:v>
                </c:pt>
                <c:pt idx="844">
                  <c:v>874.13727041639572</c:v>
                </c:pt>
                <c:pt idx="845">
                  <c:v>874.13727041639572</c:v>
                </c:pt>
                <c:pt idx="846">
                  <c:v>874.13727041639572</c:v>
                </c:pt>
                <c:pt idx="847">
                  <c:v>874.13727041639572</c:v>
                </c:pt>
                <c:pt idx="848">
                  <c:v>874.13727041639572</c:v>
                </c:pt>
                <c:pt idx="849">
                  <c:v>874.13727041639572</c:v>
                </c:pt>
                <c:pt idx="850">
                  <c:v>874.13727041639572</c:v>
                </c:pt>
                <c:pt idx="851">
                  <c:v>874.13727041639572</c:v>
                </c:pt>
                <c:pt idx="852">
                  <c:v>874.13727041639572</c:v>
                </c:pt>
                <c:pt idx="853">
                  <c:v>874.13727041639572</c:v>
                </c:pt>
                <c:pt idx="854">
                  <c:v>874.13727041639572</c:v>
                </c:pt>
                <c:pt idx="855">
                  <c:v>874.13727041639572</c:v>
                </c:pt>
                <c:pt idx="856">
                  <c:v>874.13727041639572</c:v>
                </c:pt>
                <c:pt idx="857">
                  <c:v>874.13727041639572</c:v>
                </c:pt>
                <c:pt idx="858">
                  <c:v>874.13727041639572</c:v>
                </c:pt>
                <c:pt idx="859">
                  <c:v>874.13727041639572</c:v>
                </c:pt>
                <c:pt idx="860">
                  <c:v>874.13727041639572</c:v>
                </c:pt>
                <c:pt idx="861">
                  <c:v>874.13727041639572</c:v>
                </c:pt>
                <c:pt idx="862">
                  <c:v>874.13727041639572</c:v>
                </c:pt>
                <c:pt idx="863">
                  <c:v>874.13727041639572</c:v>
                </c:pt>
                <c:pt idx="864">
                  <c:v>874.13727041639572</c:v>
                </c:pt>
                <c:pt idx="865">
                  <c:v>874.13727041639572</c:v>
                </c:pt>
                <c:pt idx="866">
                  <c:v>874.13727041639572</c:v>
                </c:pt>
                <c:pt idx="867">
                  <c:v>874.13727041639572</c:v>
                </c:pt>
                <c:pt idx="868">
                  <c:v>874.13727041639572</c:v>
                </c:pt>
                <c:pt idx="869">
                  <c:v>874.13727041639572</c:v>
                </c:pt>
                <c:pt idx="870">
                  <c:v>874.13727041639572</c:v>
                </c:pt>
                <c:pt idx="871">
                  <c:v>874.13727041639572</c:v>
                </c:pt>
                <c:pt idx="872">
                  <c:v>874.13727041639572</c:v>
                </c:pt>
                <c:pt idx="873">
                  <c:v>874.13727041639572</c:v>
                </c:pt>
                <c:pt idx="874">
                  <c:v>874.13727041639572</c:v>
                </c:pt>
                <c:pt idx="875">
                  <c:v>874.13727041639572</c:v>
                </c:pt>
                <c:pt idx="876">
                  <c:v>874.13727041639572</c:v>
                </c:pt>
                <c:pt idx="877">
                  <c:v>874.13727041639572</c:v>
                </c:pt>
                <c:pt idx="878">
                  <c:v>874.13727041639572</c:v>
                </c:pt>
                <c:pt idx="879">
                  <c:v>874.13727041639572</c:v>
                </c:pt>
                <c:pt idx="880">
                  <c:v>874.13727041639572</c:v>
                </c:pt>
                <c:pt idx="881">
                  <c:v>874.13727041639572</c:v>
                </c:pt>
                <c:pt idx="882">
                  <c:v>874.13727041639572</c:v>
                </c:pt>
                <c:pt idx="883">
                  <c:v>874.13727041639572</c:v>
                </c:pt>
                <c:pt idx="884">
                  <c:v>874.13727041639572</c:v>
                </c:pt>
                <c:pt idx="885">
                  <c:v>874.13727041639572</c:v>
                </c:pt>
                <c:pt idx="886">
                  <c:v>874.13727041639572</c:v>
                </c:pt>
                <c:pt idx="887">
                  <c:v>874.13727041639572</c:v>
                </c:pt>
                <c:pt idx="888">
                  <c:v>874.13727041639572</c:v>
                </c:pt>
                <c:pt idx="889">
                  <c:v>874.13727041639572</c:v>
                </c:pt>
                <c:pt idx="890">
                  <c:v>874.13727041639572</c:v>
                </c:pt>
                <c:pt idx="891">
                  <c:v>874.13727041639572</c:v>
                </c:pt>
                <c:pt idx="892">
                  <c:v>874.13727041639572</c:v>
                </c:pt>
                <c:pt idx="893">
                  <c:v>874.13727041639572</c:v>
                </c:pt>
                <c:pt idx="894">
                  <c:v>874.13727041639572</c:v>
                </c:pt>
                <c:pt idx="895">
                  <c:v>874.13727041639572</c:v>
                </c:pt>
                <c:pt idx="896">
                  <c:v>874.13727041639572</c:v>
                </c:pt>
                <c:pt idx="897">
                  <c:v>874.13727041639572</c:v>
                </c:pt>
                <c:pt idx="898">
                  <c:v>874.13727041639572</c:v>
                </c:pt>
                <c:pt idx="899">
                  <c:v>874.13727041639572</c:v>
                </c:pt>
                <c:pt idx="900">
                  <c:v>874.13727041639572</c:v>
                </c:pt>
                <c:pt idx="901">
                  <c:v>874.13727041639572</c:v>
                </c:pt>
                <c:pt idx="902">
                  <c:v>874.13727041639572</c:v>
                </c:pt>
                <c:pt idx="903">
                  <c:v>874.13727041639572</c:v>
                </c:pt>
                <c:pt idx="904">
                  <c:v>874.13727041639572</c:v>
                </c:pt>
                <c:pt idx="905">
                  <c:v>874.13727041639572</c:v>
                </c:pt>
                <c:pt idx="906">
                  <c:v>874.13727041639572</c:v>
                </c:pt>
                <c:pt idx="907">
                  <c:v>874.13727041639572</c:v>
                </c:pt>
                <c:pt idx="908">
                  <c:v>874.13727041639572</c:v>
                </c:pt>
                <c:pt idx="909">
                  <c:v>874.13727041639572</c:v>
                </c:pt>
                <c:pt idx="910">
                  <c:v>874.13727041639572</c:v>
                </c:pt>
                <c:pt idx="911">
                  <c:v>874.13727041639572</c:v>
                </c:pt>
                <c:pt idx="912">
                  <c:v>874.13727041639572</c:v>
                </c:pt>
                <c:pt idx="913">
                  <c:v>874.13727041639572</c:v>
                </c:pt>
                <c:pt idx="914">
                  <c:v>874.13727041639572</c:v>
                </c:pt>
                <c:pt idx="915">
                  <c:v>874.13727041639572</c:v>
                </c:pt>
                <c:pt idx="916">
                  <c:v>874.13727041639572</c:v>
                </c:pt>
                <c:pt idx="917">
                  <c:v>874.13727041639572</c:v>
                </c:pt>
                <c:pt idx="918">
                  <c:v>874.13727041639572</c:v>
                </c:pt>
                <c:pt idx="919">
                  <c:v>874.13727041639572</c:v>
                </c:pt>
                <c:pt idx="920">
                  <c:v>874.13727041639572</c:v>
                </c:pt>
                <c:pt idx="921">
                  <c:v>874.13727041639572</c:v>
                </c:pt>
                <c:pt idx="922">
                  <c:v>874.13727041639572</c:v>
                </c:pt>
                <c:pt idx="923">
                  <c:v>874.13727041639572</c:v>
                </c:pt>
                <c:pt idx="924">
                  <c:v>874.13727041639572</c:v>
                </c:pt>
                <c:pt idx="925">
                  <c:v>874.13727041639572</c:v>
                </c:pt>
                <c:pt idx="926">
                  <c:v>874.13727041639572</c:v>
                </c:pt>
                <c:pt idx="927">
                  <c:v>874.13727041639572</c:v>
                </c:pt>
                <c:pt idx="928">
                  <c:v>874.13727041639572</c:v>
                </c:pt>
                <c:pt idx="929">
                  <c:v>874.13727041639572</c:v>
                </c:pt>
                <c:pt idx="930">
                  <c:v>874.13727041639572</c:v>
                </c:pt>
                <c:pt idx="931">
                  <c:v>874.13727041639572</c:v>
                </c:pt>
                <c:pt idx="932">
                  <c:v>874.13727041639572</c:v>
                </c:pt>
                <c:pt idx="933">
                  <c:v>874.13727041639572</c:v>
                </c:pt>
                <c:pt idx="934">
                  <c:v>874.13727041639572</c:v>
                </c:pt>
                <c:pt idx="935">
                  <c:v>874.13727041639572</c:v>
                </c:pt>
                <c:pt idx="936">
                  <c:v>874.13727041639572</c:v>
                </c:pt>
                <c:pt idx="937">
                  <c:v>874.13727041639572</c:v>
                </c:pt>
                <c:pt idx="938">
                  <c:v>874.13727041639572</c:v>
                </c:pt>
                <c:pt idx="939">
                  <c:v>874.13727041639572</c:v>
                </c:pt>
                <c:pt idx="940">
                  <c:v>874.13727041639572</c:v>
                </c:pt>
                <c:pt idx="941">
                  <c:v>874.13727041639572</c:v>
                </c:pt>
                <c:pt idx="942">
                  <c:v>874.13727041639572</c:v>
                </c:pt>
                <c:pt idx="943">
                  <c:v>874.13727041639572</c:v>
                </c:pt>
                <c:pt idx="944">
                  <c:v>874.13727041639572</c:v>
                </c:pt>
                <c:pt idx="945">
                  <c:v>874.13727041639572</c:v>
                </c:pt>
                <c:pt idx="946">
                  <c:v>874.13727041639572</c:v>
                </c:pt>
                <c:pt idx="947">
                  <c:v>874.13727041639572</c:v>
                </c:pt>
                <c:pt idx="948">
                  <c:v>874.13727041639572</c:v>
                </c:pt>
                <c:pt idx="949">
                  <c:v>874.13727041639572</c:v>
                </c:pt>
                <c:pt idx="950">
                  <c:v>874.13727041639572</c:v>
                </c:pt>
                <c:pt idx="951">
                  <c:v>874.13727041639572</c:v>
                </c:pt>
                <c:pt idx="952">
                  <c:v>874.13727041639572</c:v>
                </c:pt>
                <c:pt idx="953">
                  <c:v>874.13727041639572</c:v>
                </c:pt>
                <c:pt idx="954">
                  <c:v>874.13727041639572</c:v>
                </c:pt>
                <c:pt idx="955">
                  <c:v>874.13727041639572</c:v>
                </c:pt>
                <c:pt idx="956">
                  <c:v>874.13727041639572</c:v>
                </c:pt>
                <c:pt idx="957">
                  <c:v>874.13727041639572</c:v>
                </c:pt>
                <c:pt idx="958">
                  <c:v>874.13727041639572</c:v>
                </c:pt>
                <c:pt idx="959">
                  <c:v>874.13727041639572</c:v>
                </c:pt>
                <c:pt idx="960">
                  <c:v>874.13727041639572</c:v>
                </c:pt>
                <c:pt idx="961">
                  <c:v>874.13727041639572</c:v>
                </c:pt>
                <c:pt idx="962">
                  <c:v>874.13727041639572</c:v>
                </c:pt>
                <c:pt idx="963">
                  <c:v>874.13727041639572</c:v>
                </c:pt>
                <c:pt idx="964">
                  <c:v>874.13727041639572</c:v>
                </c:pt>
                <c:pt idx="965">
                  <c:v>874.13727041639572</c:v>
                </c:pt>
                <c:pt idx="966">
                  <c:v>874.13727041639572</c:v>
                </c:pt>
                <c:pt idx="967">
                  <c:v>874.13727041639572</c:v>
                </c:pt>
                <c:pt idx="968">
                  <c:v>874.13727041639572</c:v>
                </c:pt>
                <c:pt idx="969">
                  <c:v>874.13727041639572</c:v>
                </c:pt>
                <c:pt idx="970">
                  <c:v>874.13727041639572</c:v>
                </c:pt>
                <c:pt idx="971">
                  <c:v>874.13727041639572</c:v>
                </c:pt>
                <c:pt idx="972">
                  <c:v>874.13727041639572</c:v>
                </c:pt>
                <c:pt idx="973">
                  <c:v>874.13727041639572</c:v>
                </c:pt>
                <c:pt idx="974">
                  <c:v>874.13727041639572</c:v>
                </c:pt>
                <c:pt idx="975">
                  <c:v>874.13727041639572</c:v>
                </c:pt>
                <c:pt idx="976">
                  <c:v>874.13727041639572</c:v>
                </c:pt>
                <c:pt idx="977">
                  <c:v>874.13727041639572</c:v>
                </c:pt>
                <c:pt idx="978">
                  <c:v>874.13727041639572</c:v>
                </c:pt>
                <c:pt idx="979">
                  <c:v>874.13727041639572</c:v>
                </c:pt>
                <c:pt idx="980">
                  <c:v>874.13727041639572</c:v>
                </c:pt>
                <c:pt idx="981">
                  <c:v>874.13727041639572</c:v>
                </c:pt>
                <c:pt idx="982">
                  <c:v>874.13727041639572</c:v>
                </c:pt>
                <c:pt idx="983">
                  <c:v>874.13727041639572</c:v>
                </c:pt>
                <c:pt idx="984">
                  <c:v>874.13727041639572</c:v>
                </c:pt>
                <c:pt idx="985">
                  <c:v>874.13727041639572</c:v>
                </c:pt>
                <c:pt idx="986">
                  <c:v>874.13727041639572</c:v>
                </c:pt>
                <c:pt idx="987">
                  <c:v>874.13727041639572</c:v>
                </c:pt>
                <c:pt idx="988">
                  <c:v>874.13727041639572</c:v>
                </c:pt>
                <c:pt idx="989">
                  <c:v>874.13727041639572</c:v>
                </c:pt>
                <c:pt idx="990">
                  <c:v>874.13727041639572</c:v>
                </c:pt>
                <c:pt idx="991">
                  <c:v>874.13727041639572</c:v>
                </c:pt>
                <c:pt idx="992">
                  <c:v>874.13727041639572</c:v>
                </c:pt>
                <c:pt idx="993">
                  <c:v>874.13727041639572</c:v>
                </c:pt>
                <c:pt idx="994">
                  <c:v>874.13727041639572</c:v>
                </c:pt>
                <c:pt idx="995">
                  <c:v>874.13727041639572</c:v>
                </c:pt>
                <c:pt idx="996">
                  <c:v>874.13727041639572</c:v>
                </c:pt>
                <c:pt idx="997">
                  <c:v>874.13727041639572</c:v>
                </c:pt>
                <c:pt idx="998">
                  <c:v>874.13727041639572</c:v>
                </c:pt>
                <c:pt idx="999">
                  <c:v>874.13727041639572</c:v>
                </c:pt>
                <c:pt idx="1000">
                  <c:v>874.13727041639572</c:v>
                </c:pt>
              </c:numCache>
            </c:numRef>
          </c:xVal>
          <c:yVal>
            <c:numRef>
              <c:f>Calculs!$AE$4:$AE$1004</c:f>
              <c:numCache>
                <c:formatCode>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117.83116466428085</c:v>
                </c:pt>
              </c:numCache>
            </c:numRef>
          </c:xVal>
          <c:yVal>
            <c:numRef>
              <c:f>Trajecto!$C$158</c:f>
              <c:numCache>
                <c:formatCode>0</c:formatCode>
                <c:ptCount val="1"/>
                <c:pt idx="0">
                  <c:v>684.92964836400631</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746.83107477458566</c:v>
                </c:pt>
              </c:numCache>
            </c:numRef>
          </c:xVal>
          <c:yVal>
            <c:numRef>
              <c:f>Trajecto!$C$159</c:f>
              <c:numCache>
                <c:formatCode>0</c:formatCode>
                <c:ptCount val="1"/>
                <c:pt idx="0">
                  <c:v>686.55466732775744</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{484F09E6-3A85-47AF-BD54-454353E80CF1}</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492.21868349096553</c:v>
                </c:pt>
                <c:pt idx="1">
                  <c:v>515.21868349096553</c:v>
                </c:pt>
                <c:pt idx="2">
                  <c:v>515.21868349096553</c:v>
                </c:pt>
                <c:pt idx="3">
                  <c:v>492.21868349096553</c:v>
                </c:pt>
                <c:pt idx="4">
                  <c:v>515.21868349096553</c:v>
                </c:pt>
                <c:pt idx="5">
                  <c:v>515.21868349096553</c:v>
                </c:pt>
                <c:pt idx="6">
                  <c:v>500.21868349096553</c:v>
                </c:pt>
                <c:pt idx="7">
                  <c:v>500.21868349096553</c:v>
                </c:pt>
                <c:pt idx="8">
                  <c:v>515.21868349096553</c:v>
                </c:pt>
                <c:pt idx="9">
                  <c:v>500.21868349096553</c:v>
                </c:pt>
                <c:pt idx="10">
                  <c:v>499.81868349096555</c:v>
                </c:pt>
                <c:pt idx="11">
                  <c:v>499.01868349096554</c:v>
                </c:pt>
                <c:pt idx="12">
                  <c:v>498.21868349096553</c:v>
                </c:pt>
                <c:pt idx="13">
                  <c:v>497.21868349096553</c:v>
                </c:pt>
                <c:pt idx="14">
                  <c:v>496.01868349096554</c:v>
                </c:pt>
                <c:pt idx="15">
                  <c:v>492.21868349096553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492.21868349096553</c:v>
                </c:pt>
                <c:pt idx="1">
                  <c:v>469.21868349096553</c:v>
                </c:pt>
                <c:pt idx="2">
                  <c:v>469.21868349096553</c:v>
                </c:pt>
                <c:pt idx="3">
                  <c:v>492.21868349096553</c:v>
                </c:pt>
                <c:pt idx="4">
                  <c:v>469.21868349096553</c:v>
                </c:pt>
                <c:pt idx="5">
                  <c:v>469.21868349096553</c:v>
                </c:pt>
                <c:pt idx="6">
                  <c:v>484.21868349096553</c:v>
                </c:pt>
                <c:pt idx="7">
                  <c:v>484.21868349096553</c:v>
                </c:pt>
                <c:pt idx="8">
                  <c:v>469.21868349096553</c:v>
                </c:pt>
                <c:pt idx="9">
                  <c:v>484.21868349096553</c:v>
                </c:pt>
                <c:pt idx="10">
                  <c:v>484.61868349096551</c:v>
                </c:pt>
                <c:pt idx="11">
                  <c:v>485.41868349096552</c:v>
                </c:pt>
                <c:pt idx="12">
                  <c:v>486.21868349096553</c:v>
                </c:pt>
                <c:pt idx="13">
                  <c:v>487.21868349096553</c:v>
                </c:pt>
                <c:pt idx="14">
                  <c:v>488.41868349096552</c:v>
                </c:pt>
                <c:pt idx="15">
                  <c:v>492.21868349096553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{9162FEF2-6296-4476-AEEB-9425FA5BA201}</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492.21868349096553</c:v>
                </c:pt>
                <c:pt idx="1">
                  <c:v>492.21868349096553</c:v>
                </c:pt>
                <c:pt idx="2">
                  <c:v>502.21868349096553</c:v>
                </c:pt>
                <c:pt idx="3">
                  <c:v>492.21868349096553</c:v>
                </c:pt>
                <c:pt idx="4">
                  <c:v>502.21868349096553</c:v>
                </c:pt>
                <c:pt idx="5">
                  <c:v>505.21868349096553</c:v>
                </c:pt>
                <c:pt idx="6">
                  <c:v>509.21868349096553</c:v>
                </c:pt>
                <c:pt idx="7">
                  <c:v>512.21868349096553</c:v>
                </c:pt>
                <c:pt idx="8">
                  <c:v>517.21868349096553</c:v>
                </c:pt>
                <c:pt idx="9">
                  <c:v>522.21868349096553</c:v>
                </c:pt>
                <c:pt idx="10">
                  <c:v>528.21868349096553</c:v>
                </c:pt>
                <c:pt idx="11">
                  <c:v>540.21868349096553</c:v>
                </c:pt>
                <c:pt idx="12">
                  <c:v>554.21868349096553</c:v>
                </c:pt>
                <c:pt idx="13">
                  <c:v>529.21868349096553</c:v>
                </c:pt>
                <c:pt idx="14">
                  <c:v>522.21868349096553</c:v>
                </c:pt>
                <c:pt idx="15">
                  <c:v>507.21868349096553</c:v>
                </c:pt>
                <c:pt idx="16">
                  <c:v>492.21868349096553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492.21868349096553</c:v>
                </c:pt>
                <c:pt idx="1">
                  <c:v>492.21868349096553</c:v>
                </c:pt>
                <c:pt idx="2">
                  <c:v>482.21868349096553</c:v>
                </c:pt>
                <c:pt idx="3">
                  <c:v>492.21868349096553</c:v>
                </c:pt>
                <c:pt idx="4">
                  <c:v>482.21868349096553</c:v>
                </c:pt>
                <c:pt idx="5">
                  <c:v>479.21868349096553</c:v>
                </c:pt>
                <c:pt idx="6">
                  <c:v>475.21868349096553</c:v>
                </c:pt>
                <c:pt idx="7">
                  <c:v>472.21868349096553</c:v>
                </c:pt>
                <c:pt idx="8">
                  <c:v>467.21868349096553</c:v>
                </c:pt>
                <c:pt idx="9">
                  <c:v>462.21868349096553</c:v>
                </c:pt>
                <c:pt idx="10">
                  <c:v>456.21868349096553</c:v>
                </c:pt>
                <c:pt idx="11">
                  <c:v>444.21868349096553</c:v>
                </c:pt>
                <c:pt idx="12">
                  <c:v>430.21868349096553</c:v>
                </c:pt>
                <c:pt idx="13">
                  <c:v>455.21868349096553</c:v>
                </c:pt>
                <c:pt idx="14">
                  <c:v>462.21868349096553</c:v>
                </c:pt>
                <c:pt idx="15">
                  <c:v>477.21868349096553</c:v>
                </c:pt>
                <c:pt idx="16">
                  <c:v>492.21868349096553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492.21868349096553</c:v>
                </c:pt>
                <c:pt idx="1">
                  <c:v>509.21868349096553</c:v>
                </c:pt>
                <c:pt idx="2">
                  <c:v>503.21868349096553</c:v>
                </c:pt>
                <c:pt idx="3">
                  <c:v>492.21868349096553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492.21868349096553</c:v>
                </c:pt>
                <c:pt idx="1">
                  <c:v>475.21868349096553</c:v>
                </c:pt>
                <c:pt idx="2">
                  <c:v>481.21868349096553</c:v>
                </c:pt>
                <c:pt idx="3">
                  <c:v>492.21868349096553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{492577A8-A20D-4638-830C-A0B4316095BA}</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471.32465865712339</c:v>
                </c:pt>
                <c:pt idx="1">
                  <c:v>471.32465865712339</c:v>
                </c:pt>
                <c:pt idx="2">
                  <c:v>471.32465865712339</c:v>
                </c:pt>
                <c:pt idx="3">
                  <c:v>505.57114107532368</c:v>
                </c:pt>
                <c:pt idx="4">
                  <c:v>471.32465865712339</c:v>
                </c:pt>
                <c:pt idx="5">
                  <c:v>437.07817623892311</c:v>
                </c:pt>
                <c:pt idx="6">
                  <c:v>471.32465865712339</c:v>
                </c:pt>
              </c:numCache>
            </c:numRef>
          </c:xVal>
          <c:yVal>
            <c:numRef>
              <c:f>Trajecto!$C$124:$C$130</c:f>
              <c:numCache>
                <c:formatCode>0</c:formatCode>
                <c:ptCount val="7"/>
                <c:pt idx="0">
                  <c:v>1369.8592967280126</c:v>
                </c:pt>
                <c:pt idx="1">
                  <c:v>684.92964836400631</c:v>
                </c:pt>
                <c:pt idx="2">
                  <c:v>0</c:v>
                </c:pt>
                <c:pt idx="3">
                  <c:v>68.492964836400631</c:v>
                </c:pt>
                <c:pt idx="4">
                  <c:v>0</c:v>
                </c:pt>
                <c:pt idx="5">
                  <c:v>68.492964836400631</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1373.1093346555149</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35.000000000000185</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1370.6112288098584</c:v>
                </c:pt>
                <c:pt idx="518">
                  <c:v>1371.26414623096</c:v>
                </c:pt>
                <c:pt idx="519">
                  <c:v>1371.818177831788</c:v>
                </c:pt>
                <c:pt idx="520">
                  <c:v>1372.2734488980361</c:v>
                </c:pt>
                <c:pt idx="521">
                  <c:v>1372.6300816103483</c:v>
                </c:pt>
                <c:pt idx="522">
                  <c:v>1372.888195507408</c:v>
                </c:pt>
                <c:pt idx="523">
                  <c:v>1373.0479079602799</c:v>
                </c:pt>
                <c:pt idx="524">
                  <c:v>1373.1093346555149</c:v>
                </c:pt>
                <c:pt idx="525">
                  <c:v>1373.0725900841969</c:v>
                </c:pt>
                <c:pt idx="526">
                  <c:v>1372.9377880338441</c:v>
                </c:pt>
                <c:pt idx="527">
                  <c:v>1372.7050420798976</c:v>
                </c:pt>
                <c:pt idx="528">
                  <c:v>1372.3744660734446</c:v>
                </c:pt>
                <c:pt idx="529">
                  <c:v>1371.946174621836</c:v>
                </c:pt>
                <c:pt idx="530">
                  <c:v>1371.4202835589724</c:v>
                </c:pt>
                <c:pt idx="531">
                  <c:v>1370.7969104022388</c:v>
                </c:pt>
                <c:pt idx="532">
                  <c:v>1370.0761747933545</c:v>
                </c:pt>
                <c:pt idx="533">
                  <c:v>1369.2581989207529</c:v>
                </c:pt>
                <c:pt idx="534">
                  <c:v>1368.3431079215018</c:v>
                </c:pt>
                <c:pt idx="535">
                  <c:v>1367.3310302611926</c:v>
                </c:pt>
                <c:pt idx="536">
                  <c:v>1366.2220980906491</c:v>
                </c:pt>
                <c:pt idx="537">
                  <c:v>1365.016447578719</c:v>
                </c:pt>
                <c:pt idx="538">
                  <c:v>1363.714219220793</c:v>
                </c:pt>
                <c:pt idx="539">
                  <c:v>1362.3155581230474</c:v>
                </c:pt>
                <c:pt idx="540">
                  <c:v>1360.8206142627012</c:v>
                </c:pt>
                <c:pt idx="541">
                  <c:v>1359.2295427248403</c:v>
                </c:pt>
                <c:pt idx="542">
                  <c:v>1357.5425039165602</c:v>
                </c:pt>
                <c:pt idx="543">
                  <c:v>1355.7596637593417</c:v>
                </c:pt>
                <c:pt idx="544">
                  <c:v>1353.8811938606818</c:v>
                </c:pt>
                <c:pt idx="545">
                  <c:v>1351.9072716660855</c:v>
                </c:pt>
                <c:pt idx="546">
                  <c:v>1349.8380805925585</c:v>
                </c:pt>
                <c:pt idx="547">
                  <c:v>1347.6738101447595</c:v>
                </c:pt>
                <c:pt idx="548">
                  <c:v>1345.4146560149584</c:v>
                </c:pt>
                <c:pt idx="549">
                  <c:v>1343.0608201679217</c:v>
                </c:pt>
                <c:pt idx="550">
                  <c:v>1340.6125109118054</c:v>
                </c:pt>
                <c:pt idx="551">
                  <c:v>1338.0699429560834</c:v>
                </c:pt>
                <c:pt idx="552">
                  <c:v>1335.4333374574881</c:v>
                </c:pt>
                <c:pt idx="553">
                  <c:v>1332.7029220548748</c:v>
                </c:pt>
                <c:pt idx="554">
                  <c:v>1329.878930893864</c:v>
                </c:pt>
                <c:pt idx="555">
                  <c:v>1326.9616046420508</c:v>
                </c:pt>
                <c:pt idx="556">
                  <c:v>1323.9511904955139</c:v>
                </c:pt>
                <c:pt idx="557">
                  <c:v>1320.8479421772972</c:v>
                </c:pt>
                <c:pt idx="558">
                  <c:v>1317.6521199284846</c:v>
                </c:pt>
                <c:pt idx="559">
                  <c:v>1314.3639904924314</c:v>
                </c:pt>
                <c:pt idx="560">
                  <c:v>1310.9838270926768</c:v>
                </c:pt>
                <c:pt idx="561">
                  <c:v>1307.5119094050085</c:v>
                </c:pt>
                <c:pt idx="562">
                  <c:v>1303.948523524115</c:v>
                </c:pt>
                <c:pt idx="563">
                  <c:v>1300.2939619252243</c:v>
                </c:pt>
                <c:pt idx="564">
                  <c:v>1296.5485234210878</c:v>
                </c:pt>
                <c:pt idx="565">
                  <c:v>1292.7125131146452</c:v>
                </c:pt>
                <c:pt idx="566">
                  <c:v>1288.7862423476711</c:v>
                </c:pt>
                <c:pt idx="567">
                  <c:v>1284.7700286456825</c:v>
                </c:pt>
                <c:pt idx="568">
                  <c:v>1280.664195659363</c:v>
                </c:pt>
                <c:pt idx="569">
                  <c:v>1276.4690731027372</c:v>
                </c:pt>
                <c:pt idx="570">
                  <c:v>1272.1849966883112</c:v>
                </c:pt>
                <c:pt idx="571">
                  <c:v>1267.8123080593812</c:v>
                </c:pt>
                <c:pt idx="572">
                  <c:v>1263.3513547196883</c:v>
                </c:pt>
                <c:pt idx="573">
                  <c:v>1258.8024899605982</c:v>
                </c:pt>
                <c:pt idx="574">
                  <c:v>1254.1660727859564</c:v>
                </c:pt>
                <c:pt idx="575">
                  <c:v>1249.4424678347721</c:v>
                </c:pt>
                <c:pt idx="576">
                  <c:v>1244.6320453018657</c:v>
                </c:pt>
                <c:pt idx="577">
                  <c:v>1239.7351808566102</c:v>
                </c:pt>
                <c:pt idx="578">
                  <c:v>1234.7522555598871</c:v>
                </c:pt>
                <c:pt idx="579">
                  <c:v>1229.6836557793692</c:v>
                </c:pt>
                <c:pt idx="580">
                  <c:v>1224.5297731032415</c:v>
                </c:pt>
                <c:pt idx="581">
                  <c:v>1219.2910042524577</c:v>
                </c:pt>
                <c:pt idx="582">
                  <c:v>1213.9677509916312</c:v>
                </c:pt>
                <c:pt idx="583">
                  <c:v>1208.5604200386517</c:v>
                </c:pt>
                <c:pt idx="584">
                  <c:v>1203.0694229731148</c:v>
                </c:pt>
                <c:pt idx="585">
                  <c:v>1197.4951761436473</c:v>
                </c:pt>
                <c:pt idx="586">
                  <c:v>1191.8381005742096</c:v>
                </c:pt>
                <c:pt idx="587">
                  <c:v>1186.0986218694502</c:v>
                </c:pt>
                <c:pt idx="588">
                  <c:v>1180.277170119188</c:v>
                </c:pt>
                <c:pt idx="589">
                  <c:v>1174.3741798020908</c:v>
                </c:pt>
                <c:pt idx="590">
                  <c:v>1168.3900896886209</c:v>
                </c:pt>
                <c:pt idx="591">
                  <c:v>1162.3253427433131</c:v>
                </c:pt>
                <c:pt idx="592">
                  <c:v>1156.1803860264476</c:v>
                </c:pt>
                <c:pt idx="593">
                  <c:v>1149.9556705951838</c:v>
                </c:pt>
                <c:pt idx="594">
                  <c:v>1143.6516514042094</c:v>
                </c:pt>
                <c:pt idx="595">
                  <c:v>1137.2687872059689</c:v>
                </c:pt>
                <c:pt idx="596">
                  <c:v>1130.8075404505255</c:v>
                </c:pt>
                <c:pt idx="597">
                  <c:v>1124.2683771851114</c:v>
                </c:pt>
                <c:pt idx="598">
                  <c:v>1117.6517669534212</c:v>
                </c:pt>
                <c:pt idx="599">
                  <c:v>1110.9581826947012</c:v>
                </c:pt>
                <c:pt idx="600">
                  <c:v>1104.188100642685</c:v>
                </c:pt>
                <c:pt idx="601">
                  <c:v>1097.3420002244245</c:v>
                </c:pt>
                <c:pt idx="602">
                  <c:v>1090.4203639590676</c:v>
                </c:pt>
                <c:pt idx="603">
                  <c:v>1083.4236773566265</c:v>
                </c:pt>
                <c:pt idx="604">
                  <c:v>1076.3524288167871</c:v>
                </c:pt>
                <c:pt idx="605">
                  <c:v>1069.2071095277993</c:v>
                </c:pt>
                <c:pt idx="606">
                  <c:v>1061.988213365498</c:v>
                </c:pt>
                <c:pt idx="607">
                  <c:v>1054.6962367924948</c:v>
                </c:pt>
                <c:pt idx="608">
                  <c:v>1047.3316787575818</c:v>
                </c:pt>
                <c:pt idx="609">
                  <c:v>1039.895040595391</c:v>
                </c:pt>
                <c:pt idx="610">
                  <c:v>1032.3868259263479</c:v>
                </c:pt>
                <c:pt idx="611">
                  <c:v>1024.807540556958</c:v>
                </c:pt>
                <c:pt idx="612">
                  <c:v>1017.1576923804653</c:v>
                </c:pt>
                <c:pt idx="613">
                  <c:v>1009.4377912779198</c:v>
                </c:pt>
                <c:pt idx="614">
                  <c:v>1001.6483490196896</c:v>
                </c:pt>
                <c:pt idx="615">
                  <c:v>993.78987916745302</c:v>
                </c:pt>
                <c:pt idx="616">
                  <c:v>985.862896976706</c:v>
                </c:pt>
                <c:pt idx="617">
                  <c:v>977.86791929981678</c:v>
                </c:pt>
                <c:pt idx="618">
                  <c:v>969.80546448966152</c:v>
                </c:pt>
                <c:pt idx="619">
                  <c:v>961.67605230387187</c:v>
                </c:pt>
                <c:pt idx="620">
                  <c:v>953.48020380972514</c:v>
                </c:pt>
                <c:pt idx="621">
                  <c:v>945.21844128970724</c:v>
                </c:pt>
                <c:pt idx="622">
                  <c:v>936.89128814777678</c:v>
                </c:pt>
                <c:pt idx="623">
                  <c:v>928.49926881635884</c:v>
                </c:pt>
                <c:pt idx="624">
                  <c:v>920.04290866409497</c:v>
                </c:pt>
                <c:pt idx="625">
                  <c:v>911.52273390437597</c:v>
                </c:pt>
                <c:pt idx="626">
                  <c:v>902.93927150468278</c:v>
                </c:pt>
                <c:pt idx="627">
                  <c:v>894.29304909675966</c:v>
                </c:pt>
                <c:pt idx="628">
                  <c:v>885.58459488764345</c:v>
                </c:pt>
                <c:pt idx="629">
                  <c:v>876.8144375715716</c:v>
                </c:pt>
                <c:pt idx="630">
                  <c:v>867.983106242791</c:v>
                </c:pt>
                <c:pt idx="631">
                  <c:v>859.09113030928791</c:v>
                </c:pt>
                <c:pt idx="632">
                  <c:v>850.13903940746013</c:v>
                </c:pt>
                <c:pt idx="633">
                  <c:v>841.12736331774954</c:v>
                </c:pt>
                <c:pt idx="634">
                  <c:v>832.05663188125482</c:v>
                </c:pt>
                <c:pt idx="635">
                  <c:v>822.92737491734067</c:v>
                </c:pt>
                <c:pt idx="636">
                  <c:v>813.74012214226127</c:v>
                </c:pt>
                <c:pt idx="637">
                  <c:v>804.49540308881308</c:v>
                </c:pt>
                <c:pt idx="638">
                  <c:v>795.19374702703306</c:v>
                </c:pt>
                <c:pt idx="639">
                  <c:v>785.83568288595575</c:v>
                </c:pt>
                <c:pt idx="640">
                  <c:v>776.42173917644368</c:v>
                </c:pt>
                <c:pt idx="641">
                  <c:v>766.952443915103</c:v>
                </c:pt>
                <c:pt idx="642">
                  <c:v>757.4283245492968</c:v>
                </c:pt>
                <c:pt idx="643">
                  <c:v>747.84990788326706</c:v>
                </c:pt>
                <c:pt idx="644">
                  <c:v>738.21772000537624</c:v>
                </c:pt>
                <c:pt idx="645">
                  <c:v>728.53228621647702</c:v>
                </c:pt>
                <c:pt idx="646">
                  <c:v>718.79413095942061</c:v>
                </c:pt>
                <c:pt idx="647">
                  <c:v>709.00377774971059</c:v>
                </c:pt>
                <c:pt idx="648">
                  <c:v>699.16174910731024</c:v>
                </c:pt>
                <c:pt idx="649">
                  <c:v>689.26856648961063</c:v>
                </c:pt>
                <c:pt idx="650">
                  <c:v>679.32475022556434</c:v>
                </c:pt>
                <c:pt idx="651">
                  <c:v>669.33081945099138</c:v>
                </c:pt>
                <c:pt idx="652">
                  <c:v>659.28729204506124</c:v>
                </c:pt>
                <c:pt idx="653">
                  <c:v>649.19468456795539</c:v>
                </c:pt>
                <c:pt idx="654">
                  <c:v>639.05351219971351</c:v>
                </c:pt>
                <c:pt idx="655">
                  <c:v>628.86428868026644</c:v>
                </c:pt>
                <c:pt idx="656">
                  <c:v>618.6275262506573</c:v>
                </c:pt>
                <c:pt idx="657">
                  <c:v>608.34373559545293</c:v>
                </c:pt>
                <c:pt idx="658">
                  <c:v>598.01342578634603</c:v>
                </c:pt>
                <c:pt idx="659">
                  <c:v>587.63710422694885</c:v>
                </c:pt>
                <c:pt idx="660">
                  <c:v>577.21527659877711</c:v>
                </c:pt>
                <c:pt idx="661">
                  <c:v>566.74844680842432</c:v>
                </c:pt>
                <c:pt idx="662">
                  <c:v>556.23711693592452</c:v>
                </c:pt>
                <c:pt idx="663">
                  <c:v>545.6817871843017</c:v>
                </c:pt>
                <c:pt idx="664">
                  <c:v>535.08295583030281</c:v>
                </c:pt>
                <c:pt idx="665">
                  <c:v>524.44111917631221</c:v>
                </c:pt>
                <c:pt idx="666">
                  <c:v>513.75677150344313</c:v>
                </c:pt>
                <c:pt idx="667">
                  <c:v>503.03040502580313</c:v>
                </c:pt>
                <c:pt idx="668">
                  <c:v>492.26250984592798</c:v>
                </c:pt>
                <c:pt idx="669">
                  <c:v>481.45357391137969</c:v>
                </c:pt>
                <c:pt idx="670">
                  <c:v>470.60408297250325</c:v>
                </c:pt>
                <c:pt idx="671">
                  <c:v>459.71452054133596</c:v>
                </c:pt>
                <c:pt idx="672">
                  <c:v>448.78536785166324</c:v>
                </c:pt>
                <c:pt idx="673">
                  <c:v>437.81710382021413</c:v>
                </c:pt>
                <c:pt idx="674">
                  <c:v>426.81020500898978</c:v>
                </c:pt>
                <c:pt idx="675">
                  <c:v>415.7651455887169</c:v>
                </c:pt>
                <c:pt idx="676">
                  <c:v>404.68239730341884</c:v>
                </c:pt>
                <c:pt idx="677">
                  <c:v>393.56242943609601</c:v>
                </c:pt>
                <c:pt idx="678">
                  <c:v>382.40570877550687</c:v>
                </c:pt>
                <c:pt idx="679">
                  <c:v>371.21269958404099</c:v>
                </c:pt>
                <c:pt idx="680">
                  <c:v>359.98386356667481</c:v>
                </c:pt>
                <c:pt idx="681">
                  <c:v>348.71965984100086</c:v>
                </c:pt>
                <c:pt idx="682">
                  <c:v>337.42054490832027</c:v>
                </c:pt>
                <c:pt idx="683">
                  <c:v>326.08697262578909</c:v>
                </c:pt>
                <c:pt idx="684">
                  <c:v>314.7193941796076</c:v>
                </c:pt>
                <c:pt idx="685">
                  <c:v>303.31825805924251</c:v>
                </c:pt>
                <c:pt idx="686">
                  <c:v>291.88401003267103</c:v>
                </c:pt>
                <c:pt idx="687">
                  <c:v>280.41709312263566</c:v>
                </c:pt>
                <c:pt idx="688">
                  <c:v>268.91794758389898</c:v>
                </c:pt>
                <c:pt idx="689">
                  <c:v>257.38701088148628</c:v>
                </c:pt>
                <c:pt idx="690">
                  <c:v>245.82471766990511</c:v>
                </c:pt>
                <c:pt idx="691">
                  <c:v>234.23149977332957</c:v>
                </c:pt>
                <c:pt idx="692">
                  <c:v>222.6077861667373</c:v>
                </c:pt>
                <c:pt idx="693">
                  <c:v>210.9540029579872</c:v>
                </c:pt>
                <c:pt idx="694">
                  <c:v>199.27057337082567</c:v>
                </c:pt>
                <c:pt idx="695">
                  <c:v>187.55791772880872</c:v>
                </c:pt>
                <c:pt idx="696">
                  <c:v>175.8164534401275</c:v>
                </c:pt>
                <c:pt idx="697">
                  <c:v>164.04659498332472</c:v>
                </c:pt>
                <c:pt idx="698">
                  <c:v>152.24875389388893</c:v>
                </c:pt>
                <c:pt idx="699">
                  <c:v>140.423338751714</c:v>
                </c:pt>
                <c:pt idx="700">
                  <c:v>128.57075516941072</c:v>
                </c:pt>
                <c:pt idx="701">
                  <c:v>116.69140578145765</c:v>
                </c:pt>
                <c:pt idx="702">
                  <c:v>104.78569023417785</c:v>
                </c:pt>
                <c:pt idx="703">
                  <c:v>92.854005176528645</c:v>
                </c:pt>
                <c:pt idx="704">
                  <c:v>80.896744251690905</c:v>
                </c:pt>
                <c:pt idx="705">
                  <c:v>68.91429808944487</c:v>
                </c:pt>
                <c:pt idx="706">
                  <c:v>56.907054299319029</c:v>
                </c:pt>
                <c:pt idx="707">
                  <c:v>44.875397464498832</c:v>
                </c:pt>
                <c:pt idx="708">
                  <c:v>32.819709136481897</c:v>
                </c:pt>
                <c:pt idx="709">
                  <c:v>20.740367830466383</c:v>
                </c:pt>
                <c:pt idx="710">
                  <c:v>8.6377490214591433</c:v>
                </c:pt>
                <c:pt idx="711">
                  <c:v>-3.4877748589096171</c:v>
                </c:pt>
                <c:pt idx="712">
                  <c:v>-3.4999117537742355</c:v>
                </c:pt>
                <c:pt idx="713">
                  <c:v>-3.5120486709904264</c:v>
                </c:pt>
                <c:pt idx="714">
                  <c:v>-3.5241856105578258</c:v>
                </c:pt>
                <c:pt idx="715">
                  <c:v>-3.5363225724760694</c:v>
                </c:pt>
                <c:pt idx="716">
                  <c:v>-3.5484595567447932</c:v>
                </c:pt>
                <c:pt idx="717">
                  <c:v>-3.5605965633636329</c:v>
                </c:pt>
                <c:pt idx="718">
                  <c:v>-3.572733592332225</c:v>
                </c:pt>
                <c:pt idx="719">
                  <c:v>-3.5848706436502051</c:v>
                </c:pt>
                <c:pt idx="720">
                  <c:v>-3.5970077173172093</c:v>
                </c:pt>
                <c:pt idx="721">
                  <c:v>-3.6091448133328732</c:v>
                </c:pt>
                <c:pt idx="722">
                  <c:v>-3.6212819316968332</c:v>
                </c:pt>
                <c:pt idx="723">
                  <c:v>-3.6334190724087252</c:v>
                </c:pt>
                <c:pt idx="724">
                  <c:v>-3.645556235468185</c:v>
                </c:pt>
                <c:pt idx="725">
                  <c:v>-3.6576934208748484</c:v>
                </c:pt>
                <c:pt idx="726">
                  <c:v>-3.6698306286283513</c:v>
                </c:pt>
                <c:pt idx="727">
                  <c:v>-3.68196785872833</c:v>
                </c:pt>
                <c:pt idx="728">
                  <c:v>-3.6941051111744203</c:v>
                </c:pt>
                <c:pt idx="729">
                  <c:v>-3.7062423859662585</c:v>
                </c:pt>
                <c:pt idx="730">
                  <c:v>-3.7183796831034805</c:v>
                </c:pt>
                <c:pt idx="731">
                  <c:v>-3.7305170025857222</c:v>
                </c:pt>
                <c:pt idx="732">
                  <c:v>-3.7426543444126192</c:v>
                </c:pt>
                <c:pt idx="733">
                  <c:v>-3.7547917085838081</c:v>
                </c:pt>
                <c:pt idx="734">
                  <c:v>-3.7669290950989245</c:v>
                </c:pt>
                <c:pt idx="735">
                  <c:v>-3.7790665039576044</c:v>
                </c:pt>
                <c:pt idx="736">
                  <c:v>-3.791203935159484</c:v>
                </c:pt>
                <c:pt idx="737">
                  <c:v>-3.8033413887041991</c:v>
                </c:pt>
                <c:pt idx="738">
                  <c:v>-3.8154788645913857</c:v>
                </c:pt>
                <c:pt idx="739">
                  <c:v>-3.8276163628206801</c:v>
                </c:pt>
                <c:pt idx="740">
                  <c:v>-3.839753883391718</c:v>
                </c:pt>
                <c:pt idx="741">
                  <c:v>-3.8518914263041353</c:v>
                </c:pt>
                <c:pt idx="742">
                  <c:v>-3.8640289915575683</c:v>
                </c:pt>
                <c:pt idx="743">
                  <c:v>-3.8761665791516529</c:v>
                </c:pt>
                <c:pt idx="744">
                  <c:v>-3.8883041890860253</c:v>
                </c:pt>
                <c:pt idx="745">
                  <c:v>-3.9004418213603214</c:v>
                </c:pt>
                <c:pt idx="746">
                  <c:v>-3.912579475974177</c:v>
                </c:pt>
                <c:pt idx="747">
                  <c:v>-3.9247171529272284</c:v>
                </c:pt>
                <c:pt idx="748">
                  <c:v>-3.9368548522191116</c:v>
                </c:pt>
                <c:pt idx="749">
                  <c:v>-3.9489925738494627</c:v>
                </c:pt>
                <c:pt idx="750">
                  <c:v>-3.9611303178179176</c:v>
                </c:pt>
                <c:pt idx="751">
                  <c:v>-3.9732680841241126</c:v>
                </c:pt>
                <c:pt idx="752">
                  <c:v>-3.9854058727676831</c:v>
                </c:pt>
                <c:pt idx="753">
                  <c:v>-3.9975436837482659</c:v>
                </c:pt>
                <c:pt idx="754">
                  <c:v>-4.0096815170654967</c:v>
                </c:pt>
                <c:pt idx="755">
                  <c:v>-4.0218193727190119</c:v>
                </c:pt>
                <c:pt idx="756">
                  <c:v>-4.0339572507084469</c:v>
                </c:pt>
                <c:pt idx="757">
                  <c:v>-4.0460951510334384</c:v>
                </c:pt>
                <c:pt idx="758">
                  <c:v>-4.0582330736936223</c:v>
                </c:pt>
                <c:pt idx="759">
                  <c:v>-4.0703710186886344</c:v>
                </c:pt>
                <c:pt idx="760">
                  <c:v>-4.0825089860181105</c:v>
                </c:pt>
                <c:pt idx="761">
                  <c:v>-4.0946469756816875</c:v>
                </c:pt>
                <c:pt idx="762">
                  <c:v>-4.106784987679001</c:v>
                </c:pt>
                <c:pt idx="763">
                  <c:v>-4.1189230220096871</c:v>
                </c:pt>
                <c:pt idx="764">
                  <c:v>-4.1310610786733815</c:v>
                </c:pt>
                <c:pt idx="765">
                  <c:v>-4.1431991576697209</c:v>
                </c:pt>
                <c:pt idx="766">
                  <c:v>-4.1553372589983413</c:v>
                </c:pt>
                <c:pt idx="767">
                  <c:v>-4.1674753826588784</c:v>
                </c:pt>
                <c:pt idx="768">
                  <c:v>-4.179613528650969</c:v>
                </c:pt>
                <c:pt idx="769">
                  <c:v>-4.1917516969742481</c:v>
                </c:pt>
                <c:pt idx="770">
                  <c:v>-4.2038898876283533</c:v>
                </c:pt>
                <c:pt idx="771">
                  <c:v>-4.2160281006129194</c:v>
                </c:pt>
                <c:pt idx="772">
                  <c:v>-4.2281663359275834</c:v>
                </c:pt>
                <c:pt idx="773">
                  <c:v>-4.240304593571981</c:v>
                </c:pt>
                <c:pt idx="774">
                  <c:v>-4.252442873545748</c:v>
                </c:pt>
                <c:pt idx="775">
                  <c:v>-4.2645811758485204</c:v>
                </c:pt>
                <c:pt idx="776">
                  <c:v>-4.2767195004799348</c:v>
                </c:pt>
                <c:pt idx="777">
                  <c:v>-4.2888578474396271</c:v>
                </c:pt>
                <c:pt idx="778">
                  <c:v>-4.300996216727234</c:v>
                </c:pt>
                <c:pt idx="779">
                  <c:v>-4.3131346083423914</c:v>
                </c:pt>
                <c:pt idx="780">
                  <c:v>-4.3252730222847351</c:v>
                </c:pt>
                <c:pt idx="781">
                  <c:v>-4.337411458553901</c:v>
                </c:pt>
                <c:pt idx="782">
                  <c:v>-4.3495499171495258</c:v>
                </c:pt>
                <c:pt idx="783">
                  <c:v>-4.3616883980712453</c:v>
                </c:pt>
                <c:pt idx="784">
                  <c:v>-4.3738269013186954</c:v>
                </c:pt>
                <c:pt idx="785">
                  <c:v>-4.3859654268915129</c:v>
                </c:pt>
                <c:pt idx="786">
                  <c:v>-4.3981039747893336</c:v>
                </c:pt>
                <c:pt idx="787">
                  <c:v>-4.4102425450117941</c:v>
                </c:pt>
                <c:pt idx="788">
                  <c:v>-4.4223811375585296</c:v>
                </c:pt>
                <c:pt idx="789">
                  <c:v>-4.4345197524291775</c:v>
                </c:pt>
                <c:pt idx="790">
                  <c:v>-4.4466583896233729</c:v>
                </c:pt>
                <c:pt idx="791">
                  <c:v>-4.4587970491407525</c:v>
                </c:pt>
                <c:pt idx="792">
                  <c:v>-4.4709357309809521</c:v>
                </c:pt>
                <c:pt idx="793">
                  <c:v>-4.4830744351436085</c:v>
                </c:pt>
                <c:pt idx="794">
                  <c:v>-4.4952131616283575</c:v>
                </c:pt>
                <c:pt idx="795">
                  <c:v>-4.507351910434835</c:v>
                </c:pt>
                <c:pt idx="796">
                  <c:v>-4.5194906815626776</c:v>
                </c:pt>
                <c:pt idx="797">
                  <c:v>-4.5316294750115214</c:v>
                </c:pt>
                <c:pt idx="798">
                  <c:v>-4.543768290781002</c:v>
                </c:pt>
                <c:pt idx="799">
                  <c:v>-4.5559071288707562</c:v>
                </c:pt>
                <c:pt idx="800">
                  <c:v>-4.5680459892804199</c:v>
                </c:pt>
                <c:pt idx="801">
                  <c:v>-4.5801848720096299</c:v>
                </c:pt>
                <c:pt idx="802">
                  <c:v>-4.5923237770580219</c:v>
                </c:pt>
                <c:pt idx="803">
                  <c:v>-4.6044627044252318</c:v>
                </c:pt>
                <c:pt idx="804">
                  <c:v>-4.6166016541108963</c:v>
                </c:pt>
                <c:pt idx="805">
                  <c:v>-4.6287406261146513</c:v>
                </c:pt>
                <c:pt idx="806">
                  <c:v>-4.6408796204361327</c:v>
                </c:pt>
                <c:pt idx="807">
                  <c:v>-4.6530186370749771</c:v>
                </c:pt>
                <c:pt idx="808">
                  <c:v>-4.6651576760308213</c:v>
                </c:pt>
                <c:pt idx="809">
                  <c:v>-4.6772967373033012</c:v>
                </c:pt>
                <c:pt idx="810">
                  <c:v>-4.6894358208920526</c:v>
                </c:pt>
                <c:pt idx="811">
                  <c:v>-4.7015749267967122</c:v>
                </c:pt>
                <c:pt idx="812">
                  <c:v>-4.7137140550169159</c:v>
                </c:pt>
                <c:pt idx="813">
                  <c:v>-4.7258532055522995</c:v>
                </c:pt>
                <c:pt idx="814">
                  <c:v>-4.7379923784024998</c:v>
                </c:pt>
                <c:pt idx="815">
                  <c:v>-4.7501315735671525</c:v>
                </c:pt>
                <c:pt idx="816">
                  <c:v>-4.7622707910458946</c:v>
                </c:pt>
                <c:pt idx="817">
                  <c:v>-4.7744100308383626</c:v>
                </c:pt>
                <c:pt idx="818">
                  <c:v>-4.7865492929441915</c:v>
                </c:pt>
                <c:pt idx="819">
                  <c:v>-4.7986885773630181</c:v>
                </c:pt>
                <c:pt idx="820">
                  <c:v>-4.8108278840944791</c:v>
                </c:pt>
                <c:pt idx="821">
                  <c:v>-4.8229672131382104</c:v>
                </c:pt>
                <c:pt idx="822">
                  <c:v>-4.8351065644938487</c:v>
                </c:pt>
                <c:pt idx="823">
                  <c:v>-4.8472459381610298</c:v>
                </c:pt>
                <c:pt idx="824">
                  <c:v>-4.8593853341393896</c:v>
                </c:pt>
                <c:pt idx="825">
                  <c:v>-4.8715247524285648</c:v>
                </c:pt>
                <c:pt idx="826">
                  <c:v>-4.8836641930281921</c:v>
                </c:pt>
                <c:pt idx="827">
                  <c:v>-4.8958036559379066</c:v>
                </c:pt>
                <c:pt idx="828">
                  <c:v>-4.9079431411573458</c:v>
                </c:pt>
                <c:pt idx="829">
                  <c:v>-4.9200826486861455</c:v>
                </c:pt>
                <c:pt idx="830">
                  <c:v>-4.9322221785239417</c:v>
                </c:pt>
                <c:pt idx="831">
                  <c:v>-4.9443617306703711</c:v>
                </c:pt>
                <c:pt idx="832">
                  <c:v>-4.9565013051250695</c:v>
                </c:pt>
                <c:pt idx="833">
                  <c:v>-4.9686409018876736</c:v>
                </c:pt>
                <c:pt idx="834">
                  <c:v>-4.9807805209578193</c:v>
                </c:pt>
                <c:pt idx="835">
                  <c:v>-4.9929201623351434</c:v>
                </c:pt>
                <c:pt idx="836">
                  <c:v>-5.0050598260192825</c:v>
                </c:pt>
                <c:pt idx="837">
                  <c:v>-5.0171995120098716</c:v>
                </c:pt>
                <c:pt idx="838">
                  <c:v>-5.0293392203065483</c:v>
                </c:pt>
                <c:pt idx="839">
                  <c:v>-5.0414789509089486</c:v>
                </c:pt>
                <c:pt idx="840">
                  <c:v>-5.0536187038167082</c:v>
                </c:pt>
                <c:pt idx="841">
                  <c:v>-5.0657584790294639</c:v>
                </c:pt>
                <c:pt idx="842">
                  <c:v>-5.0778982765468523</c:v>
                </c:pt>
                <c:pt idx="843">
                  <c:v>-5.0900380963685095</c:v>
                </c:pt>
                <c:pt idx="844">
                  <c:v>-5.1021779384940711</c:v>
                </c:pt>
                <c:pt idx="845">
                  <c:v>-5.114317802923174</c:v>
                </c:pt>
                <c:pt idx="846">
                  <c:v>-5.1264576896554548</c:v>
                </c:pt>
                <c:pt idx="847">
                  <c:v>-5.1385975986905494</c:v>
                </c:pt>
                <c:pt idx="848">
                  <c:v>-5.1507375300280946</c:v>
                </c:pt>
                <c:pt idx="849">
                  <c:v>-5.1628774836677263</c:v>
                </c:pt>
                <c:pt idx="850">
                  <c:v>-5.175017459609081</c:v>
                </c:pt>
                <c:pt idx="851">
                  <c:v>-5.1871574578517947</c:v>
                </c:pt>
                <c:pt idx="852">
                  <c:v>-5.1992974783955042</c:v>
                </c:pt>
                <c:pt idx="853">
                  <c:v>-5.211437521239846</c:v>
                </c:pt>
                <c:pt idx="854">
                  <c:v>-5.2235775863844562</c:v>
                </c:pt>
                <c:pt idx="855">
                  <c:v>-5.2357176738289706</c:v>
                </c:pt>
                <c:pt idx="856">
                  <c:v>-5.2478577835730267</c:v>
                </c:pt>
                <c:pt idx="857">
                  <c:v>-5.2599979156162595</c:v>
                </c:pt>
                <c:pt idx="858">
                  <c:v>-5.2721380699583067</c:v>
                </c:pt>
                <c:pt idx="859">
                  <c:v>-5.2842782465988041</c:v>
                </c:pt>
                <c:pt idx="860">
                  <c:v>-5.2964184455373875</c:v>
                </c:pt>
                <c:pt idx="861">
                  <c:v>-5.3085586667736937</c:v>
                </c:pt>
                <c:pt idx="862">
                  <c:v>-5.3206989103073594</c:v>
                </c:pt>
                <c:pt idx="863">
                  <c:v>-5.3328391761380214</c:v>
                </c:pt>
                <c:pt idx="864">
                  <c:v>-5.3449794642653146</c:v>
                </c:pt>
                <c:pt idx="865">
                  <c:v>-5.3571197746888766</c:v>
                </c:pt>
                <c:pt idx="866">
                  <c:v>-5.3692601074083433</c:v>
                </c:pt>
                <c:pt idx="867">
                  <c:v>-5.3814004624233513</c:v>
                </c:pt>
                <c:pt idx="868">
                  <c:v>-5.3935408397335367</c:v>
                </c:pt>
                <c:pt idx="869">
                  <c:v>-5.4056812393385361</c:v>
                </c:pt>
                <c:pt idx="870">
                  <c:v>-5.4178216612379861</c:v>
                </c:pt>
                <c:pt idx="871">
                  <c:v>-5.4299621054315228</c:v>
                </c:pt>
                <c:pt idx="872">
                  <c:v>-5.4421025719187828</c:v>
                </c:pt>
                <c:pt idx="873">
                  <c:v>-5.4542430606994028</c:v>
                </c:pt>
                <c:pt idx="874">
                  <c:v>-5.4663835717730187</c:v>
                </c:pt>
                <c:pt idx="875">
                  <c:v>-5.4785241051392672</c:v>
                </c:pt>
                <c:pt idx="876">
                  <c:v>-5.4906646607977843</c:v>
                </c:pt>
                <c:pt idx="877">
                  <c:v>-5.5028052387482065</c:v>
                </c:pt>
                <c:pt idx="878">
                  <c:v>-5.5149458389901707</c:v>
                </c:pt>
                <c:pt idx="879">
                  <c:v>-5.5270864615233135</c:v>
                </c:pt>
                <c:pt idx="880">
                  <c:v>-5.5392271063472709</c:v>
                </c:pt>
                <c:pt idx="881">
                  <c:v>-5.5513677734616786</c:v>
                </c:pt>
                <c:pt idx="882">
                  <c:v>-5.5635084628661744</c:v>
                </c:pt>
                <c:pt idx="883">
                  <c:v>-5.575649174560394</c:v>
                </c:pt>
                <c:pt idx="884">
                  <c:v>-5.5877899085439742</c:v>
                </c:pt>
                <c:pt idx="885">
                  <c:v>-5.5999306648165508</c:v>
                </c:pt>
                <c:pt idx="886">
                  <c:v>-5.6120714433777605</c:v>
                </c:pt>
                <c:pt idx="887">
                  <c:v>-5.6242122442272402</c:v>
                </c:pt>
                <c:pt idx="888">
                  <c:v>-5.6363530673646256</c:v>
                </c:pt>
                <c:pt idx="889">
                  <c:v>-5.6484939127895544</c:v>
                </c:pt>
                <c:pt idx="890">
                  <c:v>-5.6606347805016615</c:v>
                </c:pt>
                <c:pt idx="891">
                  <c:v>-5.6727756705005845</c:v>
                </c:pt>
                <c:pt idx="892">
                  <c:v>-5.6849165827859593</c:v>
                </c:pt>
                <c:pt idx="893">
                  <c:v>-5.6970575173574227</c:v>
                </c:pt>
                <c:pt idx="894">
                  <c:v>-5.7091984742146114</c:v>
                </c:pt>
                <c:pt idx="895">
                  <c:v>-5.7213394533571611</c:v>
                </c:pt>
                <c:pt idx="896">
                  <c:v>-5.7334804547847087</c:v>
                </c:pt>
                <c:pt idx="897">
                  <c:v>-5.7456214784968909</c:v>
                </c:pt>
                <c:pt idx="898">
                  <c:v>-5.7577625244933444</c:v>
                </c:pt>
                <c:pt idx="899">
                  <c:v>-5.769903592773705</c:v>
                </c:pt>
                <c:pt idx="900">
                  <c:v>-5.7820446833376096</c:v>
                </c:pt>
                <c:pt idx="901">
                  <c:v>-5.7941857961846939</c:v>
                </c:pt>
                <c:pt idx="902">
                  <c:v>-5.8063269313145955</c:v>
                </c:pt>
                <c:pt idx="903">
                  <c:v>-5.8184680887269504</c:v>
                </c:pt>
                <c:pt idx="904">
                  <c:v>-5.8306092684213953</c:v>
                </c:pt>
                <c:pt idx="905">
                  <c:v>-5.8427504703975659</c:v>
                </c:pt>
                <c:pt idx="906">
                  <c:v>-5.8548916946551</c:v>
                </c:pt>
                <c:pt idx="907">
                  <c:v>-5.8670329411936333</c:v>
                </c:pt>
                <c:pt idx="908">
                  <c:v>-5.8791742100128026</c:v>
                </c:pt>
                <c:pt idx="909">
                  <c:v>-5.8913155011122438</c:v>
                </c:pt>
                <c:pt idx="910">
                  <c:v>-5.9034568144915944</c:v>
                </c:pt>
                <c:pt idx="911">
                  <c:v>-5.9155981501504904</c:v>
                </c:pt>
                <c:pt idx="912">
                  <c:v>-5.9277395080885684</c:v>
                </c:pt>
                <c:pt idx="913">
                  <c:v>-5.9398808883054652</c:v>
                </c:pt>
                <c:pt idx="914">
                  <c:v>-5.9520222908008167</c:v>
                </c:pt>
                <c:pt idx="915">
                  <c:v>-5.9641637155742595</c:v>
                </c:pt>
                <c:pt idx="916">
                  <c:v>-5.9763051626254304</c:v>
                </c:pt>
                <c:pt idx="917">
                  <c:v>-5.9884466319539662</c:v>
                </c:pt>
                <c:pt idx="918">
                  <c:v>-6.0005881235595036</c:v>
                </c:pt>
                <c:pt idx="919">
                  <c:v>-6.0127296374416783</c:v>
                </c:pt>
                <c:pt idx="920">
                  <c:v>-6.0248711736001272</c:v>
                </c:pt>
                <c:pt idx="921">
                  <c:v>-6.0370127320344871</c:v>
                </c:pt>
                <c:pt idx="922">
                  <c:v>-6.0491543127443945</c:v>
                </c:pt>
                <c:pt idx="923">
                  <c:v>-6.0612959157294863</c:v>
                </c:pt>
                <c:pt idx="924">
                  <c:v>-6.0734375409893984</c:v>
                </c:pt>
                <c:pt idx="925">
                  <c:v>-6.0855791885237673</c:v>
                </c:pt>
                <c:pt idx="926">
                  <c:v>-6.09772085833223</c:v>
                </c:pt>
                <c:pt idx="927">
                  <c:v>-6.1098625504144231</c:v>
                </c:pt>
                <c:pt idx="928">
                  <c:v>-6.1220042647699833</c:v>
                </c:pt>
                <c:pt idx="929">
                  <c:v>-6.1341460013985465</c:v>
                </c:pt>
                <c:pt idx="930">
                  <c:v>-6.1462877602997494</c:v>
                </c:pt>
                <c:pt idx="931">
                  <c:v>-6.1584295414732297</c:v>
                </c:pt>
                <c:pt idx="932">
                  <c:v>-6.1705713449186232</c:v>
                </c:pt>
                <c:pt idx="933">
                  <c:v>-6.1827131706355658</c:v>
                </c:pt>
                <c:pt idx="934">
                  <c:v>-6.194855018623695</c:v>
                </c:pt>
                <c:pt idx="935">
                  <c:v>-6.2069968888826477</c:v>
                </c:pt>
                <c:pt idx="936">
                  <c:v>-6.2191387814120596</c:v>
                </c:pt>
                <c:pt idx="937">
                  <c:v>-6.2312806962115674</c:v>
                </c:pt>
                <c:pt idx="938">
                  <c:v>-6.243422633280808</c:v>
                </c:pt>
                <c:pt idx="939">
                  <c:v>-6.2555645926194181</c:v>
                </c:pt>
                <c:pt idx="940">
                  <c:v>-6.2677065742270344</c:v>
                </c:pt>
                <c:pt idx="941">
                  <c:v>-6.2798485781032927</c:v>
                </c:pt>
                <c:pt idx="942">
                  <c:v>-6.2919906042478306</c:v>
                </c:pt>
                <c:pt idx="943">
                  <c:v>-6.3041326526602841</c:v>
                </c:pt>
                <c:pt idx="944">
                  <c:v>-6.3162747233402898</c:v>
                </c:pt>
                <c:pt idx="945">
                  <c:v>-6.3284168162874854</c:v>
                </c:pt>
                <c:pt idx="946">
                  <c:v>-6.3405589315015067</c:v>
                </c:pt>
                <c:pt idx="947">
                  <c:v>-6.3527010689819905</c:v>
                </c:pt>
                <c:pt idx="948">
                  <c:v>-6.3648432287285726</c:v>
                </c:pt>
                <c:pt idx="949">
                  <c:v>-6.3769854107408905</c:v>
                </c:pt>
                <c:pt idx="950">
                  <c:v>-6.3891276150185812</c:v>
                </c:pt>
                <c:pt idx="951">
                  <c:v>-6.4012698415612803</c:v>
                </c:pt>
                <c:pt idx="952">
                  <c:v>-6.4134120903686247</c:v>
                </c:pt>
                <c:pt idx="953">
                  <c:v>-6.4255543614402519</c:v>
                </c:pt>
                <c:pt idx="954">
                  <c:v>-6.4376966547757979</c:v>
                </c:pt>
                <c:pt idx="955">
                  <c:v>-6.4498389703748993</c:v>
                </c:pt>
                <c:pt idx="956">
                  <c:v>-6.4619813082371929</c:v>
                </c:pt>
                <c:pt idx="957">
                  <c:v>-6.4741236683623153</c:v>
                </c:pt>
                <c:pt idx="958">
                  <c:v>-6.4862660507499035</c:v>
                </c:pt>
                <c:pt idx="959">
                  <c:v>-6.498408455399594</c:v>
                </c:pt>
                <c:pt idx="960">
                  <c:v>-6.5105508823110227</c:v>
                </c:pt>
                <c:pt idx="961">
                  <c:v>-6.5226933314838274</c:v>
                </c:pt>
                <c:pt idx="962">
                  <c:v>-6.5348358029176437</c:v>
                </c:pt>
                <c:pt idx="963">
                  <c:v>-6.5469782966121093</c:v>
                </c:pt>
                <c:pt idx="964">
                  <c:v>-6.5591208125668601</c:v>
                </c:pt>
                <c:pt idx="965">
                  <c:v>-6.5712633507815337</c:v>
                </c:pt>
                <c:pt idx="966">
                  <c:v>-6.5834059112557659</c:v>
                </c:pt>
                <c:pt idx="967">
                  <c:v>-6.5955484939891944</c:v>
                </c:pt>
                <c:pt idx="968">
                  <c:v>-6.607691098981455</c:v>
                </c:pt>
                <c:pt idx="969">
                  <c:v>-6.6198337262321845</c:v>
                </c:pt>
                <c:pt idx="970">
                  <c:v>-6.6319763757410195</c:v>
                </c:pt>
                <c:pt idx="971">
                  <c:v>-6.6441190475075969</c:v>
                </c:pt>
                <c:pt idx="972">
                  <c:v>-6.6562617415315533</c:v>
                </c:pt>
                <c:pt idx="973">
                  <c:v>-6.6684044578125263</c:v>
                </c:pt>
                <c:pt idx="974">
                  <c:v>-6.6805471963501519</c:v>
                </c:pt>
                <c:pt idx="975">
                  <c:v>-6.6926899571440668</c:v>
                </c:pt>
                <c:pt idx="976">
                  <c:v>-6.7048327401939076</c:v>
                </c:pt>
                <c:pt idx="977">
                  <c:v>-6.7169755454993112</c:v>
                </c:pt>
                <c:pt idx="978">
                  <c:v>-6.7291183730599142</c:v>
                </c:pt>
                <c:pt idx="979">
                  <c:v>-6.7412612228753535</c:v>
                </c:pt>
                <c:pt idx="980">
                  <c:v>-6.7534040949452656</c:v>
                </c:pt>
                <c:pt idx="981">
                  <c:v>-6.7655469892692874</c:v>
                </c:pt>
                <c:pt idx="982">
                  <c:v>-6.7776899058470557</c:v>
                </c:pt>
                <c:pt idx="983">
                  <c:v>-6.789832844678207</c:v>
                </c:pt>
                <c:pt idx="984">
                  <c:v>-6.8019758057623783</c:v>
                </c:pt>
                <c:pt idx="985">
                  <c:v>-6.8141187890992061</c:v>
                </c:pt>
                <c:pt idx="986">
                  <c:v>-6.8262617946883273</c:v>
                </c:pt>
                <c:pt idx="987">
                  <c:v>-6.8384048225293785</c:v>
                </c:pt>
                <c:pt idx="988">
                  <c:v>-6.8505478726219966</c:v>
                </c:pt>
                <c:pt idx="989">
                  <c:v>-6.8626909449658182</c:v>
                </c:pt>
                <c:pt idx="990">
                  <c:v>-6.874834039560481</c:v>
                </c:pt>
                <c:pt idx="991">
                  <c:v>-6.8869771564056208</c:v>
                </c:pt>
                <c:pt idx="992">
                  <c:v>-6.8991202955008744</c:v>
                </c:pt>
                <c:pt idx="993">
                  <c:v>-6.9112634568458784</c:v>
                </c:pt>
                <c:pt idx="994">
                  <c:v>-6.9234066404402705</c:v>
                </c:pt>
                <c:pt idx="995">
                  <c:v>-6.9355498462836866</c:v>
                </c:pt>
                <c:pt idx="996">
                  <c:v>-6.9476930743757643</c:v>
                </c:pt>
                <c:pt idx="997">
                  <c:v>-6.9598363247161394</c:v>
                </c:pt>
                <c:pt idx="998">
                  <c:v>-6.9719795973044496</c:v>
                </c:pt>
                <c:pt idx="999">
                  <c:v>-6.9841228921403307</c:v>
                </c:pt>
                <c:pt idx="1000">
                  <c:v>-6.9962662092234202</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Calculs!$K$4:$K$1004</c:f>
              <c:numCache>
                <c:formatCode>0.00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1370.6112288098584</c:v>
                </c:pt>
                <c:pt idx="518">
                  <c:v>1371.26414623096</c:v>
                </c:pt>
                <c:pt idx="519">
                  <c:v>1371.818177831788</c:v>
                </c:pt>
                <c:pt idx="520">
                  <c:v>1372.2734488980361</c:v>
                </c:pt>
                <c:pt idx="521">
                  <c:v>1372.6300816103483</c:v>
                </c:pt>
                <c:pt idx="522">
                  <c:v>1372.888195507408</c:v>
                </c:pt>
                <c:pt idx="523">
                  <c:v>1373.0479079602799</c:v>
                </c:pt>
                <c:pt idx="524">
                  <c:v>1373.1093346555149</c:v>
                </c:pt>
                <c:pt idx="525">
                  <c:v>1373.0725900841969</c:v>
                </c:pt>
                <c:pt idx="526">
                  <c:v>1372.9377880338441</c:v>
                </c:pt>
                <c:pt idx="527">
                  <c:v>1372.7050420798976</c:v>
                </c:pt>
                <c:pt idx="528">
                  <c:v>1372.3744660734446</c:v>
                </c:pt>
                <c:pt idx="529">
                  <c:v>1371.946174621836</c:v>
                </c:pt>
                <c:pt idx="530">
                  <c:v>1371.4202835589724</c:v>
                </c:pt>
                <c:pt idx="531">
                  <c:v>1370.7969104022388</c:v>
                </c:pt>
                <c:pt idx="532">
                  <c:v>1370.0761747933545</c:v>
                </c:pt>
                <c:pt idx="533">
                  <c:v>1369.2581989207529</c:v>
                </c:pt>
                <c:pt idx="534">
                  <c:v>1368.3431079215018</c:v>
                </c:pt>
                <c:pt idx="535">
                  <c:v>1367.3310302611926</c:v>
                </c:pt>
                <c:pt idx="536">
                  <c:v>1366.2220980906491</c:v>
                </c:pt>
                <c:pt idx="537">
                  <c:v>1365.016447578719</c:v>
                </c:pt>
                <c:pt idx="538">
                  <c:v>1363.714219220793</c:v>
                </c:pt>
                <c:pt idx="539">
                  <c:v>1362.3155581230474</c:v>
                </c:pt>
                <c:pt idx="540">
                  <c:v>1360.8206142627012</c:v>
                </c:pt>
                <c:pt idx="541">
                  <c:v>1359.2295427248403</c:v>
                </c:pt>
                <c:pt idx="542">
                  <c:v>1357.5425039165602</c:v>
                </c:pt>
                <c:pt idx="543">
                  <c:v>1355.7596637593417</c:v>
                </c:pt>
                <c:pt idx="544">
                  <c:v>1353.8811938606818</c:v>
                </c:pt>
                <c:pt idx="545">
                  <c:v>1351.9072716660855</c:v>
                </c:pt>
                <c:pt idx="546">
                  <c:v>1349.8380805925585</c:v>
                </c:pt>
                <c:pt idx="547">
                  <c:v>1347.6738101447595</c:v>
                </c:pt>
                <c:pt idx="548">
                  <c:v>1345.4146560149584</c:v>
                </c:pt>
                <c:pt idx="549">
                  <c:v>1343.0608201679217</c:v>
                </c:pt>
                <c:pt idx="550">
                  <c:v>1340.6125109118054</c:v>
                </c:pt>
                <c:pt idx="551">
                  <c:v>1338.0699429560834</c:v>
                </c:pt>
                <c:pt idx="552">
                  <c:v>1335.4333374574881</c:v>
                </c:pt>
                <c:pt idx="553">
                  <c:v>1332.7029220548748</c:v>
                </c:pt>
                <c:pt idx="554">
                  <c:v>1329.878930893864</c:v>
                </c:pt>
                <c:pt idx="555">
                  <c:v>1326.9616046420508</c:v>
                </c:pt>
                <c:pt idx="556">
                  <c:v>1323.9511904955139</c:v>
                </c:pt>
                <c:pt idx="557">
                  <c:v>1320.8479421772972</c:v>
                </c:pt>
                <c:pt idx="558">
                  <c:v>1317.6521199284846</c:v>
                </c:pt>
                <c:pt idx="559">
                  <c:v>1314.3639904924314</c:v>
                </c:pt>
                <c:pt idx="560">
                  <c:v>1310.9838270926768</c:v>
                </c:pt>
                <c:pt idx="561">
                  <c:v>1307.5119094050085</c:v>
                </c:pt>
                <c:pt idx="562">
                  <c:v>1303.948523524115</c:v>
                </c:pt>
                <c:pt idx="563">
                  <c:v>1300.2939619252243</c:v>
                </c:pt>
                <c:pt idx="564">
                  <c:v>1296.5485234210878</c:v>
                </c:pt>
                <c:pt idx="565">
                  <c:v>1292.7125131146452</c:v>
                </c:pt>
                <c:pt idx="566">
                  <c:v>1288.7862423476711</c:v>
                </c:pt>
                <c:pt idx="567">
                  <c:v>1284.7700286456825</c:v>
                </c:pt>
                <c:pt idx="568">
                  <c:v>1280.664195659363</c:v>
                </c:pt>
                <c:pt idx="569">
                  <c:v>1276.4690731027372</c:v>
                </c:pt>
                <c:pt idx="570">
                  <c:v>1272.1849966883112</c:v>
                </c:pt>
                <c:pt idx="571">
                  <c:v>1267.8123080593812</c:v>
                </c:pt>
                <c:pt idx="572">
                  <c:v>1263.3513547196883</c:v>
                </c:pt>
                <c:pt idx="573">
                  <c:v>1258.8024899605982</c:v>
                </c:pt>
                <c:pt idx="574">
                  <c:v>1254.1660727859564</c:v>
                </c:pt>
                <c:pt idx="575">
                  <c:v>1249.4424678347721</c:v>
                </c:pt>
                <c:pt idx="576">
                  <c:v>1244.6320453018657</c:v>
                </c:pt>
                <c:pt idx="577">
                  <c:v>1239.7351808566102</c:v>
                </c:pt>
                <c:pt idx="578">
                  <c:v>1234.7522555598871</c:v>
                </c:pt>
                <c:pt idx="579">
                  <c:v>1229.6836557793692</c:v>
                </c:pt>
                <c:pt idx="580">
                  <c:v>1224.5297731032415</c:v>
                </c:pt>
                <c:pt idx="581">
                  <c:v>1219.2910042524577</c:v>
                </c:pt>
                <c:pt idx="582">
                  <c:v>1213.9677509916312</c:v>
                </c:pt>
                <c:pt idx="583">
                  <c:v>1208.5604200386517</c:v>
                </c:pt>
                <c:pt idx="584">
                  <c:v>1203.0694229731148</c:v>
                </c:pt>
                <c:pt idx="585">
                  <c:v>1197.4951761436473</c:v>
                </c:pt>
                <c:pt idx="586">
                  <c:v>1191.8381005742096</c:v>
                </c:pt>
                <c:pt idx="587">
                  <c:v>1186.0986218694502</c:v>
                </c:pt>
                <c:pt idx="588">
                  <c:v>1180.277170119188</c:v>
                </c:pt>
                <c:pt idx="589">
                  <c:v>1174.3741798020908</c:v>
                </c:pt>
                <c:pt idx="590">
                  <c:v>1168.3900896886209</c:v>
                </c:pt>
                <c:pt idx="591">
                  <c:v>1162.3253427433131</c:v>
                </c:pt>
                <c:pt idx="592">
                  <c:v>1156.1803860264476</c:v>
                </c:pt>
                <c:pt idx="593">
                  <c:v>1149.9556705951838</c:v>
                </c:pt>
                <c:pt idx="594">
                  <c:v>1143.6516514042094</c:v>
                </c:pt>
                <c:pt idx="595">
                  <c:v>1137.2687872059689</c:v>
                </c:pt>
                <c:pt idx="596">
                  <c:v>1130.8075404505255</c:v>
                </c:pt>
                <c:pt idx="597">
                  <c:v>1124.2683771851114</c:v>
                </c:pt>
                <c:pt idx="598">
                  <c:v>1117.6517669534212</c:v>
                </c:pt>
                <c:pt idx="599">
                  <c:v>1110.9581826947012</c:v>
                </c:pt>
                <c:pt idx="600">
                  <c:v>1104.188100642685</c:v>
                </c:pt>
                <c:pt idx="601">
                  <c:v>1097.3420002244245</c:v>
                </c:pt>
                <c:pt idx="602">
                  <c:v>1090.4203639590676</c:v>
                </c:pt>
                <c:pt idx="603">
                  <c:v>1083.4236773566265</c:v>
                </c:pt>
                <c:pt idx="604">
                  <c:v>1076.3524288167871</c:v>
                </c:pt>
                <c:pt idx="605">
                  <c:v>1069.2071095277993</c:v>
                </c:pt>
                <c:pt idx="606">
                  <c:v>1061.988213365498</c:v>
                </c:pt>
                <c:pt idx="607">
                  <c:v>1054.6962367924948</c:v>
                </c:pt>
                <c:pt idx="608">
                  <c:v>1047.3316787575818</c:v>
                </c:pt>
                <c:pt idx="609">
                  <c:v>1039.895040595391</c:v>
                </c:pt>
                <c:pt idx="610">
                  <c:v>1032.3868259263479</c:v>
                </c:pt>
                <c:pt idx="611">
                  <c:v>1024.807540556958</c:v>
                </c:pt>
                <c:pt idx="612">
                  <c:v>1017.1576923804653</c:v>
                </c:pt>
                <c:pt idx="613">
                  <c:v>1009.4377912779198</c:v>
                </c:pt>
                <c:pt idx="614">
                  <c:v>1001.6483490196896</c:v>
                </c:pt>
                <c:pt idx="615">
                  <c:v>993.78987916745302</c:v>
                </c:pt>
                <c:pt idx="616">
                  <c:v>985.862896976706</c:v>
                </c:pt>
                <c:pt idx="617">
                  <c:v>977.86791929981678</c:v>
                </c:pt>
                <c:pt idx="618">
                  <c:v>969.80546448966152</c:v>
                </c:pt>
                <c:pt idx="619">
                  <c:v>961.67605230387187</c:v>
                </c:pt>
                <c:pt idx="620">
                  <c:v>953.48020380972514</c:v>
                </c:pt>
                <c:pt idx="621">
                  <c:v>945.21844128970724</c:v>
                </c:pt>
                <c:pt idx="622">
                  <c:v>936.89128814777678</c:v>
                </c:pt>
                <c:pt idx="623">
                  <c:v>928.49926881635884</c:v>
                </c:pt>
                <c:pt idx="624">
                  <c:v>920.04290866409497</c:v>
                </c:pt>
                <c:pt idx="625">
                  <c:v>911.52273390437597</c:v>
                </c:pt>
                <c:pt idx="626">
                  <c:v>902.93927150468278</c:v>
                </c:pt>
                <c:pt idx="627">
                  <c:v>894.29304909675966</c:v>
                </c:pt>
                <c:pt idx="628">
                  <c:v>885.58459488764345</c:v>
                </c:pt>
                <c:pt idx="629">
                  <c:v>876.8144375715716</c:v>
                </c:pt>
                <c:pt idx="630">
                  <c:v>867.983106242791</c:v>
                </c:pt>
                <c:pt idx="631">
                  <c:v>859.09113030928791</c:v>
                </c:pt>
                <c:pt idx="632">
                  <c:v>850.13903940746013</c:v>
                </c:pt>
                <c:pt idx="633">
                  <c:v>841.12736331774954</c:v>
                </c:pt>
                <c:pt idx="634">
                  <c:v>832.05663188125482</c:v>
                </c:pt>
                <c:pt idx="635">
                  <c:v>822.92737491734067</c:v>
                </c:pt>
                <c:pt idx="636">
                  <c:v>813.74012214226127</c:v>
                </c:pt>
                <c:pt idx="637">
                  <c:v>804.49540308881308</c:v>
                </c:pt>
                <c:pt idx="638">
                  <c:v>795.19374702703306</c:v>
                </c:pt>
                <c:pt idx="639">
                  <c:v>785.83568288595575</c:v>
                </c:pt>
                <c:pt idx="640">
                  <c:v>776.42173917644368</c:v>
                </c:pt>
                <c:pt idx="641">
                  <c:v>766.952443915103</c:v>
                </c:pt>
                <c:pt idx="642">
                  <c:v>757.4283245492968</c:v>
                </c:pt>
                <c:pt idx="643">
                  <c:v>747.84990788326706</c:v>
                </c:pt>
                <c:pt idx="644">
                  <c:v>738.21772000537624</c:v>
                </c:pt>
                <c:pt idx="645">
                  <c:v>728.53228621647702</c:v>
                </c:pt>
                <c:pt idx="646">
                  <c:v>718.79413095942061</c:v>
                </c:pt>
                <c:pt idx="647">
                  <c:v>709.00377774971059</c:v>
                </c:pt>
                <c:pt idx="648">
                  <c:v>699.16174910731024</c:v>
                </c:pt>
                <c:pt idx="649">
                  <c:v>689.26856648961063</c:v>
                </c:pt>
                <c:pt idx="650">
                  <c:v>679.32475022556434</c:v>
                </c:pt>
                <c:pt idx="651">
                  <c:v>669.33081945099138</c:v>
                </c:pt>
                <c:pt idx="652">
                  <c:v>659.28729204506124</c:v>
                </c:pt>
                <c:pt idx="653">
                  <c:v>649.19468456795539</c:v>
                </c:pt>
                <c:pt idx="654">
                  <c:v>639.05351219971351</c:v>
                </c:pt>
                <c:pt idx="655">
                  <c:v>628.86428868026644</c:v>
                </c:pt>
                <c:pt idx="656">
                  <c:v>618.6275262506573</c:v>
                </c:pt>
                <c:pt idx="657">
                  <c:v>608.34373559545293</c:v>
                </c:pt>
                <c:pt idx="658">
                  <c:v>598.01342578634603</c:v>
                </c:pt>
                <c:pt idx="659">
                  <c:v>587.63710422694885</c:v>
                </c:pt>
                <c:pt idx="660">
                  <c:v>577.21527659877711</c:v>
                </c:pt>
                <c:pt idx="661">
                  <c:v>566.74844680842432</c:v>
                </c:pt>
                <c:pt idx="662">
                  <c:v>556.23711693592452</c:v>
                </c:pt>
                <c:pt idx="663">
                  <c:v>545.6817871843017</c:v>
                </c:pt>
                <c:pt idx="664">
                  <c:v>535.08295583030281</c:v>
                </c:pt>
                <c:pt idx="665">
                  <c:v>524.44111917631221</c:v>
                </c:pt>
                <c:pt idx="666">
                  <c:v>513.75677150344313</c:v>
                </c:pt>
                <c:pt idx="667">
                  <c:v>503.03040502580313</c:v>
                </c:pt>
                <c:pt idx="668">
                  <c:v>492.26250984592798</c:v>
                </c:pt>
                <c:pt idx="669">
                  <c:v>481.45357391137969</c:v>
                </c:pt>
                <c:pt idx="670">
                  <c:v>470.60408297250325</c:v>
                </c:pt>
                <c:pt idx="671">
                  <c:v>459.71452054133596</c:v>
                </c:pt>
                <c:pt idx="672">
                  <c:v>448.78536785166324</c:v>
                </c:pt>
                <c:pt idx="673">
                  <c:v>437.81710382021413</c:v>
                </c:pt>
                <c:pt idx="674">
                  <c:v>426.81020500898978</c:v>
                </c:pt>
                <c:pt idx="675">
                  <c:v>415.7651455887169</c:v>
                </c:pt>
                <c:pt idx="676">
                  <c:v>404.68239730341884</c:v>
                </c:pt>
                <c:pt idx="677">
                  <c:v>393.56242943609601</c:v>
                </c:pt>
                <c:pt idx="678">
                  <c:v>382.40570877550687</c:v>
                </c:pt>
                <c:pt idx="679">
                  <c:v>371.21269958404099</c:v>
                </c:pt>
                <c:pt idx="680">
                  <c:v>359.98386356667481</c:v>
                </c:pt>
                <c:pt idx="681">
                  <c:v>348.71965984100086</c:v>
                </c:pt>
                <c:pt idx="682">
                  <c:v>337.42054490832027</c:v>
                </c:pt>
                <c:pt idx="683">
                  <c:v>326.08697262578909</c:v>
                </c:pt>
                <c:pt idx="684">
                  <c:v>314.7193941796076</c:v>
                </c:pt>
                <c:pt idx="685">
                  <c:v>303.31825805924251</c:v>
                </c:pt>
                <c:pt idx="686">
                  <c:v>291.88401003267103</c:v>
                </c:pt>
                <c:pt idx="687">
                  <c:v>280.41709312263566</c:v>
                </c:pt>
                <c:pt idx="688">
                  <c:v>268.91794758389898</c:v>
                </c:pt>
                <c:pt idx="689">
                  <c:v>257.38701088148628</c:v>
                </c:pt>
                <c:pt idx="690">
                  <c:v>245.82471766990511</c:v>
                </c:pt>
                <c:pt idx="691">
                  <c:v>234.23149977332957</c:v>
                </c:pt>
                <c:pt idx="692">
                  <c:v>222.6077861667373</c:v>
                </c:pt>
                <c:pt idx="693">
                  <c:v>210.9540029579872</c:v>
                </c:pt>
                <c:pt idx="694">
                  <c:v>199.27057337082567</c:v>
                </c:pt>
                <c:pt idx="695">
                  <c:v>187.55791772880872</c:v>
                </c:pt>
                <c:pt idx="696">
                  <c:v>175.8164534401275</c:v>
                </c:pt>
                <c:pt idx="697">
                  <c:v>164.04659498332472</c:v>
                </c:pt>
                <c:pt idx="698">
                  <c:v>152.24875389388893</c:v>
                </c:pt>
                <c:pt idx="699">
                  <c:v>140.423338751714</c:v>
                </c:pt>
                <c:pt idx="700">
                  <c:v>128.57075516941072</c:v>
                </c:pt>
                <c:pt idx="701">
                  <c:v>116.69140578145765</c:v>
                </c:pt>
                <c:pt idx="702">
                  <c:v>104.78569023417785</c:v>
                </c:pt>
                <c:pt idx="703">
                  <c:v>92.854005176528645</c:v>
                </c:pt>
                <c:pt idx="704">
                  <c:v>80.896744251690905</c:v>
                </c:pt>
                <c:pt idx="705">
                  <c:v>68.91429808944487</c:v>
                </c:pt>
                <c:pt idx="706">
                  <c:v>56.907054299319029</c:v>
                </c:pt>
                <c:pt idx="707">
                  <c:v>44.875397464498832</c:v>
                </c:pt>
                <c:pt idx="708">
                  <c:v>32.819709136481897</c:v>
                </c:pt>
                <c:pt idx="709">
                  <c:v>20.740367830466383</c:v>
                </c:pt>
                <c:pt idx="710">
                  <c:v>8.6377490214591433</c:v>
                </c:pt>
                <c:pt idx="711">
                  <c:v>-3.4877748589096171</c:v>
                </c:pt>
                <c:pt idx="712">
                  <c:v>-3.4999117537742355</c:v>
                </c:pt>
                <c:pt idx="713">
                  <c:v>-3.5120486709904264</c:v>
                </c:pt>
                <c:pt idx="714">
                  <c:v>-3.5241856105578258</c:v>
                </c:pt>
                <c:pt idx="715">
                  <c:v>-3.5363225724760694</c:v>
                </c:pt>
                <c:pt idx="716">
                  <c:v>-3.5484595567447932</c:v>
                </c:pt>
                <c:pt idx="717">
                  <c:v>-3.5605965633636329</c:v>
                </c:pt>
                <c:pt idx="718">
                  <c:v>-3.572733592332225</c:v>
                </c:pt>
                <c:pt idx="719">
                  <c:v>-3.5848706436502051</c:v>
                </c:pt>
                <c:pt idx="720">
                  <c:v>-3.5970077173172093</c:v>
                </c:pt>
                <c:pt idx="721">
                  <c:v>-3.6091448133328732</c:v>
                </c:pt>
                <c:pt idx="722">
                  <c:v>-3.6212819316968332</c:v>
                </c:pt>
                <c:pt idx="723">
                  <c:v>-3.6334190724087252</c:v>
                </c:pt>
                <c:pt idx="724">
                  <c:v>-3.645556235468185</c:v>
                </c:pt>
                <c:pt idx="725">
                  <c:v>-3.6576934208748484</c:v>
                </c:pt>
                <c:pt idx="726">
                  <c:v>-3.6698306286283513</c:v>
                </c:pt>
                <c:pt idx="727">
                  <c:v>-3.68196785872833</c:v>
                </c:pt>
                <c:pt idx="728">
                  <c:v>-3.6941051111744203</c:v>
                </c:pt>
                <c:pt idx="729">
                  <c:v>-3.7062423859662585</c:v>
                </c:pt>
                <c:pt idx="730">
                  <c:v>-3.7183796831034805</c:v>
                </c:pt>
                <c:pt idx="731">
                  <c:v>-3.7305170025857222</c:v>
                </c:pt>
                <c:pt idx="732">
                  <c:v>-3.7426543444126192</c:v>
                </c:pt>
                <c:pt idx="733">
                  <c:v>-3.7547917085838081</c:v>
                </c:pt>
                <c:pt idx="734">
                  <c:v>-3.7669290950989245</c:v>
                </c:pt>
                <c:pt idx="735">
                  <c:v>-3.7790665039576044</c:v>
                </c:pt>
                <c:pt idx="736">
                  <c:v>-3.791203935159484</c:v>
                </c:pt>
                <c:pt idx="737">
                  <c:v>-3.8033413887041991</c:v>
                </c:pt>
                <c:pt idx="738">
                  <c:v>-3.8154788645913857</c:v>
                </c:pt>
                <c:pt idx="739">
                  <c:v>-3.8276163628206801</c:v>
                </c:pt>
                <c:pt idx="740">
                  <c:v>-3.839753883391718</c:v>
                </c:pt>
                <c:pt idx="741">
                  <c:v>-3.8518914263041353</c:v>
                </c:pt>
                <c:pt idx="742">
                  <c:v>-3.8640289915575683</c:v>
                </c:pt>
                <c:pt idx="743">
                  <c:v>-3.8761665791516529</c:v>
                </c:pt>
                <c:pt idx="744">
                  <c:v>-3.8883041890860253</c:v>
                </c:pt>
                <c:pt idx="745">
                  <c:v>-3.9004418213603214</c:v>
                </c:pt>
                <c:pt idx="746">
                  <c:v>-3.912579475974177</c:v>
                </c:pt>
                <c:pt idx="747">
                  <c:v>-3.9247171529272284</c:v>
                </c:pt>
                <c:pt idx="748">
                  <c:v>-3.9368548522191116</c:v>
                </c:pt>
                <c:pt idx="749">
                  <c:v>-3.9489925738494627</c:v>
                </c:pt>
                <c:pt idx="750">
                  <c:v>-3.9611303178179176</c:v>
                </c:pt>
                <c:pt idx="751">
                  <c:v>-3.9732680841241126</c:v>
                </c:pt>
                <c:pt idx="752">
                  <c:v>-3.9854058727676831</c:v>
                </c:pt>
                <c:pt idx="753">
                  <c:v>-3.9975436837482659</c:v>
                </c:pt>
                <c:pt idx="754">
                  <c:v>-4.0096815170654967</c:v>
                </c:pt>
                <c:pt idx="755">
                  <c:v>-4.0218193727190119</c:v>
                </c:pt>
                <c:pt idx="756">
                  <c:v>-4.0339572507084469</c:v>
                </c:pt>
                <c:pt idx="757">
                  <c:v>-4.0460951510334384</c:v>
                </c:pt>
                <c:pt idx="758">
                  <c:v>-4.0582330736936223</c:v>
                </c:pt>
                <c:pt idx="759">
                  <c:v>-4.0703710186886344</c:v>
                </c:pt>
                <c:pt idx="760">
                  <c:v>-4.0825089860181105</c:v>
                </c:pt>
                <c:pt idx="761">
                  <c:v>-4.0946469756816875</c:v>
                </c:pt>
                <c:pt idx="762">
                  <c:v>-4.106784987679001</c:v>
                </c:pt>
                <c:pt idx="763">
                  <c:v>-4.1189230220096871</c:v>
                </c:pt>
                <c:pt idx="764">
                  <c:v>-4.1310610786733815</c:v>
                </c:pt>
                <c:pt idx="765">
                  <c:v>-4.1431991576697209</c:v>
                </c:pt>
                <c:pt idx="766">
                  <c:v>-4.1553372589983413</c:v>
                </c:pt>
                <c:pt idx="767">
                  <c:v>-4.1674753826588784</c:v>
                </c:pt>
                <c:pt idx="768">
                  <c:v>-4.179613528650969</c:v>
                </c:pt>
                <c:pt idx="769">
                  <c:v>-4.1917516969742481</c:v>
                </c:pt>
                <c:pt idx="770">
                  <c:v>-4.2038898876283533</c:v>
                </c:pt>
                <c:pt idx="771">
                  <c:v>-4.2160281006129194</c:v>
                </c:pt>
                <c:pt idx="772">
                  <c:v>-4.2281663359275834</c:v>
                </c:pt>
                <c:pt idx="773">
                  <c:v>-4.240304593571981</c:v>
                </c:pt>
                <c:pt idx="774">
                  <c:v>-4.252442873545748</c:v>
                </c:pt>
                <c:pt idx="775">
                  <c:v>-4.2645811758485204</c:v>
                </c:pt>
                <c:pt idx="776">
                  <c:v>-4.2767195004799348</c:v>
                </c:pt>
                <c:pt idx="777">
                  <c:v>-4.2888578474396271</c:v>
                </c:pt>
                <c:pt idx="778">
                  <c:v>-4.300996216727234</c:v>
                </c:pt>
                <c:pt idx="779">
                  <c:v>-4.3131346083423914</c:v>
                </c:pt>
                <c:pt idx="780">
                  <c:v>-4.3252730222847351</c:v>
                </c:pt>
                <c:pt idx="781">
                  <c:v>-4.337411458553901</c:v>
                </c:pt>
                <c:pt idx="782">
                  <c:v>-4.3495499171495258</c:v>
                </c:pt>
                <c:pt idx="783">
                  <c:v>-4.3616883980712453</c:v>
                </c:pt>
                <c:pt idx="784">
                  <c:v>-4.3738269013186954</c:v>
                </c:pt>
                <c:pt idx="785">
                  <c:v>-4.3859654268915129</c:v>
                </c:pt>
                <c:pt idx="786">
                  <c:v>-4.3981039747893336</c:v>
                </c:pt>
                <c:pt idx="787">
                  <c:v>-4.4102425450117941</c:v>
                </c:pt>
                <c:pt idx="788">
                  <c:v>-4.4223811375585296</c:v>
                </c:pt>
                <c:pt idx="789">
                  <c:v>-4.4345197524291775</c:v>
                </c:pt>
                <c:pt idx="790">
                  <c:v>-4.4466583896233729</c:v>
                </c:pt>
                <c:pt idx="791">
                  <c:v>-4.4587970491407525</c:v>
                </c:pt>
                <c:pt idx="792">
                  <c:v>-4.4709357309809521</c:v>
                </c:pt>
                <c:pt idx="793">
                  <c:v>-4.4830744351436085</c:v>
                </c:pt>
                <c:pt idx="794">
                  <c:v>-4.4952131616283575</c:v>
                </c:pt>
                <c:pt idx="795">
                  <c:v>-4.507351910434835</c:v>
                </c:pt>
                <c:pt idx="796">
                  <c:v>-4.5194906815626776</c:v>
                </c:pt>
                <c:pt idx="797">
                  <c:v>-4.5316294750115214</c:v>
                </c:pt>
                <c:pt idx="798">
                  <c:v>-4.543768290781002</c:v>
                </c:pt>
                <c:pt idx="799">
                  <c:v>-4.5559071288707562</c:v>
                </c:pt>
                <c:pt idx="800">
                  <c:v>-4.5680459892804199</c:v>
                </c:pt>
                <c:pt idx="801">
                  <c:v>-4.5801848720096299</c:v>
                </c:pt>
                <c:pt idx="802">
                  <c:v>-4.5923237770580219</c:v>
                </c:pt>
                <c:pt idx="803">
                  <c:v>-4.6044627044252318</c:v>
                </c:pt>
                <c:pt idx="804">
                  <c:v>-4.6166016541108963</c:v>
                </c:pt>
                <c:pt idx="805">
                  <c:v>-4.6287406261146513</c:v>
                </c:pt>
                <c:pt idx="806">
                  <c:v>-4.6408796204361327</c:v>
                </c:pt>
                <c:pt idx="807">
                  <c:v>-4.6530186370749771</c:v>
                </c:pt>
                <c:pt idx="808">
                  <c:v>-4.6651576760308213</c:v>
                </c:pt>
                <c:pt idx="809">
                  <c:v>-4.6772967373033012</c:v>
                </c:pt>
                <c:pt idx="810">
                  <c:v>-4.6894358208920526</c:v>
                </c:pt>
                <c:pt idx="811">
                  <c:v>-4.7015749267967122</c:v>
                </c:pt>
                <c:pt idx="812">
                  <c:v>-4.7137140550169159</c:v>
                </c:pt>
                <c:pt idx="813">
                  <c:v>-4.7258532055522995</c:v>
                </c:pt>
                <c:pt idx="814">
                  <c:v>-4.7379923784024998</c:v>
                </c:pt>
                <c:pt idx="815">
                  <c:v>-4.7501315735671525</c:v>
                </c:pt>
                <c:pt idx="816">
                  <c:v>-4.7622707910458946</c:v>
                </c:pt>
                <c:pt idx="817">
                  <c:v>-4.7744100308383626</c:v>
                </c:pt>
                <c:pt idx="818">
                  <c:v>-4.7865492929441915</c:v>
                </c:pt>
                <c:pt idx="819">
                  <c:v>-4.7986885773630181</c:v>
                </c:pt>
                <c:pt idx="820">
                  <c:v>-4.8108278840944791</c:v>
                </c:pt>
                <c:pt idx="821">
                  <c:v>-4.8229672131382104</c:v>
                </c:pt>
                <c:pt idx="822">
                  <c:v>-4.8351065644938487</c:v>
                </c:pt>
                <c:pt idx="823">
                  <c:v>-4.8472459381610298</c:v>
                </c:pt>
                <c:pt idx="824">
                  <c:v>-4.8593853341393896</c:v>
                </c:pt>
                <c:pt idx="825">
                  <c:v>-4.8715247524285648</c:v>
                </c:pt>
                <c:pt idx="826">
                  <c:v>-4.8836641930281921</c:v>
                </c:pt>
                <c:pt idx="827">
                  <c:v>-4.8958036559379066</c:v>
                </c:pt>
                <c:pt idx="828">
                  <c:v>-4.9079431411573458</c:v>
                </c:pt>
                <c:pt idx="829">
                  <c:v>-4.9200826486861455</c:v>
                </c:pt>
                <c:pt idx="830">
                  <c:v>-4.9322221785239417</c:v>
                </c:pt>
                <c:pt idx="831">
                  <c:v>-4.9443617306703711</c:v>
                </c:pt>
                <c:pt idx="832">
                  <c:v>-4.9565013051250695</c:v>
                </c:pt>
                <c:pt idx="833">
                  <c:v>-4.9686409018876736</c:v>
                </c:pt>
                <c:pt idx="834">
                  <c:v>-4.9807805209578193</c:v>
                </c:pt>
                <c:pt idx="835">
                  <c:v>-4.9929201623351434</c:v>
                </c:pt>
                <c:pt idx="836">
                  <c:v>-5.0050598260192825</c:v>
                </c:pt>
                <c:pt idx="837">
                  <c:v>-5.0171995120098716</c:v>
                </c:pt>
                <c:pt idx="838">
                  <c:v>-5.0293392203065483</c:v>
                </c:pt>
                <c:pt idx="839">
                  <c:v>-5.0414789509089486</c:v>
                </c:pt>
                <c:pt idx="840">
                  <c:v>-5.0536187038167082</c:v>
                </c:pt>
                <c:pt idx="841">
                  <c:v>-5.0657584790294639</c:v>
                </c:pt>
                <c:pt idx="842">
                  <c:v>-5.0778982765468523</c:v>
                </c:pt>
                <c:pt idx="843">
                  <c:v>-5.0900380963685095</c:v>
                </c:pt>
                <c:pt idx="844">
                  <c:v>-5.1021779384940711</c:v>
                </c:pt>
                <c:pt idx="845">
                  <c:v>-5.114317802923174</c:v>
                </c:pt>
                <c:pt idx="846">
                  <c:v>-5.1264576896554548</c:v>
                </c:pt>
                <c:pt idx="847">
                  <c:v>-5.1385975986905494</c:v>
                </c:pt>
                <c:pt idx="848">
                  <c:v>-5.1507375300280946</c:v>
                </c:pt>
                <c:pt idx="849">
                  <c:v>-5.1628774836677263</c:v>
                </c:pt>
                <c:pt idx="850">
                  <c:v>-5.175017459609081</c:v>
                </c:pt>
                <c:pt idx="851">
                  <c:v>-5.1871574578517947</c:v>
                </c:pt>
                <c:pt idx="852">
                  <c:v>-5.1992974783955042</c:v>
                </c:pt>
                <c:pt idx="853">
                  <c:v>-5.211437521239846</c:v>
                </c:pt>
                <c:pt idx="854">
                  <c:v>-5.2235775863844562</c:v>
                </c:pt>
                <c:pt idx="855">
                  <c:v>-5.2357176738289706</c:v>
                </c:pt>
                <c:pt idx="856">
                  <c:v>-5.2478577835730267</c:v>
                </c:pt>
                <c:pt idx="857">
                  <c:v>-5.2599979156162595</c:v>
                </c:pt>
                <c:pt idx="858">
                  <c:v>-5.2721380699583067</c:v>
                </c:pt>
                <c:pt idx="859">
                  <c:v>-5.2842782465988041</c:v>
                </c:pt>
                <c:pt idx="860">
                  <c:v>-5.2964184455373875</c:v>
                </c:pt>
                <c:pt idx="861">
                  <c:v>-5.3085586667736937</c:v>
                </c:pt>
                <c:pt idx="862">
                  <c:v>-5.3206989103073594</c:v>
                </c:pt>
                <c:pt idx="863">
                  <c:v>-5.3328391761380214</c:v>
                </c:pt>
                <c:pt idx="864">
                  <c:v>-5.3449794642653146</c:v>
                </c:pt>
                <c:pt idx="865">
                  <c:v>-5.3571197746888766</c:v>
                </c:pt>
                <c:pt idx="866">
                  <c:v>-5.3692601074083433</c:v>
                </c:pt>
                <c:pt idx="867">
                  <c:v>-5.3814004624233513</c:v>
                </c:pt>
                <c:pt idx="868">
                  <c:v>-5.3935408397335367</c:v>
                </c:pt>
                <c:pt idx="869">
                  <c:v>-5.4056812393385361</c:v>
                </c:pt>
                <c:pt idx="870">
                  <c:v>-5.4178216612379861</c:v>
                </c:pt>
                <c:pt idx="871">
                  <c:v>-5.4299621054315228</c:v>
                </c:pt>
                <c:pt idx="872">
                  <c:v>-5.4421025719187828</c:v>
                </c:pt>
                <c:pt idx="873">
                  <c:v>-5.4542430606994028</c:v>
                </c:pt>
                <c:pt idx="874">
                  <c:v>-5.4663835717730187</c:v>
                </c:pt>
                <c:pt idx="875">
                  <c:v>-5.4785241051392672</c:v>
                </c:pt>
                <c:pt idx="876">
                  <c:v>-5.4906646607977843</c:v>
                </c:pt>
                <c:pt idx="877">
                  <c:v>-5.5028052387482065</c:v>
                </c:pt>
                <c:pt idx="878">
                  <c:v>-5.5149458389901707</c:v>
                </c:pt>
                <c:pt idx="879">
                  <c:v>-5.5270864615233135</c:v>
                </c:pt>
                <c:pt idx="880">
                  <c:v>-5.5392271063472709</c:v>
                </c:pt>
                <c:pt idx="881">
                  <c:v>-5.5513677734616786</c:v>
                </c:pt>
                <c:pt idx="882">
                  <c:v>-5.5635084628661744</c:v>
                </c:pt>
                <c:pt idx="883">
                  <c:v>-5.575649174560394</c:v>
                </c:pt>
                <c:pt idx="884">
                  <c:v>-5.5877899085439742</c:v>
                </c:pt>
                <c:pt idx="885">
                  <c:v>-5.5999306648165508</c:v>
                </c:pt>
                <c:pt idx="886">
                  <c:v>-5.6120714433777605</c:v>
                </c:pt>
                <c:pt idx="887">
                  <c:v>-5.6242122442272402</c:v>
                </c:pt>
                <c:pt idx="888">
                  <c:v>-5.6363530673646256</c:v>
                </c:pt>
                <c:pt idx="889">
                  <c:v>-5.6484939127895544</c:v>
                </c:pt>
                <c:pt idx="890">
                  <c:v>-5.6606347805016615</c:v>
                </c:pt>
                <c:pt idx="891">
                  <c:v>-5.6727756705005845</c:v>
                </c:pt>
                <c:pt idx="892">
                  <c:v>-5.6849165827859593</c:v>
                </c:pt>
                <c:pt idx="893">
                  <c:v>-5.6970575173574227</c:v>
                </c:pt>
                <c:pt idx="894">
                  <c:v>-5.7091984742146114</c:v>
                </c:pt>
                <c:pt idx="895">
                  <c:v>-5.7213394533571611</c:v>
                </c:pt>
                <c:pt idx="896">
                  <c:v>-5.7334804547847087</c:v>
                </c:pt>
                <c:pt idx="897">
                  <c:v>-5.7456214784968909</c:v>
                </c:pt>
                <c:pt idx="898">
                  <c:v>-5.7577625244933444</c:v>
                </c:pt>
                <c:pt idx="899">
                  <c:v>-5.769903592773705</c:v>
                </c:pt>
                <c:pt idx="900">
                  <c:v>-5.7820446833376096</c:v>
                </c:pt>
                <c:pt idx="901">
                  <c:v>-5.7941857961846939</c:v>
                </c:pt>
                <c:pt idx="902">
                  <c:v>-5.8063269313145955</c:v>
                </c:pt>
                <c:pt idx="903">
                  <c:v>-5.8184680887269504</c:v>
                </c:pt>
                <c:pt idx="904">
                  <c:v>-5.8306092684213953</c:v>
                </c:pt>
                <c:pt idx="905">
                  <c:v>-5.8427504703975659</c:v>
                </c:pt>
                <c:pt idx="906">
                  <c:v>-5.8548916946551</c:v>
                </c:pt>
                <c:pt idx="907">
                  <c:v>-5.8670329411936333</c:v>
                </c:pt>
                <c:pt idx="908">
                  <c:v>-5.8791742100128026</c:v>
                </c:pt>
                <c:pt idx="909">
                  <c:v>-5.8913155011122438</c:v>
                </c:pt>
                <c:pt idx="910">
                  <c:v>-5.9034568144915944</c:v>
                </c:pt>
                <c:pt idx="911">
                  <c:v>-5.9155981501504904</c:v>
                </c:pt>
                <c:pt idx="912">
                  <c:v>-5.9277395080885684</c:v>
                </c:pt>
                <c:pt idx="913">
                  <c:v>-5.9398808883054652</c:v>
                </c:pt>
                <c:pt idx="914">
                  <c:v>-5.9520222908008167</c:v>
                </c:pt>
                <c:pt idx="915">
                  <c:v>-5.9641637155742595</c:v>
                </c:pt>
                <c:pt idx="916">
                  <c:v>-5.9763051626254304</c:v>
                </c:pt>
                <c:pt idx="917">
                  <c:v>-5.9884466319539662</c:v>
                </c:pt>
                <c:pt idx="918">
                  <c:v>-6.0005881235595036</c:v>
                </c:pt>
                <c:pt idx="919">
                  <c:v>-6.0127296374416783</c:v>
                </c:pt>
                <c:pt idx="920">
                  <c:v>-6.0248711736001272</c:v>
                </c:pt>
                <c:pt idx="921">
                  <c:v>-6.0370127320344871</c:v>
                </c:pt>
                <c:pt idx="922">
                  <c:v>-6.0491543127443945</c:v>
                </c:pt>
                <c:pt idx="923">
                  <c:v>-6.0612959157294863</c:v>
                </c:pt>
                <c:pt idx="924">
                  <c:v>-6.0734375409893984</c:v>
                </c:pt>
                <c:pt idx="925">
                  <c:v>-6.0855791885237673</c:v>
                </c:pt>
                <c:pt idx="926">
                  <c:v>-6.09772085833223</c:v>
                </c:pt>
                <c:pt idx="927">
                  <c:v>-6.1098625504144231</c:v>
                </c:pt>
                <c:pt idx="928">
                  <c:v>-6.1220042647699833</c:v>
                </c:pt>
                <c:pt idx="929">
                  <c:v>-6.1341460013985465</c:v>
                </c:pt>
                <c:pt idx="930">
                  <c:v>-6.1462877602997494</c:v>
                </c:pt>
                <c:pt idx="931">
                  <c:v>-6.1584295414732297</c:v>
                </c:pt>
                <c:pt idx="932">
                  <c:v>-6.1705713449186232</c:v>
                </c:pt>
                <c:pt idx="933">
                  <c:v>-6.1827131706355658</c:v>
                </c:pt>
                <c:pt idx="934">
                  <c:v>-6.194855018623695</c:v>
                </c:pt>
                <c:pt idx="935">
                  <c:v>-6.2069968888826477</c:v>
                </c:pt>
                <c:pt idx="936">
                  <c:v>-6.2191387814120596</c:v>
                </c:pt>
                <c:pt idx="937">
                  <c:v>-6.2312806962115674</c:v>
                </c:pt>
                <c:pt idx="938">
                  <c:v>-6.243422633280808</c:v>
                </c:pt>
                <c:pt idx="939">
                  <c:v>-6.2555645926194181</c:v>
                </c:pt>
                <c:pt idx="940">
                  <c:v>-6.2677065742270344</c:v>
                </c:pt>
                <c:pt idx="941">
                  <c:v>-6.2798485781032927</c:v>
                </c:pt>
                <c:pt idx="942">
                  <c:v>-6.2919906042478306</c:v>
                </c:pt>
                <c:pt idx="943">
                  <c:v>-6.3041326526602841</c:v>
                </c:pt>
                <c:pt idx="944">
                  <c:v>-6.3162747233402898</c:v>
                </c:pt>
                <c:pt idx="945">
                  <c:v>-6.3284168162874854</c:v>
                </c:pt>
                <c:pt idx="946">
                  <c:v>-6.3405589315015067</c:v>
                </c:pt>
                <c:pt idx="947">
                  <c:v>-6.3527010689819905</c:v>
                </c:pt>
                <c:pt idx="948">
                  <c:v>-6.3648432287285726</c:v>
                </c:pt>
                <c:pt idx="949">
                  <c:v>-6.3769854107408905</c:v>
                </c:pt>
                <c:pt idx="950">
                  <c:v>-6.3891276150185812</c:v>
                </c:pt>
                <c:pt idx="951">
                  <c:v>-6.4012698415612803</c:v>
                </c:pt>
                <c:pt idx="952">
                  <c:v>-6.4134120903686247</c:v>
                </c:pt>
                <c:pt idx="953">
                  <c:v>-6.4255543614402519</c:v>
                </c:pt>
                <c:pt idx="954">
                  <c:v>-6.4376966547757979</c:v>
                </c:pt>
                <c:pt idx="955">
                  <c:v>-6.4498389703748993</c:v>
                </c:pt>
                <c:pt idx="956">
                  <c:v>-6.4619813082371929</c:v>
                </c:pt>
                <c:pt idx="957">
                  <c:v>-6.4741236683623153</c:v>
                </c:pt>
                <c:pt idx="958">
                  <c:v>-6.4862660507499035</c:v>
                </c:pt>
                <c:pt idx="959">
                  <c:v>-6.498408455399594</c:v>
                </c:pt>
                <c:pt idx="960">
                  <c:v>-6.5105508823110227</c:v>
                </c:pt>
                <c:pt idx="961">
                  <c:v>-6.5226933314838274</c:v>
                </c:pt>
                <c:pt idx="962">
                  <c:v>-6.5348358029176437</c:v>
                </c:pt>
                <c:pt idx="963">
                  <c:v>-6.5469782966121093</c:v>
                </c:pt>
                <c:pt idx="964">
                  <c:v>-6.5591208125668601</c:v>
                </c:pt>
                <c:pt idx="965">
                  <c:v>-6.5712633507815337</c:v>
                </c:pt>
                <c:pt idx="966">
                  <c:v>-6.5834059112557659</c:v>
                </c:pt>
                <c:pt idx="967">
                  <c:v>-6.5955484939891944</c:v>
                </c:pt>
                <c:pt idx="968">
                  <c:v>-6.607691098981455</c:v>
                </c:pt>
                <c:pt idx="969">
                  <c:v>-6.6198337262321845</c:v>
                </c:pt>
                <c:pt idx="970">
                  <c:v>-6.6319763757410195</c:v>
                </c:pt>
                <c:pt idx="971">
                  <c:v>-6.6441190475075969</c:v>
                </c:pt>
                <c:pt idx="972">
                  <c:v>-6.6562617415315533</c:v>
                </c:pt>
                <c:pt idx="973">
                  <c:v>-6.6684044578125263</c:v>
                </c:pt>
                <c:pt idx="974">
                  <c:v>-6.6805471963501519</c:v>
                </c:pt>
                <c:pt idx="975">
                  <c:v>-6.6926899571440668</c:v>
                </c:pt>
                <c:pt idx="976">
                  <c:v>-6.7048327401939076</c:v>
                </c:pt>
                <c:pt idx="977">
                  <c:v>-6.7169755454993112</c:v>
                </c:pt>
                <c:pt idx="978">
                  <c:v>-6.7291183730599142</c:v>
                </c:pt>
                <c:pt idx="979">
                  <c:v>-6.7412612228753535</c:v>
                </c:pt>
                <c:pt idx="980">
                  <c:v>-6.7534040949452656</c:v>
                </c:pt>
                <c:pt idx="981">
                  <c:v>-6.7655469892692874</c:v>
                </c:pt>
                <c:pt idx="982">
                  <c:v>-6.7776899058470557</c:v>
                </c:pt>
                <c:pt idx="983">
                  <c:v>-6.789832844678207</c:v>
                </c:pt>
                <c:pt idx="984">
                  <c:v>-6.8019758057623783</c:v>
                </c:pt>
                <c:pt idx="985">
                  <c:v>-6.8141187890992061</c:v>
                </c:pt>
                <c:pt idx="986">
                  <c:v>-6.8262617946883273</c:v>
                </c:pt>
                <c:pt idx="987">
                  <c:v>-6.8384048225293785</c:v>
                </c:pt>
                <c:pt idx="988">
                  <c:v>-6.8505478726219966</c:v>
                </c:pt>
                <c:pt idx="989">
                  <c:v>-6.8626909449658182</c:v>
                </c:pt>
                <c:pt idx="990">
                  <c:v>-6.874834039560481</c:v>
                </c:pt>
                <c:pt idx="991">
                  <c:v>-6.8869771564056208</c:v>
                </c:pt>
                <c:pt idx="992">
                  <c:v>-6.8991202955008744</c:v>
                </c:pt>
                <c:pt idx="993">
                  <c:v>-6.9112634568458784</c:v>
                </c:pt>
                <c:pt idx="994">
                  <c:v>-6.9234066404402705</c:v>
                </c:pt>
                <c:pt idx="995">
                  <c:v>-6.9355498462836866</c:v>
                </c:pt>
                <c:pt idx="996">
                  <c:v>-6.9476930743757643</c:v>
                </c:pt>
                <c:pt idx="997">
                  <c:v>-6.9598363247161394</c:v>
                </c:pt>
                <c:pt idx="998">
                  <c:v>-6.9719795973044496</c:v>
                </c:pt>
                <c:pt idx="999">
                  <c:v>-6.9841228921403307</c:v>
                </c:pt>
                <c:pt idx="1000">
                  <c:v>-6.9962662092234202</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15.6</c:v>
                </c:pt>
                <c:pt idx="1">
                  <c:v>62.534231980886304</c:v>
                </c:pt>
                <c:pt idx="2">
                  <c:v>109.46846396177261</c:v>
                </c:pt>
                <c:pt idx="3">
                  <c:v>108.21366281373714</c:v>
                </c:pt>
                <c:pt idx="4">
                  <c:v>109.46846396177261</c:v>
                </c:pt>
                <c:pt idx="5">
                  <c:v>104.70366281373713</c:v>
                </c:pt>
                <c:pt idx="6">
                  <c:v>109.46846396177261</c:v>
                </c:pt>
              </c:numCache>
            </c:numRef>
          </c:xVal>
          <c:yVal>
            <c:numRef>
              <c:f>Trajecto!$C$132:$C$138</c:f>
              <c:numCache>
                <c:formatCode>0</c:formatCode>
                <c:ptCount val="7"/>
                <c:pt idx="0">
                  <c:v>1369.8592967280126</c:v>
                </c:pt>
                <c:pt idx="1">
                  <c:v>684.92964836400631</c:v>
                </c:pt>
                <c:pt idx="2">
                  <c:v>0</c:v>
                </c:pt>
                <c:pt idx="3">
                  <c:v>62.904023143667558</c:v>
                </c:pt>
                <c:pt idx="4">
                  <c:v>0</c:v>
                </c:pt>
                <c:pt idx="5">
                  <c:v>25.150811832804489</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27.788477306162243</c:v>
                </c:pt>
                <c:pt idx="2">
                  <c:v>50.976954612324484</c:v>
                </c:pt>
                <c:pt idx="3">
                  <c:v>49.08113777177185</c:v>
                </c:pt>
                <c:pt idx="4">
                  <c:v>50.976954612324484</c:v>
                </c:pt>
                <c:pt idx="5">
                  <c:v>46.77277145287708</c:v>
                </c:pt>
                <c:pt idx="6">
                  <c:v>50.976954612324484</c:v>
                </c:pt>
              </c:numCache>
            </c:numRef>
          </c:xVal>
          <c:yVal>
            <c:numRef>
              <c:f>Trajecto!$C$149:$C$155</c:f>
              <c:numCache>
                <c:formatCode>0</c:formatCode>
                <c:ptCount val="7"/>
                <c:pt idx="0">
                  <c:v>586.92645336295391</c:v>
                </c:pt>
                <c:pt idx="1">
                  <c:v>293.46322668147695</c:v>
                </c:pt>
                <c:pt idx="2">
                  <c:v>0</c:v>
                </c:pt>
                <c:pt idx="3">
                  <c:v>103.25511038581936</c:v>
                </c:pt>
                <c:pt idx="4">
                  <c:v>0</c:v>
                </c:pt>
                <c:pt idx="5">
                  <c:v>21.100664272892203</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Calculs!$AE$4:$AE$1004</c:f>
              <c:numCache>
                <c:formatCode>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3.9</c:v>
                </c:pt>
              </c:numCache>
            </c:numRef>
          </c:xVal>
          <c:yVal>
            <c:numRef>
              <c:f>Trajecto!$C$158</c:f>
              <c:numCache>
                <c:formatCode>0</c:formatCode>
                <c:ptCount val="1"/>
                <c:pt idx="0">
                  <c:v>684.92964836400631</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25.750000000000053</c:v>
                </c:pt>
              </c:numCache>
            </c:numRef>
          </c:xVal>
          <c:yVal>
            <c:numRef>
              <c:f>Trajecto!$C$159</c:f>
              <c:numCache>
                <c:formatCode>0</c:formatCode>
                <c:ptCount val="1"/>
                <c:pt idx="0">
                  <c:v>686.55466732775744</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Calculs!$T$4:$T$1004</c:f>
              <c:numCache>
                <c:formatCode>0.00</c:formatCode>
                <c:ptCount val="1001"/>
                <c:pt idx="0">
                  <c:v>86.73021</c:v>
                </c:pt>
                <c:pt idx="1">
                  <c:v>86.725813598531843</c:v>
                </c:pt>
                <c:pt idx="2">
                  <c:v>86.712624394127388</c:v>
                </c:pt>
                <c:pt idx="3">
                  <c:v>86.690642386786621</c:v>
                </c:pt>
                <c:pt idx="4">
                  <c:v>86.659867576509555</c:v>
                </c:pt>
                <c:pt idx="5">
                  <c:v>86.620299963296191</c:v>
                </c:pt>
                <c:pt idx="6">
                  <c:v>86.576387915535093</c:v>
                </c:pt>
                <c:pt idx="7">
                  <c:v>86.532579801614858</c:v>
                </c:pt>
                <c:pt idx="8">
                  <c:v>86.48887562153547</c:v>
                </c:pt>
                <c:pt idx="9">
                  <c:v>86.445275375296944</c:v>
                </c:pt>
                <c:pt idx="10">
                  <c:v>86.40177906289928</c:v>
                </c:pt>
                <c:pt idx="11">
                  <c:v>86.358386684342463</c:v>
                </c:pt>
                <c:pt idx="12">
                  <c:v>86.315098239626494</c:v>
                </c:pt>
                <c:pt idx="13">
                  <c:v>86.271913728751372</c:v>
                </c:pt>
                <c:pt idx="14">
                  <c:v>86.228833151717126</c:v>
                </c:pt>
                <c:pt idx="15">
                  <c:v>86.185856508523727</c:v>
                </c:pt>
                <c:pt idx="16">
                  <c:v>86.142983799171176</c:v>
                </c:pt>
                <c:pt idx="17">
                  <c:v>86.100215023659487</c:v>
                </c:pt>
                <c:pt idx="18">
                  <c:v>86.057550181988645</c:v>
                </c:pt>
                <c:pt idx="19">
                  <c:v>86.014989274158665</c:v>
                </c:pt>
                <c:pt idx="20">
                  <c:v>85.972532300169547</c:v>
                </c:pt>
                <c:pt idx="21">
                  <c:v>85.930179260021276</c:v>
                </c:pt>
                <c:pt idx="22">
                  <c:v>85.887930153713853</c:v>
                </c:pt>
                <c:pt idx="23">
                  <c:v>85.845784981247277</c:v>
                </c:pt>
                <c:pt idx="24">
                  <c:v>85.803743742621577</c:v>
                </c:pt>
                <c:pt idx="25">
                  <c:v>85.761806437836725</c:v>
                </c:pt>
                <c:pt idx="26">
                  <c:v>85.71997306689272</c:v>
                </c:pt>
                <c:pt idx="27">
                  <c:v>85.678243629789563</c:v>
                </c:pt>
                <c:pt idx="28">
                  <c:v>85.636618126527281</c:v>
                </c:pt>
                <c:pt idx="29">
                  <c:v>85.595096557105862</c:v>
                </c:pt>
                <c:pt idx="30">
                  <c:v>85.553678921525275</c:v>
                </c:pt>
                <c:pt idx="31">
                  <c:v>85.512365219785551</c:v>
                </c:pt>
                <c:pt idx="32">
                  <c:v>85.471155451886673</c:v>
                </c:pt>
                <c:pt idx="33">
                  <c:v>85.430049617828658</c:v>
                </c:pt>
                <c:pt idx="34">
                  <c:v>85.389047717611504</c:v>
                </c:pt>
                <c:pt idx="35">
                  <c:v>85.348149751235198</c:v>
                </c:pt>
                <c:pt idx="36">
                  <c:v>85.307355718699739</c:v>
                </c:pt>
                <c:pt idx="37">
                  <c:v>85.266665620005142</c:v>
                </c:pt>
                <c:pt idx="38">
                  <c:v>85.226079455151392</c:v>
                </c:pt>
                <c:pt idx="39">
                  <c:v>85.185597224138519</c:v>
                </c:pt>
                <c:pt idx="40">
                  <c:v>85.145218926966479</c:v>
                </c:pt>
                <c:pt idx="41">
                  <c:v>85.1049445636353</c:v>
                </c:pt>
                <c:pt idx="42">
                  <c:v>85.064774134144969</c:v>
                </c:pt>
                <c:pt idx="43">
                  <c:v>85.024707638495499</c:v>
                </c:pt>
                <c:pt idx="44">
                  <c:v>84.984745076686877</c:v>
                </c:pt>
                <c:pt idx="45">
                  <c:v>84.944886448719117</c:v>
                </c:pt>
                <c:pt idx="46">
                  <c:v>84.905131754592205</c:v>
                </c:pt>
                <c:pt idx="47">
                  <c:v>84.865480994306168</c:v>
                </c:pt>
                <c:pt idx="48">
                  <c:v>84.825934167860979</c:v>
                </c:pt>
                <c:pt idx="49">
                  <c:v>84.786491275256637</c:v>
                </c:pt>
                <c:pt idx="50">
                  <c:v>84.747152316493143</c:v>
                </c:pt>
                <c:pt idx="51">
                  <c:v>84.707894371423492</c:v>
                </c:pt>
                <c:pt idx="52">
                  <c:v>84.668694519900697</c:v>
                </c:pt>
                <c:pt idx="53">
                  <c:v>84.629552761924728</c:v>
                </c:pt>
                <c:pt idx="54">
                  <c:v>84.5904690974956</c:v>
                </c:pt>
                <c:pt idx="55">
                  <c:v>84.551443526613284</c:v>
                </c:pt>
                <c:pt idx="56">
                  <c:v>84.512476049277822</c:v>
                </c:pt>
                <c:pt idx="57">
                  <c:v>84.473566665489201</c:v>
                </c:pt>
                <c:pt idx="58">
                  <c:v>84.434715375247407</c:v>
                </c:pt>
                <c:pt idx="59">
                  <c:v>84.395922178552439</c:v>
                </c:pt>
                <c:pt idx="60">
                  <c:v>84.357187075404312</c:v>
                </c:pt>
                <c:pt idx="61">
                  <c:v>84.318510065803039</c:v>
                </c:pt>
                <c:pt idx="62">
                  <c:v>84.279891149748593</c:v>
                </c:pt>
                <c:pt idx="63">
                  <c:v>84.241330327240973</c:v>
                </c:pt>
                <c:pt idx="64">
                  <c:v>84.202827598280194</c:v>
                </c:pt>
                <c:pt idx="65">
                  <c:v>84.164382962866242</c:v>
                </c:pt>
                <c:pt idx="66">
                  <c:v>84.125996420999144</c:v>
                </c:pt>
                <c:pt idx="67">
                  <c:v>84.087667972678872</c:v>
                </c:pt>
                <c:pt idx="68">
                  <c:v>84.049397617905427</c:v>
                </c:pt>
                <c:pt idx="69">
                  <c:v>84.011185356678823</c:v>
                </c:pt>
                <c:pt idx="70">
                  <c:v>83.973031188999073</c:v>
                </c:pt>
                <c:pt idx="71">
                  <c:v>83.934935114866136</c:v>
                </c:pt>
                <c:pt idx="72">
                  <c:v>83.896897134280053</c:v>
                </c:pt>
                <c:pt idx="73">
                  <c:v>83.858917247240782</c:v>
                </c:pt>
                <c:pt idx="74">
                  <c:v>83.820995453748353</c:v>
                </c:pt>
                <c:pt idx="75">
                  <c:v>83.783131753802778</c:v>
                </c:pt>
                <c:pt idx="76">
                  <c:v>83.745326147404029</c:v>
                </c:pt>
                <c:pt idx="77">
                  <c:v>83.707578634552107</c:v>
                </c:pt>
                <c:pt idx="78">
                  <c:v>83.669889215247025</c:v>
                </c:pt>
                <c:pt idx="79">
                  <c:v>83.63225788948877</c:v>
                </c:pt>
                <c:pt idx="80">
                  <c:v>83.594684657277369</c:v>
                </c:pt>
                <c:pt idx="81">
                  <c:v>83.557169518612795</c:v>
                </c:pt>
                <c:pt idx="82">
                  <c:v>83.519712473495048</c:v>
                </c:pt>
                <c:pt idx="83">
                  <c:v>83.482313521924141</c:v>
                </c:pt>
                <c:pt idx="84">
                  <c:v>83.444972663900074</c:v>
                </c:pt>
                <c:pt idx="85">
                  <c:v>83.407689899422849</c:v>
                </c:pt>
                <c:pt idx="86">
                  <c:v>83.370465228492449</c:v>
                </c:pt>
                <c:pt idx="87">
                  <c:v>83.33329865110889</c:v>
                </c:pt>
                <c:pt idx="88">
                  <c:v>83.296190167272158</c:v>
                </c:pt>
                <c:pt idx="89">
                  <c:v>83.259139776982266</c:v>
                </c:pt>
                <c:pt idx="90">
                  <c:v>83.222147480239215</c:v>
                </c:pt>
                <c:pt idx="91">
                  <c:v>83.185213277043005</c:v>
                </c:pt>
                <c:pt idx="92">
                  <c:v>83.148337167393606</c:v>
                </c:pt>
                <c:pt idx="93">
                  <c:v>83.111519151291077</c:v>
                </c:pt>
                <c:pt idx="94">
                  <c:v>83.07475922873536</c:v>
                </c:pt>
                <c:pt idx="95">
                  <c:v>83.038057399726483</c:v>
                </c:pt>
                <c:pt idx="96">
                  <c:v>83.001413664264447</c:v>
                </c:pt>
                <c:pt idx="97">
                  <c:v>82.964828022349224</c:v>
                </c:pt>
                <c:pt idx="98">
                  <c:v>82.928300473980869</c:v>
                </c:pt>
                <c:pt idx="99">
                  <c:v>82.891831019159341</c:v>
                </c:pt>
                <c:pt idx="100">
                  <c:v>82.855419657884639</c:v>
                </c:pt>
                <c:pt idx="101">
                  <c:v>82.819076728838837</c:v>
                </c:pt>
                <c:pt idx="102">
                  <c:v>82.782812570703996</c:v>
                </c:pt>
                <c:pt idx="103">
                  <c:v>82.746627183480115</c:v>
                </c:pt>
                <c:pt idx="104">
                  <c:v>82.710520567167208</c:v>
                </c:pt>
                <c:pt idx="105">
                  <c:v>82.674492721765247</c:v>
                </c:pt>
                <c:pt idx="106">
                  <c:v>82.638543647274261</c:v>
                </c:pt>
                <c:pt idx="107">
                  <c:v>82.602673343694235</c:v>
                </c:pt>
                <c:pt idx="108">
                  <c:v>82.566881811025198</c:v>
                </c:pt>
                <c:pt idx="109">
                  <c:v>82.531169049267106</c:v>
                </c:pt>
                <c:pt idx="110">
                  <c:v>82.495535058419989</c:v>
                </c:pt>
                <c:pt idx="111">
                  <c:v>82.459979838483832</c:v>
                </c:pt>
                <c:pt idx="112">
                  <c:v>82.424503389458636</c:v>
                </c:pt>
                <c:pt idx="113">
                  <c:v>82.389105711344413</c:v>
                </c:pt>
                <c:pt idx="114">
                  <c:v>82.353786804141137</c:v>
                </c:pt>
                <c:pt idx="115">
                  <c:v>82.318546667848835</c:v>
                </c:pt>
                <c:pt idx="116">
                  <c:v>82.283385302467494</c:v>
                </c:pt>
                <c:pt idx="117">
                  <c:v>82.248302707997112</c:v>
                </c:pt>
                <c:pt idx="118">
                  <c:v>82.213298884437691</c:v>
                </c:pt>
                <c:pt idx="119">
                  <c:v>82.178373831789244</c:v>
                </c:pt>
                <c:pt idx="120">
                  <c:v>82.143527550051743</c:v>
                </c:pt>
                <c:pt idx="121">
                  <c:v>82.108760039225217</c:v>
                </c:pt>
                <c:pt idx="122">
                  <c:v>82.074071299309651</c:v>
                </c:pt>
                <c:pt idx="123">
                  <c:v>82.039461330305045</c:v>
                </c:pt>
                <c:pt idx="124">
                  <c:v>82.004930132211399</c:v>
                </c:pt>
                <c:pt idx="125">
                  <c:v>81.970477705028728</c:v>
                </c:pt>
                <c:pt idx="126">
                  <c:v>81.936104048757016</c:v>
                </c:pt>
                <c:pt idx="127">
                  <c:v>81.901809163396265</c:v>
                </c:pt>
                <c:pt idx="128">
                  <c:v>81.867593048946475</c:v>
                </c:pt>
                <c:pt idx="129">
                  <c:v>81.833455705407644</c:v>
                </c:pt>
                <c:pt idx="130">
                  <c:v>81.799397132779774</c:v>
                </c:pt>
                <c:pt idx="131">
                  <c:v>81.765417331062892</c:v>
                </c:pt>
                <c:pt idx="132">
                  <c:v>81.73151630025697</c:v>
                </c:pt>
                <c:pt idx="133">
                  <c:v>81.697694040362009</c:v>
                </c:pt>
                <c:pt idx="134">
                  <c:v>81.663950551378022</c:v>
                </c:pt>
                <c:pt idx="135">
                  <c:v>81.630285833304981</c:v>
                </c:pt>
                <c:pt idx="136">
                  <c:v>81.596699886142915</c:v>
                </c:pt>
                <c:pt idx="137">
                  <c:v>81.563192709891808</c:v>
                </c:pt>
                <c:pt idx="138">
                  <c:v>81.529764304551662</c:v>
                </c:pt>
                <c:pt idx="139">
                  <c:v>81.496414670122476</c:v>
                </c:pt>
                <c:pt idx="140">
                  <c:v>81.463143806604265</c:v>
                </c:pt>
                <c:pt idx="141">
                  <c:v>81.429951713996999</c:v>
                </c:pt>
                <c:pt idx="142">
                  <c:v>81.396838392300708</c:v>
                </c:pt>
                <c:pt idx="143">
                  <c:v>81.363803841515377</c:v>
                </c:pt>
                <c:pt idx="144">
                  <c:v>81.330848061641021</c:v>
                </c:pt>
                <c:pt idx="145">
                  <c:v>81.29797105267761</c:v>
                </c:pt>
                <c:pt idx="146">
                  <c:v>81.26517281462516</c:v>
                </c:pt>
                <c:pt idx="147">
                  <c:v>81.232453347483684</c:v>
                </c:pt>
                <c:pt idx="148">
                  <c:v>81.199812651253168</c:v>
                </c:pt>
                <c:pt idx="149">
                  <c:v>81.167250725933613</c:v>
                </c:pt>
                <c:pt idx="150">
                  <c:v>81.134767571525018</c:v>
                </c:pt>
                <c:pt idx="151">
                  <c:v>81.102359741800043</c:v>
                </c:pt>
                <c:pt idx="152">
                  <c:v>81.070023790531323</c:v>
                </c:pt>
                <c:pt idx="153">
                  <c:v>81.03775971771887</c:v>
                </c:pt>
                <c:pt idx="154">
                  <c:v>81.005567523362657</c:v>
                </c:pt>
                <c:pt idx="155">
                  <c:v>80.973447207462698</c:v>
                </c:pt>
                <c:pt idx="156">
                  <c:v>80.941398770018992</c:v>
                </c:pt>
                <c:pt idx="157">
                  <c:v>80.90942221103154</c:v>
                </c:pt>
                <c:pt idx="158">
                  <c:v>80.877517530500342</c:v>
                </c:pt>
                <c:pt idx="159">
                  <c:v>80.845684728425397</c:v>
                </c:pt>
                <c:pt idx="160">
                  <c:v>80.813923804806706</c:v>
                </c:pt>
                <c:pt idx="161">
                  <c:v>80.782234759644268</c:v>
                </c:pt>
                <c:pt idx="162">
                  <c:v>80.750617592938084</c:v>
                </c:pt>
                <c:pt idx="163">
                  <c:v>80.719072304688169</c:v>
                </c:pt>
                <c:pt idx="164">
                  <c:v>80.687598894894506</c:v>
                </c:pt>
                <c:pt idx="165">
                  <c:v>80.656197363557084</c:v>
                </c:pt>
                <c:pt idx="166">
                  <c:v>80.624867710675929</c:v>
                </c:pt>
                <c:pt idx="167">
                  <c:v>80.593609936251013</c:v>
                </c:pt>
                <c:pt idx="168">
                  <c:v>80.562424040282366</c:v>
                </c:pt>
                <c:pt idx="169">
                  <c:v>80.531310022769958</c:v>
                </c:pt>
                <c:pt idx="170">
                  <c:v>80.500267883713803</c:v>
                </c:pt>
                <c:pt idx="171">
                  <c:v>80.469297623113903</c:v>
                </c:pt>
                <c:pt idx="172">
                  <c:v>80.43839924097027</c:v>
                </c:pt>
                <c:pt idx="173">
                  <c:v>80.407572737282891</c:v>
                </c:pt>
                <c:pt idx="174">
                  <c:v>80.376818112051765</c:v>
                </c:pt>
                <c:pt idx="175">
                  <c:v>80.346135365276893</c:v>
                </c:pt>
                <c:pt idx="176">
                  <c:v>80.315524496958275</c:v>
                </c:pt>
                <c:pt idx="177">
                  <c:v>80.284985507095911</c:v>
                </c:pt>
                <c:pt idx="178">
                  <c:v>80.2545183956898</c:v>
                </c:pt>
                <c:pt idx="179">
                  <c:v>80.224123162739929</c:v>
                </c:pt>
                <c:pt idx="180">
                  <c:v>80.193799808246325</c:v>
                </c:pt>
                <c:pt idx="181">
                  <c:v>80.163548332208961</c:v>
                </c:pt>
                <c:pt idx="182">
                  <c:v>80.133368734627879</c:v>
                </c:pt>
                <c:pt idx="183">
                  <c:v>80.103261015503037</c:v>
                </c:pt>
                <c:pt idx="184">
                  <c:v>80.073225174834462</c:v>
                </c:pt>
                <c:pt idx="185">
                  <c:v>80.043261212622127</c:v>
                </c:pt>
                <c:pt idx="186">
                  <c:v>80.013369128866046</c:v>
                </c:pt>
                <c:pt idx="187">
                  <c:v>79.983548923566218</c:v>
                </c:pt>
                <c:pt idx="188">
                  <c:v>79.953800596722644</c:v>
                </c:pt>
                <c:pt idx="189">
                  <c:v>79.924124148335324</c:v>
                </c:pt>
                <c:pt idx="190">
                  <c:v>79.894519578404257</c:v>
                </c:pt>
                <c:pt idx="191">
                  <c:v>79.864986886929444</c:v>
                </c:pt>
                <c:pt idx="192">
                  <c:v>79.835526073910899</c:v>
                </c:pt>
                <c:pt idx="193">
                  <c:v>79.806137139348607</c:v>
                </c:pt>
                <c:pt idx="194">
                  <c:v>79.776820083242555</c:v>
                </c:pt>
                <c:pt idx="195">
                  <c:v>79.747574905592771</c:v>
                </c:pt>
                <c:pt idx="196">
                  <c:v>79.71840160639924</c:v>
                </c:pt>
                <c:pt idx="197">
                  <c:v>79.689300185661949</c:v>
                </c:pt>
                <c:pt idx="198">
                  <c:v>79.660270643380926</c:v>
                </c:pt>
                <c:pt idx="199">
                  <c:v>79.631312979556142</c:v>
                </c:pt>
                <c:pt idx="200">
                  <c:v>79.602427194187612</c:v>
                </c:pt>
                <c:pt idx="201">
                  <c:v>79.57361328727535</c:v>
                </c:pt>
                <c:pt idx="202">
                  <c:v>79.544871258819356</c:v>
                </c:pt>
                <c:pt idx="203">
                  <c:v>79.516201108819601</c:v>
                </c:pt>
                <c:pt idx="204">
                  <c:v>79.4876028372761</c:v>
                </c:pt>
                <c:pt idx="205">
                  <c:v>79.459076444188852</c:v>
                </c:pt>
                <c:pt idx="206">
                  <c:v>79.430621929557859</c:v>
                </c:pt>
                <c:pt idx="207">
                  <c:v>79.402239293383118</c:v>
                </c:pt>
                <c:pt idx="208">
                  <c:v>79.373928535664632</c:v>
                </c:pt>
                <c:pt idx="209">
                  <c:v>79.345689656402385</c:v>
                </c:pt>
                <c:pt idx="210">
                  <c:v>79.317522655596406</c:v>
                </c:pt>
                <c:pt idx="211">
                  <c:v>79.289427533246695</c:v>
                </c:pt>
                <c:pt idx="212">
                  <c:v>79.261404289353223</c:v>
                </c:pt>
                <c:pt idx="213">
                  <c:v>79.233452923916019</c:v>
                </c:pt>
                <c:pt idx="214">
                  <c:v>79.205573436935055</c:v>
                </c:pt>
                <c:pt idx="215">
                  <c:v>79.177765828410358</c:v>
                </c:pt>
                <c:pt idx="216">
                  <c:v>79.150030098341901</c:v>
                </c:pt>
                <c:pt idx="217">
                  <c:v>79.122366246729698</c:v>
                </c:pt>
                <c:pt idx="218">
                  <c:v>79.094774273573748</c:v>
                </c:pt>
                <c:pt idx="219">
                  <c:v>79.067254178874052</c:v>
                </c:pt>
                <c:pt idx="220">
                  <c:v>79.039805962630609</c:v>
                </c:pt>
                <c:pt idx="221">
                  <c:v>79.012429624843449</c:v>
                </c:pt>
                <c:pt idx="222">
                  <c:v>78.985125165512528</c:v>
                </c:pt>
                <c:pt idx="223">
                  <c:v>78.957892584637847</c:v>
                </c:pt>
                <c:pt idx="224">
                  <c:v>78.930731882219433</c:v>
                </c:pt>
                <c:pt idx="225">
                  <c:v>78.903643058257273</c:v>
                </c:pt>
                <c:pt idx="226">
                  <c:v>78.876626112751367</c:v>
                </c:pt>
                <c:pt idx="227">
                  <c:v>78.849681045701701</c:v>
                </c:pt>
                <c:pt idx="228">
                  <c:v>78.822807857108302</c:v>
                </c:pt>
                <c:pt idx="229">
                  <c:v>78.796006546971142</c:v>
                </c:pt>
                <c:pt idx="230">
                  <c:v>78.769277115290251</c:v>
                </c:pt>
                <c:pt idx="231">
                  <c:v>78.742619562065613</c:v>
                </c:pt>
                <c:pt idx="232">
                  <c:v>78.716033887297229</c:v>
                </c:pt>
                <c:pt idx="233">
                  <c:v>78.689520090985113</c:v>
                </c:pt>
                <c:pt idx="234">
                  <c:v>78.663078173129236</c:v>
                </c:pt>
                <c:pt idx="235">
                  <c:v>78.636708133729613</c:v>
                </c:pt>
                <c:pt idx="236">
                  <c:v>78.610409972786243</c:v>
                </c:pt>
                <c:pt idx="237">
                  <c:v>78.584183690299128</c:v>
                </c:pt>
                <c:pt idx="238">
                  <c:v>78.558029286268265</c:v>
                </c:pt>
                <c:pt idx="239">
                  <c:v>78.531946760693657</c:v>
                </c:pt>
                <c:pt idx="240">
                  <c:v>78.505936113575288</c:v>
                </c:pt>
                <c:pt idx="241">
                  <c:v>78.479997344913201</c:v>
                </c:pt>
                <c:pt idx="242">
                  <c:v>78.454130454707354</c:v>
                </c:pt>
                <c:pt idx="243">
                  <c:v>78.42833544295776</c:v>
                </c:pt>
                <c:pt idx="244">
                  <c:v>78.402612309664434</c:v>
                </c:pt>
                <c:pt idx="245">
                  <c:v>78.376961054827348</c:v>
                </c:pt>
                <c:pt idx="246">
                  <c:v>78.351381678446529</c:v>
                </c:pt>
                <c:pt idx="247">
                  <c:v>78.32587418052195</c:v>
                </c:pt>
                <c:pt idx="248">
                  <c:v>78.300438561053639</c:v>
                </c:pt>
                <c:pt idx="249">
                  <c:v>78.275074820041581</c:v>
                </c:pt>
                <c:pt idx="250">
                  <c:v>78.249782957485763</c:v>
                </c:pt>
                <c:pt idx="251">
                  <c:v>78.224577313462959</c:v>
                </c:pt>
                <c:pt idx="252">
                  <c:v>78.199472228049885</c:v>
                </c:pt>
                <c:pt idx="253">
                  <c:v>78.174467701246556</c:v>
                </c:pt>
                <c:pt idx="254">
                  <c:v>78.149563733052972</c:v>
                </c:pt>
                <c:pt idx="255">
                  <c:v>78.124760323469118</c:v>
                </c:pt>
                <c:pt idx="256">
                  <c:v>78.10005747249501</c:v>
                </c:pt>
                <c:pt idx="257">
                  <c:v>78.075455180130646</c:v>
                </c:pt>
                <c:pt idx="258">
                  <c:v>78.050953446376028</c:v>
                </c:pt>
                <c:pt idx="259">
                  <c:v>78.026552271231139</c:v>
                </c:pt>
                <c:pt idx="260">
                  <c:v>78.002251654696011</c:v>
                </c:pt>
                <c:pt idx="261">
                  <c:v>77.978051596770598</c:v>
                </c:pt>
                <c:pt idx="262">
                  <c:v>77.95395209745493</c:v>
                </c:pt>
                <c:pt idx="263">
                  <c:v>77.929953156749008</c:v>
                </c:pt>
                <c:pt idx="264">
                  <c:v>77.906054774652816</c:v>
                </c:pt>
                <c:pt idx="265">
                  <c:v>77.882256951166369</c:v>
                </c:pt>
                <c:pt idx="266">
                  <c:v>77.858559686289667</c:v>
                </c:pt>
                <c:pt idx="267">
                  <c:v>77.834962980022709</c:v>
                </c:pt>
                <c:pt idx="268">
                  <c:v>77.811466832365497</c:v>
                </c:pt>
                <c:pt idx="269">
                  <c:v>77.788071243318015</c:v>
                </c:pt>
                <c:pt idx="270">
                  <c:v>77.764776212880278</c:v>
                </c:pt>
                <c:pt idx="271">
                  <c:v>77.741581741052272</c:v>
                </c:pt>
                <c:pt idx="272">
                  <c:v>77.718487827834025</c:v>
                </c:pt>
                <c:pt idx="273">
                  <c:v>77.695494473225509</c:v>
                </c:pt>
                <c:pt idx="274">
                  <c:v>77.672601677226737</c:v>
                </c:pt>
                <c:pt idx="275">
                  <c:v>77.649809439837696</c:v>
                </c:pt>
                <c:pt idx="276">
                  <c:v>77.627117761058415</c:v>
                </c:pt>
                <c:pt idx="277">
                  <c:v>77.604526640888849</c:v>
                </c:pt>
                <c:pt idx="278">
                  <c:v>77.582036079329043</c:v>
                </c:pt>
                <c:pt idx="279">
                  <c:v>77.559646076378968</c:v>
                </c:pt>
                <c:pt idx="280">
                  <c:v>77.537356632038623</c:v>
                </c:pt>
                <c:pt idx="281">
                  <c:v>77.515167746308038</c:v>
                </c:pt>
                <c:pt idx="282">
                  <c:v>77.493079419187183</c:v>
                </c:pt>
                <c:pt idx="283">
                  <c:v>77.471091650676073</c:v>
                </c:pt>
                <c:pt idx="284">
                  <c:v>77.449204440774707</c:v>
                </c:pt>
                <c:pt idx="285">
                  <c:v>77.427417789483073</c:v>
                </c:pt>
                <c:pt idx="286">
                  <c:v>77.405731696801183</c:v>
                </c:pt>
                <c:pt idx="287">
                  <c:v>77.384146162729039</c:v>
                </c:pt>
                <c:pt idx="288">
                  <c:v>77.362661187266639</c:v>
                </c:pt>
                <c:pt idx="289">
                  <c:v>77.34127677041397</c:v>
                </c:pt>
                <c:pt idx="290">
                  <c:v>77.319992912171045</c:v>
                </c:pt>
                <c:pt idx="291">
                  <c:v>77.298809612537866</c:v>
                </c:pt>
                <c:pt idx="292">
                  <c:v>77.277726871514432</c:v>
                </c:pt>
                <c:pt idx="293">
                  <c:v>77.256744689100728</c:v>
                </c:pt>
                <c:pt idx="294">
                  <c:v>77.235863065296769</c:v>
                </c:pt>
                <c:pt idx="295">
                  <c:v>77.215082000102541</c:v>
                </c:pt>
                <c:pt idx="296">
                  <c:v>77.194401493518058</c:v>
                </c:pt>
                <c:pt idx="297">
                  <c:v>77.173821545543305</c:v>
                </c:pt>
                <c:pt idx="298">
                  <c:v>77.153497366206395</c:v>
                </c:pt>
                <c:pt idx="299">
                  <c:v>77.133584165535353</c:v>
                </c:pt>
                <c:pt idx="300">
                  <c:v>77.114081943530238</c:v>
                </c:pt>
                <c:pt idx="301">
                  <c:v>77.094990700190991</c:v>
                </c:pt>
                <c:pt idx="302">
                  <c:v>77.076310435517655</c:v>
                </c:pt>
                <c:pt idx="303">
                  <c:v>77.058041149510217</c:v>
                </c:pt>
                <c:pt idx="304">
                  <c:v>77.040182842168676</c:v>
                </c:pt>
                <c:pt idx="305">
                  <c:v>77.022735513493032</c:v>
                </c:pt>
                <c:pt idx="306">
                  <c:v>77.005699163483285</c:v>
                </c:pt>
                <c:pt idx="307">
                  <c:v>76.989073792139422</c:v>
                </c:pt>
                <c:pt idx="308">
                  <c:v>76.97285939946147</c:v>
                </c:pt>
                <c:pt idx="309">
                  <c:v>76.957055985449415</c:v>
                </c:pt>
                <c:pt idx="310">
                  <c:v>76.941663550103243</c:v>
                </c:pt>
                <c:pt idx="311">
                  <c:v>76.926682093422983</c:v>
                </c:pt>
                <c:pt idx="312">
                  <c:v>76.91211161540862</c:v>
                </c:pt>
                <c:pt idx="313">
                  <c:v>76.897952116060139</c:v>
                </c:pt>
                <c:pt idx="314">
                  <c:v>76.884203595377571</c:v>
                </c:pt>
                <c:pt idx="315">
                  <c:v>76.870866053360885</c:v>
                </c:pt>
                <c:pt idx="316">
                  <c:v>76.857939490010097</c:v>
                </c:pt>
                <c:pt idx="317">
                  <c:v>76.845423905325219</c:v>
                </c:pt>
                <c:pt idx="318">
                  <c:v>76.833319299306226</c:v>
                </c:pt>
                <c:pt idx="319">
                  <c:v>76.821625671953129</c:v>
                </c:pt>
                <c:pt idx="320">
                  <c:v>76.810343023265943</c:v>
                </c:pt>
                <c:pt idx="321">
                  <c:v>76.799409912568322</c:v>
                </c:pt>
                <c:pt idx="322">
                  <c:v>76.788764899183946</c:v>
                </c:pt>
                <c:pt idx="323">
                  <c:v>76.778407983112814</c:v>
                </c:pt>
                <c:pt idx="324">
                  <c:v>76.768339164354927</c:v>
                </c:pt>
                <c:pt idx="325">
                  <c:v>76.758558442910299</c:v>
                </c:pt>
                <c:pt idx="326">
                  <c:v>76.749065818778902</c:v>
                </c:pt>
                <c:pt idx="327">
                  <c:v>76.73986129196075</c:v>
                </c:pt>
                <c:pt idx="328">
                  <c:v>76.730944862455857</c:v>
                </c:pt>
                <c:pt idx="329">
                  <c:v>76.722316530264195</c:v>
                </c:pt>
                <c:pt idx="330">
                  <c:v>76.713976295385791</c:v>
                </c:pt>
                <c:pt idx="331">
                  <c:v>76.705924157820618</c:v>
                </c:pt>
                <c:pt idx="332">
                  <c:v>76.698160117568705</c:v>
                </c:pt>
                <c:pt idx="333">
                  <c:v>76.690684174630036</c:v>
                </c:pt>
                <c:pt idx="334">
                  <c:v>76.683496329004612</c:v>
                </c:pt>
                <c:pt idx="335">
                  <c:v>76.676596580692447</c:v>
                </c:pt>
                <c:pt idx="336">
                  <c:v>76.669984929693513</c:v>
                </c:pt>
                <c:pt idx="337">
                  <c:v>76.663661376007838</c:v>
                </c:pt>
                <c:pt idx="338">
                  <c:v>76.657625919635393</c:v>
                </c:pt>
                <c:pt idx="339">
                  <c:v>76.651878560576208</c:v>
                </c:pt>
                <c:pt idx="340">
                  <c:v>76.646419298830253</c:v>
                </c:pt>
                <c:pt idx="341">
                  <c:v>76.641248134397557</c:v>
                </c:pt>
                <c:pt idx="342">
                  <c:v>76.636365067278106</c:v>
                </c:pt>
                <c:pt idx="343">
                  <c:v>76.6317700974719</c:v>
                </c:pt>
                <c:pt idx="344">
                  <c:v>76.627463224978939</c:v>
                </c:pt>
                <c:pt idx="345">
                  <c:v>76.623444449799209</c:v>
                </c:pt>
                <c:pt idx="346">
                  <c:v>76.619713771932737</c:v>
                </c:pt>
                <c:pt idx="347">
                  <c:v>76.616271191379511</c:v>
                </c:pt>
                <c:pt idx="348">
                  <c:v>76.61311009831195</c:v>
                </c:pt>
                <c:pt idx="349">
                  <c:v>76.610223882902417</c:v>
                </c:pt>
                <c:pt idx="350">
                  <c:v>76.607612545150943</c:v>
                </c:pt>
                <c:pt idx="351">
                  <c:v>76.605276085057511</c:v>
                </c:pt>
                <c:pt idx="352">
                  <c:v>76.603214502622137</c:v>
                </c:pt>
                <c:pt idx="353">
                  <c:v>76.601427797844821</c:v>
                </c:pt>
                <c:pt idx="354">
                  <c:v>76.599915970725533</c:v>
                </c:pt>
                <c:pt idx="355">
                  <c:v>76.598679021264317</c:v>
                </c:pt>
                <c:pt idx="356">
                  <c:v>76.59771694946113</c:v>
                </c:pt>
                <c:pt idx="357">
                  <c:v>76.597029755316001</c:v>
                </c:pt>
                <c:pt idx="358">
                  <c:v>76.596617438828929</c:v>
                </c:pt>
                <c:pt idx="359">
                  <c:v>76.5964799999999</c:v>
                </c:pt>
                <c:pt idx="360">
                  <c:v>76.5964799999999</c:v>
                </c:pt>
                <c:pt idx="361">
                  <c:v>76.5964799999999</c:v>
                </c:pt>
                <c:pt idx="362">
                  <c:v>76.5964799999999</c:v>
                </c:pt>
                <c:pt idx="363">
                  <c:v>76.5964799999999</c:v>
                </c:pt>
                <c:pt idx="364">
                  <c:v>76.5964799999999</c:v>
                </c:pt>
                <c:pt idx="365">
                  <c:v>76.5964799999999</c:v>
                </c:pt>
                <c:pt idx="366">
                  <c:v>76.5964799999999</c:v>
                </c:pt>
                <c:pt idx="367">
                  <c:v>76.5964799999999</c:v>
                </c:pt>
                <c:pt idx="368">
                  <c:v>76.5964799999999</c:v>
                </c:pt>
                <c:pt idx="369">
                  <c:v>76.5964799999999</c:v>
                </c:pt>
                <c:pt idx="370">
                  <c:v>76.5964799999999</c:v>
                </c:pt>
                <c:pt idx="371">
                  <c:v>76.5964799999999</c:v>
                </c:pt>
                <c:pt idx="372">
                  <c:v>76.5964799999999</c:v>
                </c:pt>
                <c:pt idx="373">
                  <c:v>76.5964799999999</c:v>
                </c:pt>
                <c:pt idx="374">
                  <c:v>76.5964799999999</c:v>
                </c:pt>
                <c:pt idx="375">
                  <c:v>76.5964799999999</c:v>
                </c:pt>
                <c:pt idx="376">
                  <c:v>76.5964799999999</c:v>
                </c:pt>
                <c:pt idx="377">
                  <c:v>76.5964799999999</c:v>
                </c:pt>
                <c:pt idx="378">
                  <c:v>76.5964799999999</c:v>
                </c:pt>
                <c:pt idx="379">
                  <c:v>76.5964799999999</c:v>
                </c:pt>
                <c:pt idx="380">
                  <c:v>76.5964799999999</c:v>
                </c:pt>
                <c:pt idx="381">
                  <c:v>76.5964799999999</c:v>
                </c:pt>
                <c:pt idx="382">
                  <c:v>76.5964799999999</c:v>
                </c:pt>
                <c:pt idx="383">
                  <c:v>76.5964799999999</c:v>
                </c:pt>
                <c:pt idx="384">
                  <c:v>76.5964799999999</c:v>
                </c:pt>
                <c:pt idx="385">
                  <c:v>76.5964799999999</c:v>
                </c:pt>
                <c:pt idx="386">
                  <c:v>76.5964799999999</c:v>
                </c:pt>
                <c:pt idx="387">
                  <c:v>76.5964799999999</c:v>
                </c:pt>
                <c:pt idx="388">
                  <c:v>76.5964799999999</c:v>
                </c:pt>
                <c:pt idx="389">
                  <c:v>76.5964799999999</c:v>
                </c:pt>
                <c:pt idx="390">
                  <c:v>76.5964799999999</c:v>
                </c:pt>
                <c:pt idx="391">
                  <c:v>76.5964799999999</c:v>
                </c:pt>
                <c:pt idx="392">
                  <c:v>76.5964799999999</c:v>
                </c:pt>
                <c:pt idx="393">
                  <c:v>76.5964799999999</c:v>
                </c:pt>
                <c:pt idx="394">
                  <c:v>76.5964799999999</c:v>
                </c:pt>
                <c:pt idx="395">
                  <c:v>76.5964799999999</c:v>
                </c:pt>
                <c:pt idx="396">
                  <c:v>76.5964799999999</c:v>
                </c:pt>
                <c:pt idx="397">
                  <c:v>76.5964799999999</c:v>
                </c:pt>
                <c:pt idx="398">
                  <c:v>76.5964799999999</c:v>
                </c:pt>
                <c:pt idx="399">
                  <c:v>76.5964799999999</c:v>
                </c:pt>
                <c:pt idx="400">
                  <c:v>76.5964799999999</c:v>
                </c:pt>
                <c:pt idx="401">
                  <c:v>76.5964799999999</c:v>
                </c:pt>
                <c:pt idx="402">
                  <c:v>76.5964799999999</c:v>
                </c:pt>
                <c:pt idx="403">
                  <c:v>76.5964799999999</c:v>
                </c:pt>
                <c:pt idx="404">
                  <c:v>76.5964799999999</c:v>
                </c:pt>
                <c:pt idx="405">
                  <c:v>76.5964799999999</c:v>
                </c:pt>
                <c:pt idx="406">
                  <c:v>76.5964799999999</c:v>
                </c:pt>
                <c:pt idx="407">
                  <c:v>76.5964799999999</c:v>
                </c:pt>
                <c:pt idx="408">
                  <c:v>76.5964799999999</c:v>
                </c:pt>
                <c:pt idx="409">
                  <c:v>76.5964799999999</c:v>
                </c:pt>
                <c:pt idx="410">
                  <c:v>76.5964799999999</c:v>
                </c:pt>
                <c:pt idx="411">
                  <c:v>76.5964799999999</c:v>
                </c:pt>
                <c:pt idx="412">
                  <c:v>76.5964799999999</c:v>
                </c:pt>
                <c:pt idx="413">
                  <c:v>76.5964799999999</c:v>
                </c:pt>
                <c:pt idx="414">
                  <c:v>76.5964799999999</c:v>
                </c:pt>
                <c:pt idx="415">
                  <c:v>76.5964799999999</c:v>
                </c:pt>
                <c:pt idx="416">
                  <c:v>76.5964799999999</c:v>
                </c:pt>
                <c:pt idx="417">
                  <c:v>76.5964799999999</c:v>
                </c:pt>
                <c:pt idx="418">
                  <c:v>76.5964799999999</c:v>
                </c:pt>
                <c:pt idx="419">
                  <c:v>76.5964799999999</c:v>
                </c:pt>
                <c:pt idx="420">
                  <c:v>76.5964799999999</c:v>
                </c:pt>
                <c:pt idx="421">
                  <c:v>76.5964799999999</c:v>
                </c:pt>
                <c:pt idx="422">
                  <c:v>76.5964799999999</c:v>
                </c:pt>
                <c:pt idx="423">
                  <c:v>76.5964799999999</c:v>
                </c:pt>
                <c:pt idx="424">
                  <c:v>76.5964799999999</c:v>
                </c:pt>
                <c:pt idx="425">
                  <c:v>76.5964799999999</c:v>
                </c:pt>
                <c:pt idx="426">
                  <c:v>76.5964799999999</c:v>
                </c:pt>
                <c:pt idx="427">
                  <c:v>76.5964799999999</c:v>
                </c:pt>
                <c:pt idx="428">
                  <c:v>76.5964799999999</c:v>
                </c:pt>
                <c:pt idx="429">
                  <c:v>76.5964799999999</c:v>
                </c:pt>
                <c:pt idx="430">
                  <c:v>76.5964799999999</c:v>
                </c:pt>
                <c:pt idx="431">
                  <c:v>76.5964799999999</c:v>
                </c:pt>
                <c:pt idx="432">
                  <c:v>76.5964799999999</c:v>
                </c:pt>
                <c:pt idx="433">
                  <c:v>76.5964799999999</c:v>
                </c:pt>
                <c:pt idx="434">
                  <c:v>76.5964799999999</c:v>
                </c:pt>
                <c:pt idx="435">
                  <c:v>76.5964799999999</c:v>
                </c:pt>
                <c:pt idx="436">
                  <c:v>76.5964799999999</c:v>
                </c:pt>
                <c:pt idx="437">
                  <c:v>76.5964799999999</c:v>
                </c:pt>
                <c:pt idx="438">
                  <c:v>76.5964799999999</c:v>
                </c:pt>
                <c:pt idx="439">
                  <c:v>76.5964799999999</c:v>
                </c:pt>
                <c:pt idx="440">
                  <c:v>76.5964799999999</c:v>
                </c:pt>
                <c:pt idx="441">
                  <c:v>76.5964799999999</c:v>
                </c:pt>
                <c:pt idx="442">
                  <c:v>76.5964799999999</c:v>
                </c:pt>
                <c:pt idx="443">
                  <c:v>76.5964799999999</c:v>
                </c:pt>
                <c:pt idx="444">
                  <c:v>76.5964799999999</c:v>
                </c:pt>
                <c:pt idx="445">
                  <c:v>76.5964799999999</c:v>
                </c:pt>
                <c:pt idx="446">
                  <c:v>76.5964799999999</c:v>
                </c:pt>
                <c:pt idx="447">
                  <c:v>76.5964799999999</c:v>
                </c:pt>
                <c:pt idx="448">
                  <c:v>76.5964799999999</c:v>
                </c:pt>
                <c:pt idx="449">
                  <c:v>76.5964799999999</c:v>
                </c:pt>
                <c:pt idx="450">
                  <c:v>76.5964799999999</c:v>
                </c:pt>
                <c:pt idx="451">
                  <c:v>76.5964799999999</c:v>
                </c:pt>
                <c:pt idx="452">
                  <c:v>76.5964799999999</c:v>
                </c:pt>
                <c:pt idx="453">
                  <c:v>76.5964799999999</c:v>
                </c:pt>
                <c:pt idx="454">
                  <c:v>76.5964799999999</c:v>
                </c:pt>
                <c:pt idx="455">
                  <c:v>76.5964799999999</c:v>
                </c:pt>
                <c:pt idx="456">
                  <c:v>76.5964799999999</c:v>
                </c:pt>
                <c:pt idx="457">
                  <c:v>76.5964799999999</c:v>
                </c:pt>
                <c:pt idx="458">
                  <c:v>76.5964799999999</c:v>
                </c:pt>
                <c:pt idx="459">
                  <c:v>76.5964799999999</c:v>
                </c:pt>
                <c:pt idx="460">
                  <c:v>76.5964799999999</c:v>
                </c:pt>
                <c:pt idx="461">
                  <c:v>76.5964799999999</c:v>
                </c:pt>
                <c:pt idx="462">
                  <c:v>76.5964799999999</c:v>
                </c:pt>
                <c:pt idx="463">
                  <c:v>76.5964799999999</c:v>
                </c:pt>
                <c:pt idx="464">
                  <c:v>76.5964799999999</c:v>
                </c:pt>
                <c:pt idx="465">
                  <c:v>76.5964799999999</c:v>
                </c:pt>
                <c:pt idx="466">
                  <c:v>76.5964799999999</c:v>
                </c:pt>
                <c:pt idx="467">
                  <c:v>76.5964799999999</c:v>
                </c:pt>
                <c:pt idx="468">
                  <c:v>76.5964799999999</c:v>
                </c:pt>
                <c:pt idx="469">
                  <c:v>76.5964799999999</c:v>
                </c:pt>
                <c:pt idx="470">
                  <c:v>76.5964799999999</c:v>
                </c:pt>
                <c:pt idx="471">
                  <c:v>76.5964799999999</c:v>
                </c:pt>
                <c:pt idx="472">
                  <c:v>76.5964799999999</c:v>
                </c:pt>
                <c:pt idx="473">
                  <c:v>76.5964799999999</c:v>
                </c:pt>
                <c:pt idx="474">
                  <c:v>76.5964799999999</c:v>
                </c:pt>
                <c:pt idx="475">
                  <c:v>76.5964799999999</c:v>
                </c:pt>
                <c:pt idx="476">
                  <c:v>76.5964799999999</c:v>
                </c:pt>
                <c:pt idx="477">
                  <c:v>76.5964799999999</c:v>
                </c:pt>
                <c:pt idx="478">
                  <c:v>76.5964799999999</c:v>
                </c:pt>
                <c:pt idx="479">
                  <c:v>76.5964799999999</c:v>
                </c:pt>
                <c:pt idx="480">
                  <c:v>76.5964799999999</c:v>
                </c:pt>
                <c:pt idx="481">
                  <c:v>76.5964799999999</c:v>
                </c:pt>
                <c:pt idx="482">
                  <c:v>76.5964799999999</c:v>
                </c:pt>
                <c:pt idx="483">
                  <c:v>76.5964799999999</c:v>
                </c:pt>
                <c:pt idx="484">
                  <c:v>76.5964799999999</c:v>
                </c:pt>
                <c:pt idx="485">
                  <c:v>76.5964799999999</c:v>
                </c:pt>
                <c:pt idx="486">
                  <c:v>76.5964799999999</c:v>
                </c:pt>
                <c:pt idx="487">
                  <c:v>76.5964799999999</c:v>
                </c:pt>
                <c:pt idx="488">
                  <c:v>76.5964799999999</c:v>
                </c:pt>
                <c:pt idx="489">
                  <c:v>76.5964799999999</c:v>
                </c:pt>
                <c:pt idx="490">
                  <c:v>76.5964799999999</c:v>
                </c:pt>
                <c:pt idx="491">
                  <c:v>76.5964799999999</c:v>
                </c:pt>
                <c:pt idx="492">
                  <c:v>76.5964799999999</c:v>
                </c:pt>
                <c:pt idx="493">
                  <c:v>76.5964799999999</c:v>
                </c:pt>
                <c:pt idx="494">
                  <c:v>76.5964799999999</c:v>
                </c:pt>
                <c:pt idx="495">
                  <c:v>76.5964799999999</c:v>
                </c:pt>
                <c:pt idx="496">
                  <c:v>76.5964799999999</c:v>
                </c:pt>
                <c:pt idx="497">
                  <c:v>76.5964799999999</c:v>
                </c:pt>
                <c:pt idx="498">
                  <c:v>76.5964799999999</c:v>
                </c:pt>
                <c:pt idx="499">
                  <c:v>76.5964799999999</c:v>
                </c:pt>
                <c:pt idx="500">
                  <c:v>76.5964799999999</c:v>
                </c:pt>
                <c:pt idx="501">
                  <c:v>76.5964799999999</c:v>
                </c:pt>
                <c:pt idx="502">
                  <c:v>76.5964799999999</c:v>
                </c:pt>
                <c:pt idx="503">
                  <c:v>76.5964799999999</c:v>
                </c:pt>
                <c:pt idx="504">
                  <c:v>76.5964799999999</c:v>
                </c:pt>
                <c:pt idx="505">
                  <c:v>76.5964799999999</c:v>
                </c:pt>
                <c:pt idx="506">
                  <c:v>76.5964799999999</c:v>
                </c:pt>
                <c:pt idx="507">
                  <c:v>76.5964799999999</c:v>
                </c:pt>
                <c:pt idx="508">
                  <c:v>76.5964799999999</c:v>
                </c:pt>
                <c:pt idx="509">
                  <c:v>76.5964799999999</c:v>
                </c:pt>
                <c:pt idx="510">
                  <c:v>76.5964799999999</c:v>
                </c:pt>
                <c:pt idx="511">
                  <c:v>76.5964799999999</c:v>
                </c:pt>
                <c:pt idx="512">
                  <c:v>76.5964799999999</c:v>
                </c:pt>
                <c:pt idx="513">
                  <c:v>76.5964799999999</c:v>
                </c:pt>
                <c:pt idx="514">
                  <c:v>76.5964799999999</c:v>
                </c:pt>
                <c:pt idx="515">
                  <c:v>76.5964799999999</c:v>
                </c:pt>
                <c:pt idx="516">
                  <c:v>76.5964799999999</c:v>
                </c:pt>
                <c:pt idx="517">
                  <c:v>76.5964799999999</c:v>
                </c:pt>
                <c:pt idx="518">
                  <c:v>76.5964799999999</c:v>
                </c:pt>
                <c:pt idx="519">
                  <c:v>76.5964799999999</c:v>
                </c:pt>
                <c:pt idx="520">
                  <c:v>76.5964799999999</c:v>
                </c:pt>
                <c:pt idx="521">
                  <c:v>76.5964799999999</c:v>
                </c:pt>
                <c:pt idx="522">
                  <c:v>76.5964799999999</c:v>
                </c:pt>
                <c:pt idx="523">
                  <c:v>76.5964799999999</c:v>
                </c:pt>
                <c:pt idx="524">
                  <c:v>76.5964799999999</c:v>
                </c:pt>
                <c:pt idx="525">
                  <c:v>76.5964799999999</c:v>
                </c:pt>
                <c:pt idx="526">
                  <c:v>76.5964799999999</c:v>
                </c:pt>
                <c:pt idx="527">
                  <c:v>76.5964799999999</c:v>
                </c:pt>
                <c:pt idx="528">
                  <c:v>76.5964799999999</c:v>
                </c:pt>
                <c:pt idx="529">
                  <c:v>76.5964799999999</c:v>
                </c:pt>
                <c:pt idx="530">
                  <c:v>76.5964799999999</c:v>
                </c:pt>
                <c:pt idx="531">
                  <c:v>76.5964799999999</c:v>
                </c:pt>
                <c:pt idx="532">
                  <c:v>76.5964799999999</c:v>
                </c:pt>
                <c:pt idx="533">
                  <c:v>76.5964799999999</c:v>
                </c:pt>
                <c:pt idx="534">
                  <c:v>76.5964799999999</c:v>
                </c:pt>
                <c:pt idx="535">
                  <c:v>76.5964799999999</c:v>
                </c:pt>
                <c:pt idx="536">
                  <c:v>76.5964799999999</c:v>
                </c:pt>
                <c:pt idx="537">
                  <c:v>76.5964799999999</c:v>
                </c:pt>
                <c:pt idx="538">
                  <c:v>76.5964799999999</c:v>
                </c:pt>
                <c:pt idx="539">
                  <c:v>76.5964799999999</c:v>
                </c:pt>
                <c:pt idx="540">
                  <c:v>76.5964799999999</c:v>
                </c:pt>
                <c:pt idx="541">
                  <c:v>76.5964799999999</c:v>
                </c:pt>
                <c:pt idx="542">
                  <c:v>76.5964799999999</c:v>
                </c:pt>
                <c:pt idx="543">
                  <c:v>76.5964799999999</c:v>
                </c:pt>
                <c:pt idx="544">
                  <c:v>76.5964799999999</c:v>
                </c:pt>
                <c:pt idx="545">
                  <c:v>76.5964799999999</c:v>
                </c:pt>
                <c:pt idx="546">
                  <c:v>76.5964799999999</c:v>
                </c:pt>
                <c:pt idx="547">
                  <c:v>76.5964799999999</c:v>
                </c:pt>
                <c:pt idx="548">
                  <c:v>76.5964799999999</c:v>
                </c:pt>
                <c:pt idx="549">
                  <c:v>76.5964799999999</c:v>
                </c:pt>
                <c:pt idx="550">
                  <c:v>76.5964799999999</c:v>
                </c:pt>
                <c:pt idx="551">
                  <c:v>76.5964799999999</c:v>
                </c:pt>
                <c:pt idx="552">
                  <c:v>76.5964799999999</c:v>
                </c:pt>
                <c:pt idx="553">
                  <c:v>76.5964799999999</c:v>
                </c:pt>
                <c:pt idx="554">
                  <c:v>76.5964799999999</c:v>
                </c:pt>
                <c:pt idx="555">
                  <c:v>76.5964799999999</c:v>
                </c:pt>
                <c:pt idx="556">
                  <c:v>76.5964799999999</c:v>
                </c:pt>
                <c:pt idx="557">
                  <c:v>76.5964799999999</c:v>
                </c:pt>
                <c:pt idx="558">
                  <c:v>76.5964799999999</c:v>
                </c:pt>
                <c:pt idx="559">
                  <c:v>76.5964799999999</c:v>
                </c:pt>
                <c:pt idx="560">
                  <c:v>76.5964799999999</c:v>
                </c:pt>
                <c:pt idx="561">
                  <c:v>76.5964799999999</c:v>
                </c:pt>
                <c:pt idx="562">
                  <c:v>76.5964799999999</c:v>
                </c:pt>
                <c:pt idx="563">
                  <c:v>76.5964799999999</c:v>
                </c:pt>
                <c:pt idx="564">
                  <c:v>76.5964799999999</c:v>
                </c:pt>
                <c:pt idx="565">
                  <c:v>76.5964799999999</c:v>
                </c:pt>
                <c:pt idx="566">
                  <c:v>76.5964799999999</c:v>
                </c:pt>
                <c:pt idx="567">
                  <c:v>76.5964799999999</c:v>
                </c:pt>
                <c:pt idx="568">
                  <c:v>76.5964799999999</c:v>
                </c:pt>
                <c:pt idx="569">
                  <c:v>76.5964799999999</c:v>
                </c:pt>
                <c:pt idx="570">
                  <c:v>76.5964799999999</c:v>
                </c:pt>
                <c:pt idx="571">
                  <c:v>76.5964799999999</c:v>
                </c:pt>
                <c:pt idx="572">
                  <c:v>76.5964799999999</c:v>
                </c:pt>
                <c:pt idx="573">
                  <c:v>76.5964799999999</c:v>
                </c:pt>
                <c:pt idx="574">
                  <c:v>76.5964799999999</c:v>
                </c:pt>
                <c:pt idx="575">
                  <c:v>76.5964799999999</c:v>
                </c:pt>
                <c:pt idx="576">
                  <c:v>76.5964799999999</c:v>
                </c:pt>
                <c:pt idx="577">
                  <c:v>76.5964799999999</c:v>
                </c:pt>
                <c:pt idx="578">
                  <c:v>76.5964799999999</c:v>
                </c:pt>
                <c:pt idx="579">
                  <c:v>76.5964799999999</c:v>
                </c:pt>
                <c:pt idx="580">
                  <c:v>76.5964799999999</c:v>
                </c:pt>
                <c:pt idx="581">
                  <c:v>76.5964799999999</c:v>
                </c:pt>
                <c:pt idx="582">
                  <c:v>76.5964799999999</c:v>
                </c:pt>
                <c:pt idx="583">
                  <c:v>76.5964799999999</c:v>
                </c:pt>
                <c:pt idx="584">
                  <c:v>76.5964799999999</c:v>
                </c:pt>
                <c:pt idx="585">
                  <c:v>76.5964799999999</c:v>
                </c:pt>
                <c:pt idx="586">
                  <c:v>76.5964799999999</c:v>
                </c:pt>
                <c:pt idx="587">
                  <c:v>76.5964799999999</c:v>
                </c:pt>
                <c:pt idx="588">
                  <c:v>76.5964799999999</c:v>
                </c:pt>
                <c:pt idx="589">
                  <c:v>76.5964799999999</c:v>
                </c:pt>
                <c:pt idx="590">
                  <c:v>76.5964799999999</c:v>
                </c:pt>
                <c:pt idx="591">
                  <c:v>76.5964799999999</c:v>
                </c:pt>
                <c:pt idx="592">
                  <c:v>76.5964799999999</c:v>
                </c:pt>
                <c:pt idx="593">
                  <c:v>76.5964799999999</c:v>
                </c:pt>
                <c:pt idx="594">
                  <c:v>76.5964799999999</c:v>
                </c:pt>
                <c:pt idx="595">
                  <c:v>76.5964799999999</c:v>
                </c:pt>
                <c:pt idx="596">
                  <c:v>76.5964799999999</c:v>
                </c:pt>
                <c:pt idx="597">
                  <c:v>76.5964799999999</c:v>
                </c:pt>
                <c:pt idx="598">
                  <c:v>76.5964799999999</c:v>
                </c:pt>
                <c:pt idx="599">
                  <c:v>76.5964799999999</c:v>
                </c:pt>
                <c:pt idx="600">
                  <c:v>76.5964799999999</c:v>
                </c:pt>
                <c:pt idx="601">
                  <c:v>76.5964799999999</c:v>
                </c:pt>
                <c:pt idx="602">
                  <c:v>76.5964799999999</c:v>
                </c:pt>
                <c:pt idx="603">
                  <c:v>76.5964799999999</c:v>
                </c:pt>
                <c:pt idx="604">
                  <c:v>76.5964799999999</c:v>
                </c:pt>
                <c:pt idx="605">
                  <c:v>76.5964799999999</c:v>
                </c:pt>
                <c:pt idx="606">
                  <c:v>76.5964799999999</c:v>
                </c:pt>
                <c:pt idx="607">
                  <c:v>76.5964799999999</c:v>
                </c:pt>
                <c:pt idx="608">
                  <c:v>76.5964799999999</c:v>
                </c:pt>
                <c:pt idx="609">
                  <c:v>76.5964799999999</c:v>
                </c:pt>
                <c:pt idx="610">
                  <c:v>76.5964799999999</c:v>
                </c:pt>
                <c:pt idx="611">
                  <c:v>76.5964799999999</c:v>
                </c:pt>
                <c:pt idx="612">
                  <c:v>76.5964799999999</c:v>
                </c:pt>
                <c:pt idx="613">
                  <c:v>76.5964799999999</c:v>
                </c:pt>
                <c:pt idx="614">
                  <c:v>76.5964799999999</c:v>
                </c:pt>
                <c:pt idx="615">
                  <c:v>76.5964799999999</c:v>
                </c:pt>
                <c:pt idx="616">
                  <c:v>76.5964799999999</c:v>
                </c:pt>
                <c:pt idx="617">
                  <c:v>76.5964799999999</c:v>
                </c:pt>
                <c:pt idx="618">
                  <c:v>76.5964799999999</c:v>
                </c:pt>
                <c:pt idx="619">
                  <c:v>76.5964799999999</c:v>
                </c:pt>
                <c:pt idx="620">
                  <c:v>76.5964799999999</c:v>
                </c:pt>
                <c:pt idx="621">
                  <c:v>76.5964799999999</c:v>
                </c:pt>
                <c:pt idx="622">
                  <c:v>76.5964799999999</c:v>
                </c:pt>
                <c:pt idx="623">
                  <c:v>76.5964799999999</c:v>
                </c:pt>
                <c:pt idx="624">
                  <c:v>76.5964799999999</c:v>
                </c:pt>
                <c:pt idx="625">
                  <c:v>76.5964799999999</c:v>
                </c:pt>
                <c:pt idx="626">
                  <c:v>76.5964799999999</c:v>
                </c:pt>
                <c:pt idx="627">
                  <c:v>76.5964799999999</c:v>
                </c:pt>
                <c:pt idx="628">
                  <c:v>76.5964799999999</c:v>
                </c:pt>
                <c:pt idx="629">
                  <c:v>76.5964799999999</c:v>
                </c:pt>
                <c:pt idx="630">
                  <c:v>76.5964799999999</c:v>
                </c:pt>
                <c:pt idx="631">
                  <c:v>76.5964799999999</c:v>
                </c:pt>
                <c:pt idx="632">
                  <c:v>76.5964799999999</c:v>
                </c:pt>
                <c:pt idx="633">
                  <c:v>76.5964799999999</c:v>
                </c:pt>
                <c:pt idx="634">
                  <c:v>76.5964799999999</c:v>
                </c:pt>
                <c:pt idx="635">
                  <c:v>76.5964799999999</c:v>
                </c:pt>
                <c:pt idx="636">
                  <c:v>76.5964799999999</c:v>
                </c:pt>
                <c:pt idx="637">
                  <c:v>76.5964799999999</c:v>
                </c:pt>
                <c:pt idx="638">
                  <c:v>76.5964799999999</c:v>
                </c:pt>
                <c:pt idx="639">
                  <c:v>76.5964799999999</c:v>
                </c:pt>
                <c:pt idx="640">
                  <c:v>76.5964799999999</c:v>
                </c:pt>
                <c:pt idx="641">
                  <c:v>76.5964799999999</c:v>
                </c:pt>
                <c:pt idx="642">
                  <c:v>76.5964799999999</c:v>
                </c:pt>
                <c:pt idx="643">
                  <c:v>76.5964799999999</c:v>
                </c:pt>
                <c:pt idx="644">
                  <c:v>76.5964799999999</c:v>
                </c:pt>
                <c:pt idx="645">
                  <c:v>76.5964799999999</c:v>
                </c:pt>
                <c:pt idx="646">
                  <c:v>76.5964799999999</c:v>
                </c:pt>
                <c:pt idx="647">
                  <c:v>76.5964799999999</c:v>
                </c:pt>
                <c:pt idx="648">
                  <c:v>76.5964799999999</c:v>
                </c:pt>
                <c:pt idx="649">
                  <c:v>76.5964799999999</c:v>
                </c:pt>
                <c:pt idx="650">
                  <c:v>76.5964799999999</c:v>
                </c:pt>
                <c:pt idx="651">
                  <c:v>76.5964799999999</c:v>
                </c:pt>
                <c:pt idx="652">
                  <c:v>76.5964799999999</c:v>
                </c:pt>
                <c:pt idx="653">
                  <c:v>76.5964799999999</c:v>
                </c:pt>
                <c:pt idx="654">
                  <c:v>76.5964799999999</c:v>
                </c:pt>
                <c:pt idx="655">
                  <c:v>76.5964799999999</c:v>
                </c:pt>
                <c:pt idx="656">
                  <c:v>76.5964799999999</c:v>
                </c:pt>
                <c:pt idx="657">
                  <c:v>76.5964799999999</c:v>
                </c:pt>
                <c:pt idx="658">
                  <c:v>76.5964799999999</c:v>
                </c:pt>
                <c:pt idx="659">
                  <c:v>76.5964799999999</c:v>
                </c:pt>
                <c:pt idx="660">
                  <c:v>76.5964799999999</c:v>
                </c:pt>
                <c:pt idx="661">
                  <c:v>76.5964799999999</c:v>
                </c:pt>
                <c:pt idx="662">
                  <c:v>76.5964799999999</c:v>
                </c:pt>
                <c:pt idx="663">
                  <c:v>76.5964799999999</c:v>
                </c:pt>
                <c:pt idx="664">
                  <c:v>76.5964799999999</c:v>
                </c:pt>
                <c:pt idx="665">
                  <c:v>76.5964799999999</c:v>
                </c:pt>
                <c:pt idx="666">
                  <c:v>76.5964799999999</c:v>
                </c:pt>
                <c:pt idx="667">
                  <c:v>76.5964799999999</c:v>
                </c:pt>
                <c:pt idx="668">
                  <c:v>76.5964799999999</c:v>
                </c:pt>
                <c:pt idx="669">
                  <c:v>76.5964799999999</c:v>
                </c:pt>
                <c:pt idx="670">
                  <c:v>76.5964799999999</c:v>
                </c:pt>
                <c:pt idx="671">
                  <c:v>76.5964799999999</c:v>
                </c:pt>
                <c:pt idx="672">
                  <c:v>76.5964799999999</c:v>
                </c:pt>
                <c:pt idx="673">
                  <c:v>76.5964799999999</c:v>
                </c:pt>
                <c:pt idx="674">
                  <c:v>76.5964799999999</c:v>
                </c:pt>
                <c:pt idx="675">
                  <c:v>76.5964799999999</c:v>
                </c:pt>
                <c:pt idx="676">
                  <c:v>76.5964799999999</c:v>
                </c:pt>
                <c:pt idx="677">
                  <c:v>76.5964799999999</c:v>
                </c:pt>
                <c:pt idx="678">
                  <c:v>76.5964799999999</c:v>
                </c:pt>
                <c:pt idx="679">
                  <c:v>76.5964799999999</c:v>
                </c:pt>
                <c:pt idx="680">
                  <c:v>76.5964799999999</c:v>
                </c:pt>
                <c:pt idx="681">
                  <c:v>76.5964799999999</c:v>
                </c:pt>
                <c:pt idx="682">
                  <c:v>76.5964799999999</c:v>
                </c:pt>
                <c:pt idx="683">
                  <c:v>76.5964799999999</c:v>
                </c:pt>
                <c:pt idx="684">
                  <c:v>76.5964799999999</c:v>
                </c:pt>
                <c:pt idx="685">
                  <c:v>76.5964799999999</c:v>
                </c:pt>
                <c:pt idx="686">
                  <c:v>76.5964799999999</c:v>
                </c:pt>
                <c:pt idx="687">
                  <c:v>76.5964799999999</c:v>
                </c:pt>
                <c:pt idx="688">
                  <c:v>76.5964799999999</c:v>
                </c:pt>
                <c:pt idx="689">
                  <c:v>76.5964799999999</c:v>
                </c:pt>
                <c:pt idx="690">
                  <c:v>76.5964799999999</c:v>
                </c:pt>
                <c:pt idx="691">
                  <c:v>76.5964799999999</c:v>
                </c:pt>
                <c:pt idx="692">
                  <c:v>76.5964799999999</c:v>
                </c:pt>
                <c:pt idx="693">
                  <c:v>76.5964799999999</c:v>
                </c:pt>
                <c:pt idx="694">
                  <c:v>76.5964799999999</c:v>
                </c:pt>
                <c:pt idx="695">
                  <c:v>76.5964799999999</c:v>
                </c:pt>
                <c:pt idx="696">
                  <c:v>76.5964799999999</c:v>
                </c:pt>
                <c:pt idx="697">
                  <c:v>76.5964799999999</c:v>
                </c:pt>
                <c:pt idx="698">
                  <c:v>76.5964799999999</c:v>
                </c:pt>
                <c:pt idx="699">
                  <c:v>76.5964799999999</c:v>
                </c:pt>
                <c:pt idx="700">
                  <c:v>76.5964799999999</c:v>
                </c:pt>
                <c:pt idx="701">
                  <c:v>76.5964799999999</c:v>
                </c:pt>
                <c:pt idx="702">
                  <c:v>76.5964799999999</c:v>
                </c:pt>
                <c:pt idx="703">
                  <c:v>76.5964799999999</c:v>
                </c:pt>
                <c:pt idx="704">
                  <c:v>76.5964799999999</c:v>
                </c:pt>
                <c:pt idx="705">
                  <c:v>76.5964799999999</c:v>
                </c:pt>
                <c:pt idx="706">
                  <c:v>76.5964799999999</c:v>
                </c:pt>
                <c:pt idx="707">
                  <c:v>76.5964799999999</c:v>
                </c:pt>
                <c:pt idx="708">
                  <c:v>76.5964799999999</c:v>
                </c:pt>
                <c:pt idx="709">
                  <c:v>76.5964799999999</c:v>
                </c:pt>
                <c:pt idx="710">
                  <c:v>76.5964799999999</c:v>
                </c:pt>
                <c:pt idx="711">
                  <c:v>76.5964799999999</c:v>
                </c:pt>
                <c:pt idx="712">
                  <c:v>76.5964799999999</c:v>
                </c:pt>
                <c:pt idx="713">
                  <c:v>76.5964799999999</c:v>
                </c:pt>
                <c:pt idx="714">
                  <c:v>76.5964799999999</c:v>
                </c:pt>
                <c:pt idx="715">
                  <c:v>76.5964799999999</c:v>
                </c:pt>
                <c:pt idx="716">
                  <c:v>76.5964799999999</c:v>
                </c:pt>
                <c:pt idx="717">
                  <c:v>76.5964799999999</c:v>
                </c:pt>
                <c:pt idx="718">
                  <c:v>76.5964799999999</c:v>
                </c:pt>
                <c:pt idx="719">
                  <c:v>76.5964799999999</c:v>
                </c:pt>
                <c:pt idx="720">
                  <c:v>76.5964799999999</c:v>
                </c:pt>
                <c:pt idx="721">
                  <c:v>76.5964799999999</c:v>
                </c:pt>
                <c:pt idx="722">
                  <c:v>76.5964799999999</c:v>
                </c:pt>
                <c:pt idx="723">
                  <c:v>76.5964799999999</c:v>
                </c:pt>
                <c:pt idx="724">
                  <c:v>76.5964799999999</c:v>
                </c:pt>
                <c:pt idx="725">
                  <c:v>76.5964799999999</c:v>
                </c:pt>
                <c:pt idx="726">
                  <c:v>76.5964799999999</c:v>
                </c:pt>
                <c:pt idx="727">
                  <c:v>76.5964799999999</c:v>
                </c:pt>
                <c:pt idx="728">
                  <c:v>76.5964799999999</c:v>
                </c:pt>
                <c:pt idx="729">
                  <c:v>76.5964799999999</c:v>
                </c:pt>
                <c:pt idx="730">
                  <c:v>76.5964799999999</c:v>
                </c:pt>
                <c:pt idx="731">
                  <c:v>76.5964799999999</c:v>
                </c:pt>
                <c:pt idx="732">
                  <c:v>76.5964799999999</c:v>
                </c:pt>
                <c:pt idx="733">
                  <c:v>76.5964799999999</c:v>
                </c:pt>
                <c:pt idx="734">
                  <c:v>76.5964799999999</c:v>
                </c:pt>
                <c:pt idx="735">
                  <c:v>76.5964799999999</c:v>
                </c:pt>
                <c:pt idx="736">
                  <c:v>76.5964799999999</c:v>
                </c:pt>
                <c:pt idx="737">
                  <c:v>76.5964799999999</c:v>
                </c:pt>
                <c:pt idx="738">
                  <c:v>76.5964799999999</c:v>
                </c:pt>
                <c:pt idx="739">
                  <c:v>76.5964799999999</c:v>
                </c:pt>
                <c:pt idx="740">
                  <c:v>76.5964799999999</c:v>
                </c:pt>
                <c:pt idx="741">
                  <c:v>76.5964799999999</c:v>
                </c:pt>
                <c:pt idx="742">
                  <c:v>76.5964799999999</c:v>
                </c:pt>
                <c:pt idx="743">
                  <c:v>76.5964799999999</c:v>
                </c:pt>
                <c:pt idx="744">
                  <c:v>76.5964799999999</c:v>
                </c:pt>
                <c:pt idx="745">
                  <c:v>76.5964799999999</c:v>
                </c:pt>
                <c:pt idx="746">
                  <c:v>76.5964799999999</c:v>
                </c:pt>
                <c:pt idx="747">
                  <c:v>76.5964799999999</c:v>
                </c:pt>
                <c:pt idx="748">
                  <c:v>76.5964799999999</c:v>
                </c:pt>
                <c:pt idx="749">
                  <c:v>76.5964799999999</c:v>
                </c:pt>
                <c:pt idx="750">
                  <c:v>76.5964799999999</c:v>
                </c:pt>
                <c:pt idx="751">
                  <c:v>76.5964799999999</c:v>
                </c:pt>
                <c:pt idx="752">
                  <c:v>76.5964799999999</c:v>
                </c:pt>
                <c:pt idx="753">
                  <c:v>76.5964799999999</c:v>
                </c:pt>
                <c:pt idx="754">
                  <c:v>76.5964799999999</c:v>
                </c:pt>
                <c:pt idx="755">
                  <c:v>76.5964799999999</c:v>
                </c:pt>
                <c:pt idx="756">
                  <c:v>76.5964799999999</c:v>
                </c:pt>
                <c:pt idx="757">
                  <c:v>76.5964799999999</c:v>
                </c:pt>
                <c:pt idx="758">
                  <c:v>76.5964799999999</c:v>
                </c:pt>
                <c:pt idx="759">
                  <c:v>76.5964799999999</c:v>
                </c:pt>
                <c:pt idx="760">
                  <c:v>76.5964799999999</c:v>
                </c:pt>
                <c:pt idx="761">
                  <c:v>76.5964799999999</c:v>
                </c:pt>
                <c:pt idx="762">
                  <c:v>76.5964799999999</c:v>
                </c:pt>
                <c:pt idx="763">
                  <c:v>76.5964799999999</c:v>
                </c:pt>
                <c:pt idx="764">
                  <c:v>76.5964799999999</c:v>
                </c:pt>
                <c:pt idx="765">
                  <c:v>76.5964799999999</c:v>
                </c:pt>
                <c:pt idx="766">
                  <c:v>76.5964799999999</c:v>
                </c:pt>
                <c:pt idx="767">
                  <c:v>76.5964799999999</c:v>
                </c:pt>
                <c:pt idx="768">
                  <c:v>76.5964799999999</c:v>
                </c:pt>
                <c:pt idx="769">
                  <c:v>76.5964799999999</c:v>
                </c:pt>
                <c:pt idx="770">
                  <c:v>76.5964799999999</c:v>
                </c:pt>
                <c:pt idx="771">
                  <c:v>76.5964799999999</c:v>
                </c:pt>
                <c:pt idx="772">
                  <c:v>76.5964799999999</c:v>
                </c:pt>
                <c:pt idx="773">
                  <c:v>76.5964799999999</c:v>
                </c:pt>
                <c:pt idx="774">
                  <c:v>76.5964799999999</c:v>
                </c:pt>
                <c:pt idx="775">
                  <c:v>76.5964799999999</c:v>
                </c:pt>
                <c:pt idx="776">
                  <c:v>76.5964799999999</c:v>
                </c:pt>
                <c:pt idx="777">
                  <c:v>76.5964799999999</c:v>
                </c:pt>
                <c:pt idx="778">
                  <c:v>76.5964799999999</c:v>
                </c:pt>
                <c:pt idx="779">
                  <c:v>76.5964799999999</c:v>
                </c:pt>
                <c:pt idx="780">
                  <c:v>76.5964799999999</c:v>
                </c:pt>
                <c:pt idx="781">
                  <c:v>76.5964799999999</c:v>
                </c:pt>
                <c:pt idx="782">
                  <c:v>76.5964799999999</c:v>
                </c:pt>
                <c:pt idx="783">
                  <c:v>76.5964799999999</c:v>
                </c:pt>
                <c:pt idx="784">
                  <c:v>76.5964799999999</c:v>
                </c:pt>
                <c:pt idx="785">
                  <c:v>76.5964799999999</c:v>
                </c:pt>
                <c:pt idx="786">
                  <c:v>76.5964799999999</c:v>
                </c:pt>
                <c:pt idx="787">
                  <c:v>76.5964799999999</c:v>
                </c:pt>
                <c:pt idx="788">
                  <c:v>76.5964799999999</c:v>
                </c:pt>
                <c:pt idx="789">
                  <c:v>76.5964799999999</c:v>
                </c:pt>
                <c:pt idx="790">
                  <c:v>76.5964799999999</c:v>
                </c:pt>
                <c:pt idx="791">
                  <c:v>76.5964799999999</c:v>
                </c:pt>
                <c:pt idx="792">
                  <c:v>76.5964799999999</c:v>
                </c:pt>
                <c:pt idx="793">
                  <c:v>76.5964799999999</c:v>
                </c:pt>
                <c:pt idx="794">
                  <c:v>76.5964799999999</c:v>
                </c:pt>
                <c:pt idx="795">
                  <c:v>76.5964799999999</c:v>
                </c:pt>
                <c:pt idx="796">
                  <c:v>76.5964799999999</c:v>
                </c:pt>
                <c:pt idx="797">
                  <c:v>76.5964799999999</c:v>
                </c:pt>
                <c:pt idx="798">
                  <c:v>76.5964799999999</c:v>
                </c:pt>
                <c:pt idx="799">
                  <c:v>76.5964799999999</c:v>
                </c:pt>
                <c:pt idx="800">
                  <c:v>76.5964799999999</c:v>
                </c:pt>
                <c:pt idx="801">
                  <c:v>76.5964799999999</c:v>
                </c:pt>
                <c:pt idx="802">
                  <c:v>76.5964799999999</c:v>
                </c:pt>
                <c:pt idx="803">
                  <c:v>76.5964799999999</c:v>
                </c:pt>
                <c:pt idx="804">
                  <c:v>76.5964799999999</c:v>
                </c:pt>
                <c:pt idx="805">
                  <c:v>76.5964799999999</c:v>
                </c:pt>
                <c:pt idx="806">
                  <c:v>76.5964799999999</c:v>
                </c:pt>
                <c:pt idx="807">
                  <c:v>76.5964799999999</c:v>
                </c:pt>
                <c:pt idx="808">
                  <c:v>76.5964799999999</c:v>
                </c:pt>
                <c:pt idx="809">
                  <c:v>76.5964799999999</c:v>
                </c:pt>
                <c:pt idx="810">
                  <c:v>76.5964799999999</c:v>
                </c:pt>
                <c:pt idx="811">
                  <c:v>76.5964799999999</c:v>
                </c:pt>
                <c:pt idx="812">
                  <c:v>76.5964799999999</c:v>
                </c:pt>
                <c:pt idx="813">
                  <c:v>76.5964799999999</c:v>
                </c:pt>
                <c:pt idx="814">
                  <c:v>76.5964799999999</c:v>
                </c:pt>
                <c:pt idx="815">
                  <c:v>76.5964799999999</c:v>
                </c:pt>
                <c:pt idx="816">
                  <c:v>76.5964799999999</c:v>
                </c:pt>
                <c:pt idx="817">
                  <c:v>76.5964799999999</c:v>
                </c:pt>
                <c:pt idx="818">
                  <c:v>76.5964799999999</c:v>
                </c:pt>
                <c:pt idx="819">
                  <c:v>76.5964799999999</c:v>
                </c:pt>
                <c:pt idx="820">
                  <c:v>76.5964799999999</c:v>
                </c:pt>
                <c:pt idx="821">
                  <c:v>76.5964799999999</c:v>
                </c:pt>
                <c:pt idx="822">
                  <c:v>76.5964799999999</c:v>
                </c:pt>
                <c:pt idx="823">
                  <c:v>76.5964799999999</c:v>
                </c:pt>
                <c:pt idx="824">
                  <c:v>76.5964799999999</c:v>
                </c:pt>
                <c:pt idx="825">
                  <c:v>76.5964799999999</c:v>
                </c:pt>
                <c:pt idx="826">
                  <c:v>76.5964799999999</c:v>
                </c:pt>
                <c:pt idx="827">
                  <c:v>76.5964799999999</c:v>
                </c:pt>
                <c:pt idx="828">
                  <c:v>76.5964799999999</c:v>
                </c:pt>
                <c:pt idx="829">
                  <c:v>76.5964799999999</c:v>
                </c:pt>
                <c:pt idx="830">
                  <c:v>76.5964799999999</c:v>
                </c:pt>
                <c:pt idx="831">
                  <c:v>76.5964799999999</c:v>
                </c:pt>
                <c:pt idx="832">
                  <c:v>76.5964799999999</c:v>
                </c:pt>
                <c:pt idx="833">
                  <c:v>76.5964799999999</c:v>
                </c:pt>
                <c:pt idx="834">
                  <c:v>76.5964799999999</c:v>
                </c:pt>
                <c:pt idx="835">
                  <c:v>76.5964799999999</c:v>
                </c:pt>
                <c:pt idx="836">
                  <c:v>76.5964799999999</c:v>
                </c:pt>
                <c:pt idx="837">
                  <c:v>76.5964799999999</c:v>
                </c:pt>
                <c:pt idx="838">
                  <c:v>76.5964799999999</c:v>
                </c:pt>
                <c:pt idx="839">
                  <c:v>76.5964799999999</c:v>
                </c:pt>
                <c:pt idx="840">
                  <c:v>76.5964799999999</c:v>
                </c:pt>
                <c:pt idx="841">
                  <c:v>76.5964799999999</c:v>
                </c:pt>
                <c:pt idx="842">
                  <c:v>76.5964799999999</c:v>
                </c:pt>
                <c:pt idx="843">
                  <c:v>76.5964799999999</c:v>
                </c:pt>
                <c:pt idx="844">
                  <c:v>76.5964799999999</c:v>
                </c:pt>
                <c:pt idx="845">
                  <c:v>76.5964799999999</c:v>
                </c:pt>
                <c:pt idx="846">
                  <c:v>76.5964799999999</c:v>
                </c:pt>
                <c:pt idx="847">
                  <c:v>76.5964799999999</c:v>
                </c:pt>
                <c:pt idx="848">
                  <c:v>76.5964799999999</c:v>
                </c:pt>
                <c:pt idx="849">
                  <c:v>76.5964799999999</c:v>
                </c:pt>
                <c:pt idx="850">
                  <c:v>76.5964799999999</c:v>
                </c:pt>
                <c:pt idx="851">
                  <c:v>76.5964799999999</c:v>
                </c:pt>
                <c:pt idx="852">
                  <c:v>76.5964799999999</c:v>
                </c:pt>
                <c:pt idx="853">
                  <c:v>76.5964799999999</c:v>
                </c:pt>
                <c:pt idx="854">
                  <c:v>76.5964799999999</c:v>
                </c:pt>
                <c:pt idx="855">
                  <c:v>76.5964799999999</c:v>
                </c:pt>
                <c:pt idx="856">
                  <c:v>76.5964799999999</c:v>
                </c:pt>
                <c:pt idx="857">
                  <c:v>76.5964799999999</c:v>
                </c:pt>
                <c:pt idx="858">
                  <c:v>76.5964799999999</c:v>
                </c:pt>
                <c:pt idx="859">
                  <c:v>76.5964799999999</c:v>
                </c:pt>
                <c:pt idx="860">
                  <c:v>76.5964799999999</c:v>
                </c:pt>
                <c:pt idx="861">
                  <c:v>76.5964799999999</c:v>
                </c:pt>
                <c:pt idx="862">
                  <c:v>76.5964799999999</c:v>
                </c:pt>
                <c:pt idx="863">
                  <c:v>76.5964799999999</c:v>
                </c:pt>
                <c:pt idx="864">
                  <c:v>76.5964799999999</c:v>
                </c:pt>
                <c:pt idx="865">
                  <c:v>76.5964799999999</c:v>
                </c:pt>
                <c:pt idx="866">
                  <c:v>76.5964799999999</c:v>
                </c:pt>
                <c:pt idx="867">
                  <c:v>76.5964799999999</c:v>
                </c:pt>
                <c:pt idx="868">
                  <c:v>76.5964799999999</c:v>
                </c:pt>
                <c:pt idx="869">
                  <c:v>76.5964799999999</c:v>
                </c:pt>
                <c:pt idx="870">
                  <c:v>76.5964799999999</c:v>
                </c:pt>
                <c:pt idx="871">
                  <c:v>76.5964799999999</c:v>
                </c:pt>
                <c:pt idx="872">
                  <c:v>76.5964799999999</c:v>
                </c:pt>
                <c:pt idx="873">
                  <c:v>76.5964799999999</c:v>
                </c:pt>
                <c:pt idx="874">
                  <c:v>76.5964799999999</c:v>
                </c:pt>
                <c:pt idx="875">
                  <c:v>76.5964799999999</c:v>
                </c:pt>
                <c:pt idx="876">
                  <c:v>76.5964799999999</c:v>
                </c:pt>
                <c:pt idx="877">
                  <c:v>76.5964799999999</c:v>
                </c:pt>
                <c:pt idx="878">
                  <c:v>76.5964799999999</c:v>
                </c:pt>
                <c:pt idx="879">
                  <c:v>76.5964799999999</c:v>
                </c:pt>
                <c:pt idx="880">
                  <c:v>76.5964799999999</c:v>
                </c:pt>
                <c:pt idx="881">
                  <c:v>76.5964799999999</c:v>
                </c:pt>
                <c:pt idx="882">
                  <c:v>76.5964799999999</c:v>
                </c:pt>
                <c:pt idx="883">
                  <c:v>76.5964799999999</c:v>
                </c:pt>
                <c:pt idx="884">
                  <c:v>76.5964799999999</c:v>
                </c:pt>
                <c:pt idx="885">
                  <c:v>76.5964799999999</c:v>
                </c:pt>
                <c:pt idx="886">
                  <c:v>76.5964799999999</c:v>
                </c:pt>
                <c:pt idx="887">
                  <c:v>76.5964799999999</c:v>
                </c:pt>
                <c:pt idx="888">
                  <c:v>76.5964799999999</c:v>
                </c:pt>
                <c:pt idx="889">
                  <c:v>76.5964799999999</c:v>
                </c:pt>
                <c:pt idx="890">
                  <c:v>76.5964799999999</c:v>
                </c:pt>
                <c:pt idx="891">
                  <c:v>76.5964799999999</c:v>
                </c:pt>
                <c:pt idx="892">
                  <c:v>76.5964799999999</c:v>
                </c:pt>
                <c:pt idx="893">
                  <c:v>76.5964799999999</c:v>
                </c:pt>
                <c:pt idx="894">
                  <c:v>76.5964799999999</c:v>
                </c:pt>
                <c:pt idx="895">
                  <c:v>76.5964799999999</c:v>
                </c:pt>
                <c:pt idx="896">
                  <c:v>76.5964799999999</c:v>
                </c:pt>
                <c:pt idx="897">
                  <c:v>76.5964799999999</c:v>
                </c:pt>
                <c:pt idx="898">
                  <c:v>76.5964799999999</c:v>
                </c:pt>
                <c:pt idx="899">
                  <c:v>76.5964799999999</c:v>
                </c:pt>
                <c:pt idx="900">
                  <c:v>76.5964799999999</c:v>
                </c:pt>
                <c:pt idx="901">
                  <c:v>76.5964799999999</c:v>
                </c:pt>
                <c:pt idx="902">
                  <c:v>76.5964799999999</c:v>
                </c:pt>
                <c:pt idx="903">
                  <c:v>76.5964799999999</c:v>
                </c:pt>
                <c:pt idx="904">
                  <c:v>76.5964799999999</c:v>
                </c:pt>
                <c:pt idx="905">
                  <c:v>76.5964799999999</c:v>
                </c:pt>
                <c:pt idx="906">
                  <c:v>76.5964799999999</c:v>
                </c:pt>
                <c:pt idx="907">
                  <c:v>76.5964799999999</c:v>
                </c:pt>
                <c:pt idx="908">
                  <c:v>76.5964799999999</c:v>
                </c:pt>
                <c:pt idx="909">
                  <c:v>76.5964799999999</c:v>
                </c:pt>
                <c:pt idx="910">
                  <c:v>76.5964799999999</c:v>
                </c:pt>
                <c:pt idx="911">
                  <c:v>76.5964799999999</c:v>
                </c:pt>
                <c:pt idx="912">
                  <c:v>76.5964799999999</c:v>
                </c:pt>
                <c:pt idx="913">
                  <c:v>76.5964799999999</c:v>
                </c:pt>
                <c:pt idx="914">
                  <c:v>76.5964799999999</c:v>
                </c:pt>
                <c:pt idx="915">
                  <c:v>76.5964799999999</c:v>
                </c:pt>
                <c:pt idx="916">
                  <c:v>76.5964799999999</c:v>
                </c:pt>
                <c:pt idx="917">
                  <c:v>76.5964799999999</c:v>
                </c:pt>
                <c:pt idx="918">
                  <c:v>76.5964799999999</c:v>
                </c:pt>
                <c:pt idx="919">
                  <c:v>76.5964799999999</c:v>
                </c:pt>
                <c:pt idx="920">
                  <c:v>76.5964799999999</c:v>
                </c:pt>
                <c:pt idx="921">
                  <c:v>76.5964799999999</c:v>
                </c:pt>
                <c:pt idx="922">
                  <c:v>76.5964799999999</c:v>
                </c:pt>
                <c:pt idx="923">
                  <c:v>76.5964799999999</c:v>
                </c:pt>
                <c:pt idx="924">
                  <c:v>76.5964799999999</c:v>
                </c:pt>
                <c:pt idx="925">
                  <c:v>76.5964799999999</c:v>
                </c:pt>
                <c:pt idx="926">
                  <c:v>76.5964799999999</c:v>
                </c:pt>
                <c:pt idx="927">
                  <c:v>76.5964799999999</c:v>
                </c:pt>
                <c:pt idx="928">
                  <c:v>76.5964799999999</c:v>
                </c:pt>
                <c:pt idx="929">
                  <c:v>76.5964799999999</c:v>
                </c:pt>
                <c:pt idx="930">
                  <c:v>76.5964799999999</c:v>
                </c:pt>
                <c:pt idx="931">
                  <c:v>76.5964799999999</c:v>
                </c:pt>
                <c:pt idx="932">
                  <c:v>76.5964799999999</c:v>
                </c:pt>
                <c:pt idx="933">
                  <c:v>76.5964799999999</c:v>
                </c:pt>
                <c:pt idx="934">
                  <c:v>76.5964799999999</c:v>
                </c:pt>
                <c:pt idx="935">
                  <c:v>76.5964799999999</c:v>
                </c:pt>
                <c:pt idx="936">
                  <c:v>76.5964799999999</c:v>
                </c:pt>
                <c:pt idx="937">
                  <c:v>76.5964799999999</c:v>
                </c:pt>
                <c:pt idx="938">
                  <c:v>76.5964799999999</c:v>
                </c:pt>
                <c:pt idx="939">
                  <c:v>76.5964799999999</c:v>
                </c:pt>
                <c:pt idx="940">
                  <c:v>76.5964799999999</c:v>
                </c:pt>
                <c:pt idx="941">
                  <c:v>76.5964799999999</c:v>
                </c:pt>
                <c:pt idx="942">
                  <c:v>76.5964799999999</c:v>
                </c:pt>
                <c:pt idx="943">
                  <c:v>76.5964799999999</c:v>
                </c:pt>
                <c:pt idx="944">
                  <c:v>76.5964799999999</c:v>
                </c:pt>
                <c:pt idx="945">
                  <c:v>76.5964799999999</c:v>
                </c:pt>
                <c:pt idx="946">
                  <c:v>76.5964799999999</c:v>
                </c:pt>
                <c:pt idx="947">
                  <c:v>76.5964799999999</c:v>
                </c:pt>
                <c:pt idx="948">
                  <c:v>76.5964799999999</c:v>
                </c:pt>
                <c:pt idx="949">
                  <c:v>76.5964799999999</c:v>
                </c:pt>
                <c:pt idx="950">
                  <c:v>76.5964799999999</c:v>
                </c:pt>
                <c:pt idx="951">
                  <c:v>76.5964799999999</c:v>
                </c:pt>
                <c:pt idx="952">
                  <c:v>76.5964799999999</c:v>
                </c:pt>
                <c:pt idx="953">
                  <c:v>76.5964799999999</c:v>
                </c:pt>
                <c:pt idx="954">
                  <c:v>76.5964799999999</c:v>
                </c:pt>
                <c:pt idx="955">
                  <c:v>76.5964799999999</c:v>
                </c:pt>
                <c:pt idx="956">
                  <c:v>76.5964799999999</c:v>
                </c:pt>
                <c:pt idx="957">
                  <c:v>76.5964799999999</c:v>
                </c:pt>
                <c:pt idx="958">
                  <c:v>76.5964799999999</c:v>
                </c:pt>
                <c:pt idx="959">
                  <c:v>76.5964799999999</c:v>
                </c:pt>
                <c:pt idx="960">
                  <c:v>76.5964799999999</c:v>
                </c:pt>
                <c:pt idx="961">
                  <c:v>76.5964799999999</c:v>
                </c:pt>
                <c:pt idx="962">
                  <c:v>76.5964799999999</c:v>
                </c:pt>
                <c:pt idx="963">
                  <c:v>76.5964799999999</c:v>
                </c:pt>
                <c:pt idx="964">
                  <c:v>76.5964799999999</c:v>
                </c:pt>
                <c:pt idx="965">
                  <c:v>76.5964799999999</c:v>
                </c:pt>
                <c:pt idx="966">
                  <c:v>76.5964799999999</c:v>
                </c:pt>
                <c:pt idx="967">
                  <c:v>76.5964799999999</c:v>
                </c:pt>
                <c:pt idx="968">
                  <c:v>76.5964799999999</c:v>
                </c:pt>
                <c:pt idx="969">
                  <c:v>76.5964799999999</c:v>
                </c:pt>
                <c:pt idx="970">
                  <c:v>76.5964799999999</c:v>
                </c:pt>
                <c:pt idx="971">
                  <c:v>76.5964799999999</c:v>
                </c:pt>
                <c:pt idx="972">
                  <c:v>76.5964799999999</c:v>
                </c:pt>
                <c:pt idx="973">
                  <c:v>76.5964799999999</c:v>
                </c:pt>
                <c:pt idx="974">
                  <c:v>76.5964799999999</c:v>
                </c:pt>
                <c:pt idx="975">
                  <c:v>76.5964799999999</c:v>
                </c:pt>
                <c:pt idx="976">
                  <c:v>76.5964799999999</c:v>
                </c:pt>
                <c:pt idx="977">
                  <c:v>76.5964799999999</c:v>
                </c:pt>
                <c:pt idx="978">
                  <c:v>76.5964799999999</c:v>
                </c:pt>
                <c:pt idx="979">
                  <c:v>76.5964799999999</c:v>
                </c:pt>
                <c:pt idx="980">
                  <c:v>76.5964799999999</c:v>
                </c:pt>
                <c:pt idx="981">
                  <c:v>76.5964799999999</c:v>
                </c:pt>
                <c:pt idx="982">
                  <c:v>76.5964799999999</c:v>
                </c:pt>
                <c:pt idx="983">
                  <c:v>76.5964799999999</c:v>
                </c:pt>
                <c:pt idx="984">
                  <c:v>76.5964799999999</c:v>
                </c:pt>
                <c:pt idx="985">
                  <c:v>76.5964799999999</c:v>
                </c:pt>
                <c:pt idx="986">
                  <c:v>76.5964799999999</c:v>
                </c:pt>
                <c:pt idx="987">
                  <c:v>76.5964799999999</c:v>
                </c:pt>
                <c:pt idx="988">
                  <c:v>76.5964799999999</c:v>
                </c:pt>
                <c:pt idx="989">
                  <c:v>76.5964799999999</c:v>
                </c:pt>
                <c:pt idx="990">
                  <c:v>76.5964799999999</c:v>
                </c:pt>
                <c:pt idx="991">
                  <c:v>76.5964799999999</c:v>
                </c:pt>
                <c:pt idx="992">
                  <c:v>76.5964799999999</c:v>
                </c:pt>
                <c:pt idx="993">
                  <c:v>76.5964799999999</c:v>
                </c:pt>
                <c:pt idx="994">
                  <c:v>76.5964799999999</c:v>
                </c:pt>
                <c:pt idx="995">
                  <c:v>76.5964799999999</c:v>
                </c:pt>
                <c:pt idx="996">
                  <c:v>76.5964799999999</c:v>
                </c:pt>
                <c:pt idx="997">
                  <c:v>76.5964799999999</c:v>
                </c:pt>
                <c:pt idx="998">
                  <c:v>76.5964799999999</c:v>
                </c:pt>
                <c:pt idx="999">
                  <c:v>76.5964799999999</c:v>
                </c:pt>
                <c:pt idx="1000">
                  <c:v>76.5964799999999</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Calculs!$W$4:$W$1004</c:f>
              <c:numCache>
                <c:formatCode>0.00</c:formatCode>
                <c:ptCount val="1001"/>
                <c:pt idx="0">
                  <c:v>0</c:v>
                </c:pt>
                <c:pt idx="1">
                  <c:v>7.7344229850616655E-8</c:v>
                </c:pt>
                <c:pt idx="2">
                  <c:v>1.7747760645274251E-4</c:v>
                </c:pt>
                <c:pt idx="3">
                  <c:v>1.5318607113459675E-3</c:v>
                </c:pt>
                <c:pt idx="4">
                  <c:v>6.043472097987293E-3</c:v>
                </c:pt>
                <c:pt idx="5">
                  <c:v>1.6676892840373627E-2</c:v>
                </c:pt>
                <c:pt idx="6">
                  <c:v>3.4925431315559093E-2</c:v>
                </c:pt>
                <c:pt idx="7">
                  <c:v>5.9783898597928951E-2</c:v>
                </c:pt>
                <c:pt idx="8">
                  <c:v>9.1210203175494872E-2</c:v>
                </c:pt>
                <c:pt idx="9">
                  <c:v>0.12916199902899003</c:v>
                </c:pt>
                <c:pt idx="10">
                  <c:v>0.17359668918676813</c:v>
                </c:pt>
                <c:pt idx="11">
                  <c:v>0.22447142930120931</c:v>
                </c:pt>
                <c:pt idx="12">
                  <c:v>0.28174313124610395</c:v>
                </c:pt>
                <c:pt idx="13">
                  <c:v>0.34536846673447508</c:v>
                </c:pt>
                <c:pt idx="14">
                  <c:v>0.4153038709563075</c:v>
                </c:pt>
                <c:pt idx="15">
                  <c:v>0.49150554623563658</c:v>
                </c:pt>
                <c:pt idx="16">
                  <c:v>0.57392946570646064</c:v>
                </c:pt>
                <c:pt idx="17">
                  <c:v>0.66253137700692777</c:v>
                </c:pt>
                <c:pt idx="18">
                  <c:v>0.75726680599124985</c:v>
                </c:pt>
                <c:pt idx="19">
                  <c:v>0.85809106045879835</c:v>
                </c:pt>
                <c:pt idx="20">
                  <c:v>0.96495923389982552</c:v>
                </c:pt>
                <c:pt idx="21">
                  <c:v>1.077826209257261</c:v>
                </c:pt>
                <c:pt idx="22">
                  <c:v>1.19664666270403</c:v>
                </c:pt>
                <c:pt idx="23">
                  <c:v>1.3213750674353317</c:v>
                </c:pt>
                <c:pt idx="24">
                  <c:v>1.4519656974753266</c:v>
                </c:pt>
                <c:pt idx="25">
                  <c:v>1.5883726314976732</c:v>
                </c:pt>
                <c:pt idx="26">
                  <c:v>1.7305497566593442</c:v>
                </c:pt>
                <c:pt idx="27">
                  <c:v>1.8784507724471746</c:v>
                </c:pt>
                <c:pt idx="28">
                  <c:v>2.0320291945365705</c:v>
                </c:pt>
                <c:pt idx="29">
                  <c:v>2.1912383586618218</c:v>
                </c:pt>
                <c:pt idx="30">
                  <c:v>2.3560314244974445</c:v>
                </c:pt>
                <c:pt idx="31">
                  <c:v>2.5263613795500079</c:v>
                </c:pt>
                <c:pt idx="32">
                  <c:v>2.7021810430598552</c:v>
                </c:pt>
                <c:pt idx="33">
                  <c:v>2.8834430699121865</c:v>
                </c:pt>
                <c:pt idx="34">
                  <c:v>3.0701010817816821</c:v>
                </c:pt>
                <c:pt idx="35">
                  <c:v>3.2621087315483823</c:v>
                </c:pt>
                <c:pt idx="36">
                  <c:v>3.459418361396895</c:v>
                </c:pt>
                <c:pt idx="37">
                  <c:v>3.6619821604827116</c:v>
                </c:pt>
                <c:pt idx="38">
                  <c:v>3.869752169076166</c:v>
                </c:pt>
                <c:pt idx="39">
                  <c:v>4.0826802827070274</c:v>
                </c:pt>
                <c:pt idx="40">
                  <c:v>4.3007182562996311</c:v>
                </c:pt>
                <c:pt idx="41">
                  <c:v>4.5238177082995348</c:v>
                </c:pt>
                <c:pt idx="42">
                  <c:v>4.7519301247924277</c:v>
                </c:pt>
                <c:pt idx="43">
                  <c:v>4.9850068636159568</c:v>
                </c:pt>
                <c:pt idx="44">
                  <c:v>5.2229991584648614</c:v>
                </c:pt>
                <c:pt idx="45">
                  <c:v>5.4658581229898422</c:v>
                </c:pt>
                <c:pt idx="46">
                  <c:v>5.7135347548903734</c:v>
                </c:pt>
                <c:pt idx="47">
                  <c:v>5.9659799400015983</c:v>
                </c:pt>
                <c:pt idx="48">
                  <c:v>6.2231444563754676</c:v>
                </c:pt>
                <c:pt idx="49">
                  <c:v>6.4849789783560174</c:v>
                </c:pt>
                <c:pt idx="50">
                  <c:v>6.7514340806488979</c:v>
                </c:pt>
                <c:pt idx="51">
                  <c:v>7.0226407589502919</c:v>
                </c:pt>
                <c:pt idx="52">
                  <c:v>7.2987442097012156</c:v>
                </c:pt>
                <c:pt idx="53">
                  <c:v>7.5797160744674104</c:v>
                </c:pt>
                <c:pt idx="54">
                  <c:v>7.8655278280922634</c:v>
                </c:pt>
                <c:pt idx="55">
                  <c:v>8.1561507807527498</c:v>
                </c:pt>
                <c:pt idx="56">
                  <c:v>8.4515560800238525</c:v>
                </c:pt>
                <c:pt idx="57">
                  <c:v>8.7517147129512907</c:v>
                </c:pt>
                <c:pt idx="58">
                  <c:v>9.0565975081326666</c:v>
                </c:pt>
                <c:pt idx="59">
                  <c:v>9.3661751378067759</c:v>
                </c:pt>
                <c:pt idx="60">
                  <c:v>9.6804181199511365</c:v>
                </c:pt>
                <c:pt idx="61">
                  <c:v>9.9992968203875279</c:v>
                </c:pt>
                <c:pt idx="62">
                  <c:v>10.32278145489547</c:v>
                </c:pt>
                <c:pt idx="63">
                  <c:v>10.650842091333487</c:v>
                </c:pt>
                <c:pt idx="64">
                  <c:v>10.983448651767995</c:v>
                </c:pt>
                <c:pt idx="65">
                  <c:v>11.320570914609718</c:v>
                </c:pt>
                <c:pt idx="66">
                  <c:v>11.662178516757409</c:v>
                </c:pt>
                <c:pt idx="67">
                  <c:v>12.008240955748706</c:v>
                </c:pt>
                <c:pt idx="68">
                  <c:v>12.358727591917997</c:v>
                </c:pt>
                <c:pt idx="69">
                  <c:v>12.71360765056107</c:v>
                </c:pt>
                <c:pt idx="70">
                  <c:v>13.072850224106286</c:v>
                </c:pt>
                <c:pt idx="71">
                  <c:v>13.436424274292296</c:v>
                </c:pt>
                <c:pt idx="72">
                  <c:v>13.804298634351779</c:v>
                </c:pt>
                <c:pt idx="73">
                  <c:v>14.176442011201306</c:v>
                </c:pt>
                <c:pt idx="74">
                  <c:v>14.552822987636883</c:v>
                </c:pt>
                <c:pt idx="75">
                  <c:v>14.933410024535114</c:v>
                </c:pt>
                <c:pt idx="76">
                  <c:v>15.31817146305962</c:v>
                </c:pt>
                <c:pt idx="77">
                  <c:v>15.70707552687267</c:v>
                </c:pt>
                <c:pt idx="78">
                  <c:v>16.100090324351601</c:v>
                </c:pt>
                <c:pt idx="79">
                  <c:v>16.497183850809947</c:v>
                </c:pt>
                <c:pt idx="80">
                  <c:v>16.898323990722961</c:v>
                </c:pt>
                <c:pt idx="81">
                  <c:v>17.303478519957327</c:v>
                </c:pt>
                <c:pt idx="82">
                  <c:v>17.712615108004854</c:v>
                </c:pt>
                <c:pt idx="83">
                  <c:v>18.125701320219822</c:v>
                </c:pt>
                <c:pt idx="84">
                  <c:v>18.54270462005983</c:v>
                </c:pt>
                <c:pt idx="85">
                  <c:v>18.963592371329849</c:v>
                </c:pt>
                <c:pt idx="86">
                  <c:v>19.388331840429302</c:v>
                </c:pt>
                <c:pt idx="87">
                  <c:v>19.81689019860185</c:v>
                </c:pt>
                <c:pt idx="88">
                  <c:v>20.249234524187642</c:v>
                </c:pt>
                <c:pt idx="89">
                  <c:v>20.685331804877865</c:v>
                </c:pt>
                <c:pt idx="90">
                  <c:v>21.125148939971247</c:v>
                </c:pt>
                <c:pt idx="91">
                  <c:v>21.568652742632363</c:v>
                </c:pt>
                <c:pt idx="92">
                  <c:v>22.015809942151378</c:v>
                </c:pt>
                <c:pt idx="93">
                  <c:v>22.466587186205043</c:v>
                </c:pt>
                <c:pt idx="94">
                  <c:v>22.920951043118759</c:v>
                </c:pt>
                <c:pt idx="95">
                  <c:v>23.37886800412933</c:v>
                </c:pt>
                <c:pt idx="96">
                  <c:v>23.84030448564824</c:v>
                </c:pt>
                <c:pt idx="97">
                  <c:v>24.305226831525147</c:v>
                </c:pt>
                <c:pt idx="98">
                  <c:v>24.773601315311485</c:v>
                </c:pt>
                <c:pt idx="99">
                  <c:v>25.245394142523654</c:v>
                </c:pt>
                <c:pt idx="100">
                  <c:v>25.720571452905805</c:v>
                </c:pt>
                <c:pt idx="101">
                  <c:v>26.198938711974733</c:v>
                </c:pt>
                <c:pt idx="102">
                  <c:v>26.680295321441257</c:v>
                </c:pt>
                <c:pt idx="103">
                  <c:v>27.164598336493658</c:v>
                </c:pt>
                <c:pt idx="104">
                  <c:v>27.651804807406517</c:v>
                </c:pt>
                <c:pt idx="105">
                  <c:v>28.14187178248438</c:v>
                </c:pt>
                <c:pt idx="106">
                  <c:v>28.634756310994849</c:v>
                </c:pt>
                <c:pt idx="107">
                  <c:v>29.130415446090726</c:v>
                </c:pt>
                <c:pt idx="108">
                  <c:v>29.628806247721133</c:v>
                </c:pt>
                <c:pt idx="109">
                  <c:v>30.129885785531041</c:v>
                </c:pt>
                <c:pt idx="110">
                  <c:v>30.633611141749061</c:v>
                </c:pt>
                <c:pt idx="111">
                  <c:v>31.139939414063146</c:v>
                </c:pt>
                <c:pt idx="112">
                  <c:v>31.648827718483869</c:v>
                </c:pt>
                <c:pt idx="113">
                  <c:v>32.160233192195065</c:v>
                </c:pt>
                <c:pt idx="114">
                  <c:v>32.674112996391422</c:v>
                </c:pt>
                <c:pt idx="115">
                  <c:v>33.190424319102881</c:v>
                </c:pt>
                <c:pt idx="116">
                  <c:v>33.709124378005448</c:v>
                </c:pt>
                <c:pt idx="117">
                  <c:v>34.230170423218055</c:v>
                </c:pt>
                <c:pt idx="118">
                  <c:v>34.753519740085487</c:v>
                </c:pt>
                <c:pt idx="119">
                  <c:v>35.279129651946761</c:v>
                </c:pt>
                <c:pt idx="120">
                  <c:v>35.806957522888844</c:v>
                </c:pt>
                <c:pt idx="121">
                  <c:v>36.336960760485503</c:v>
                </c:pt>
                <c:pt idx="122">
                  <c:v>36.869096818520873</c:v>
                </c:pt>
                <c:pt idx="123">
                  <c:v>37.403323199697468</c:v>
                </c:pt>
                <c:pt idx="124">
                  <c:v>37.939597458328706</c:v>
                </c:pt>
                <c:pt idx="125">
                  <c:v>38.477877203015169</c:v>
                </c:pt>
                <c:pt idx="126">
                  <c:v>39.018120099304738</c:v>
                </c:pt>
                <c:pt idx="127">
                  <c:v>39.560283872336228</c:v>
                </c:pt>
                <c:pt idx="128">
                  <c:v>40.104326309466323</c:v>
                </c:pt>
                <c:pt idx="129">
                  <c:v>40.650205262879467</c:v>
                </c:pt>
                <c:pt idx="130">
                  <c:v>41.197878652180542</c:v>
                </c:pt>
                <c:pt idx="131">
                  <c:v>41.747304466970107</c:v>
                </c:pt>
                <c:pt idx="132">
                  <c:v>42.298440769402077</c:v>
                </c:pt>
                <c:pt idx="133">
                  <c:v>42.851245696723268</c:v>
                </c:pt>
                <c:pt idx="134">
                  <c:v>43.40567746379503</c:v>
                </c:pt>
                <c:pt idx="135">
                  <c:v>43.961694365596493</c:v>
                </c:pt>
                <c:pt idx="136">
                  <c:v>44.519254779709136</c:v>
                </c:pt>
                <c:pt idx="137">
                  <c:v>45.078317168782782</c:v>
                </c:pt>
                <c:pt idx="138">
                  <c:v>45.63884008298249</c:v>
                </c:pt>
                <c:pt idx="139">
                  <c:v>46.200782162416409</c:v>
                </c:pt>
                <c:pt idx="140">
                  <c:v>46.76410213954415</c:v>
                </c:pt>
                <c:pt idx="141">
                  <c:v>47.328758841565651</c:v>
                </c:pt>
                <c:pt idx="142">
                  <c:v>47.894711192790474</c:v>
                </c:pt>
                <c:pt idx="143">
                  <c:v>48.461918216986696</c:v>
                </c:pt>
                <c:pt idx="144">
                  <c:v>49.03033903971042</c:v>
                </c:pt>
                <c:pt idx="145">
                  <c:v>49.599932890614333</c:v>
                </c:pt>
                <c:pt idx="146">
                  <c:v>50.170659105736256</c:v>
                </c:pt>
                <c:pt idx="147">
                  <c:v>50.742477129766911</c:v>
                </c:pt>
                <c:pt idx="148">
                  <c:v>51.315346518296842</c:v>
                </c:pt>
                <c:pt idx="149">
                  <c:v>51.889226940042676</c:v>
                </c:pt>
                <c:pt idx="150">
                  <c:v>52.46407817905196</c:v>
                </c:pt>
                <c:pt idx="151">
                  <c:v>53.039937731062018</c:v>
                </c:pt>
                <c:pt idx="152">
                  <c:v>53.616844907515862</c:v>
                </c:pt>
                <c:pt idx="153">
                  <c:v>54.194762331713889</c:v>
                </c:pt>
                <c:pt idx="154">
                  <c:v>54.773652726950864</c:v>
                </c:pt>
                <c:pt idx="155">
                  <c:v>55.353478918483702</c:v>
                </c:pt>
                <c:pt idx="156">
                  <c:v>55.934203835480687</c:v>
                </c:pt>
                <c:pt idx="157">
                  <c:v>56.515790512952421</c:v>
                </c:pt>
                <c:pt idx="158">
                  <c:v>57.098202093663794</c:v>
                </c:pt>
                <c:pt idx="159">
                  <c:v>57.681401830027589</c:v>
                </c:pt>
                <c:pt idx="160">
                  <c:v>58.26535308597861</c:v>
                </c:pt>
                <c:pt idx="161">
                  <c:v>58.850019338829419</c:v>
                </c:pt>
                <c:pt idx="162">
                  <c:v>59.435364181106458</c:v>
                </c:pt>
                <c:pt idx="163">
                  <c:v>60.021351322367238</c:v>
                </c:pt>
                <c:pt idx="164">
                  <c:v>60.607944590998066</c:v>
                </c:pt>
                <c:pt idx="165">
                  <c:v>61.195107935992397</c:v>
                </c:pt>
                <c:pt idx="166">
                  <c:v>61.782805428709672</c:v>
                </c:pt>
                <c:pt idx="167">
                  <c:v>62.371001264614513</c:v>
                </c:pt>
                <c:pt idx="168">
                  <c:v>62.959659764996232</c:v>
                </c:pt>
                <c:pt idx="169">
                  <c:v>63.548745378668634</c:v>
                </c:pt>
                <c:pt idx="170">
                  <c:v>64.138222683649886</c:v>
                </c:pt>
                <c:pt idx="171">
                  <c:v>64.728056388822253</c:v>
                </c:pt>
                <c:pt idx="172">
                  <c:v>65.318211335572528</c:v>
                </c:pt>
                <c:pt idx="173">
                  <c:v>65.908652499411303</c:v>
                </c:pt>
                <c:pt idx="174">
                  <c:v>66.499344991573054</c:v>
                </c:pt>
                <c:pt idx="175">
                  <c:v>67.090254060595683</c:v>
                </c:pt>
                <c:pt idx="176">
                  <c:v>67.681345093879457</c:v>
                </c:pt>
                <c:pt idx="177">
                  <c:v>68.272583619226253</c:v>
                </c:pt>
                <c:pt idx="178">
                  <c:v>68.863935306357902</c:v>
                </c:pt>
                <c:pt idx="179">
                  <c:v>69.45536596841464</c:v>
                </c:pt>
                <c:pt idx="180">
                  <c:v>70.046841563432238</c:v>
                </c:pt>
                <c:pt idx="181">
                  <c:v>70.638328195799772</c:v>
                </c:pt>
                <c:pt idx="182">
                  <c:v>71.229792117695695</c:v>
                </c:pt>
                <c:pt idx="183">
                  <c:v>71.821199730504361</c:v>
                </c:pt>
                <c:pt idx="184">
                  <c:v>72.412517586211109</c:v>
                </c:pt>
                <c:pt idx="185">
                  <c:v>73.003712388777203</c:v>
                </c:pt>
                <c:pt idx="186">
                  <c:v>73.59475099549401</c:v>
                </c:pt>
                <c:pt idx="187">
                  <c:v>74.18560041831617</c:v>
                </c:pt>
                <c:pt idx="188">
                  <c:v>74.776227825174644</c:v>
                </c:pt>
                <c:pt idx="189">
                  <c:v>75.366600541268582</c:v>
                </c:pt>
                <c:pt idx="190">
                  <c:v>75.956686050336572</c:v>
                </c:pt>
                <c:pt idx="191">
                  <c:v>76.54645199590729</c:v>
                </c:pt>
                <c:pt idx="192">
                  <c:v>77.135866182529114</c:v>
                </c:pt>
                <c:pt idx="193">
                  <c:v>77.724896576979262</c:v>
                </c:pt>
                <c:pt idx="194">
                  <c:v>78.313511309452238</c:v>
                </c:pt>
                <c:pt idx="195">
                  <c:v>78.901678674727052</c:v>
                </c:pt>
                <c:pt idx="196">
                  <c:v>79.48936713331419</c:v>
                </c:pt>
                <c:pt idx="197">
                  <c:v>80.076545312581942</c:v>
                </c:pt>
                <c:pt idx="198">
                  <c:v>80.663182007861181</c:v>
                </c:pt>
                <c:pt idx="199">
                  <c:v>81.249246183530673</c:v>
                </c:pt>
                <c:pt idx="200">
                  <c:v>81.834706974080476</c:v>
                </c:pt>
                <c:pt idx="201">
                  <c:v>82.419533685155713</c:v>
                </c:pt>
                <c:pt idx="202">
                  <c:v>83.003695794579031</c:v>
                </c:pt>
                <c:pt idx="203">
                  <c:v>83.587162953352703</c:v>
                </c:pt>
                <c:pt idx="204">
                  <c:v>84.169904986640034</c:v>
                </c:pt>
                <c:pt idx="205">
                  <c:v>84.751891894726583</c:v>
                </c:pt>
                <c:pt idx="206">
                  <c:v>85.333093853960321</c:v>
                </c:pt>
                <c:pt idx="207">
                  <c:v>85.913481217671702</c:v>
                </c:pt>
                <c:pt idx="208">
                  <c:v>86.493024517073351</c:v>
                </c:pt>
                <c:pt idx="209">
                  <c:v>87.071694462138865</c:v>
                </c:pt>
                <c:pt idx="210">
                  <c:v>87.649461942462025</c:v>
                </c:pt>
                <c:pt idx="211">
                  <c:v>88.226298028095002</c:v>
                </c:pt>
                <c:pt idx="212">
                  <c:v>88.802173970366979</c:v>
                </c:pt>
                <c:pt idx="213">
                  <c:v>89.377061202681773</c:v>
                </c:pt>
                <c:pt idx="214">
                  <c:v>89.95093134129641</c:v>
                </c:pt>
                <c:pt idx="215">
                  <c:v>90.523756186078558</c:v>
                </c:pt>
                <c:pt idx="216">
                  <c:v>91.095507721244573</c:v>
                </c:pt>
                <c:pt idx="217">
                  <c:v>91.666158116077526</c:v>
                </c:pt>
                <c:pt idx="218">
                  <c:v>92.235679725625374</c:v>
                </c:pt>
                <c:pt idx="219">
                  <c:v>92.804045091378867</c:v>
                </c:pt>
                <c:pt idx="220">
                  <c:v>93.371226941930601</c:v>
                </c:pt>
                <c:pt idx="221">
                  <c:v>93.93719819361354</c:v>
                </c:pt>
                <c:pt idx="222">
                  <c:v>94.501931951120511</c:v>
                </c:pt>
                <c:pt idx="223">
                  <c:v>95.065401508103818</c:v>
                </c:pt>
                <c:pt idx="224">
                  <c:v>95.62758034775581</c:v>
                </c:pt>
                <c:pt idx="225">
                  <c:v>96.18844214336977</c:v>
                </c:pt>
                <c:pt idx="226">
                  <c:v>96.747960758881931</c:v>
                </c:pt>
                <c:pt idx="227">
                  <c:v>97.306110249393583</c:v>
                </c:pt>
                <c:pt idx="228">
                  <c:v>97.862864861675078</c:v>
                </c:pt>
                <c:pt idx="229">
                  <c:v>98.418199034650144</c:v>
                </c:pt>
                <c:pt idx="230">
                  <c:v>98.97208739986155</c:v>
                </c:pt>
                <c:pt idx="231">
                  <c:v>99.524504781917756</c:v>
                </c:pt>
                <c:pt idx="232">
                  <c:v>100.07542619892126</c:v>
                </c:pt>
                <c:pt idx="233">
                  <c:v>100.62482686287798</c:v>
                </c:pt>
                <c:pt idx="234">
                  <c:v>101.17268218008824</c:v>
                </c:pt>
                <c:pt idx="235">
                  <c:v>101.71896775151934</c:v>
                </c:pt>
                <c:pt idx="236">
                  <c:v>102.2636593731599</c:v>
                </c:pt>
                <c:pt idx="237">
                  <c:v>102.80673303635578</c:v>
                </c:pt>
                <c:pt idx="238">
                  <c:v>103.34816492812824</c:v>
                </c:pt>
                <c:pt idx="239">
                  <c:v>103.8879314314739</c:v>
                </c:pt>
                <c:pt idx="240">
                  <c:v>104.42600912564664</c:v>
                </c:pt>
                <c:pt idx="241">
                  <c:v>104.96237478642249</c:v>
                </c:pt>
                <c:pt idx="242">
                  <c:v>105.49700538634571</c:v>
                </c:pt>
                <c:pt idx="243">
                  <c:v>106.0298780949586</c:v>
                </c:pt>
                <c:pt idx="244">
                  <c:v>106.56097027901255</c:v>
                </c:pt>
                <c:pt idx="245">
                  <c:v>107.09025950266346</c:v>
                </c:pt>
                <c:pt idx="246">
                  <c:v>107.61772352764807</c:v>
                </c:pt>
                <c:pt idx="247">
                  <c:v>108.14334031344499</c:v>
                </c:pt>
                <c:pt idx="248">
                  <c:v>108.66708801741771</c:v>
                </c:pt>
                <c:pt idx="249">
                  <c:v>109.18894499494093</c:v>
                </c:pt>
                <c:pt idx="250">
                  <c:v>109.70888979951054</c:v>
                </c:pt>
                <c:pt idx="251">
                  <c:v>110.2264220416718</c:v>
                </c:pt>
                <c:pt idx="252">
                  <c:v>110.74103746062903</c:v>
                </c:pt>
                <c:pt idx="253">
                  <c:v>111.25270962134445</c:v>
                </c:pt>
                <c:pt idx="254">
                  <c:v>111.76141241033929</c:v>
                </c:pt>
                <c:pt idx="255">
                  <c:v>112.26712003544425</c:v>
                </c:pt>
                <c:pt idx="256">
                  <c:v>112.76980702552325</c:v>
                </c:pt>
                <c:pt idx="257">
                  <c:v>113.26944823016962</c:v>
                </c:pt>
                <c:pt idx="258">
                  <c:v>113.76601881937682</c:v>
                </c:pt>
                <c:pt idx="259">
                  <c:v>114.2594942831816</c:v>
                </c:pt>
                <c:pt idx="260">
                  <c:v>114.74985043128203</c:v>
                </c:pt>
                <c:pt idx="261">
                  <c:v>115.23706339262952</c:v>
                </c:pt>
                <c:pt idx="262">
                  <c:v>115.72110961499543</c:v>
                </c:pt>
                <c:pt idx="263">
                  <c:v>116.20196586451256</c:v>
                </c:pt>
                <c:pt idx="264">
                  <c:v>116.67960922519205</c:v>
                </c:pt>
                <c:pt idx="265">
                  <c:v>117.15401709841559</c:v>
                </c:pt>
                <c:pt idx="266">
                  <c:v>117.62516720240325</c:v>
                </c:pt>
                <c:pt idx="267">
                  <c:v>118.0930375716581</c:v>
                </c:pt>
                <c:pt idx="268">
                  <c:v>118.5576065563862</c:v>
                </c:pt>
                <c:pt idx="269">
                  <c:v>119.01885282189448</c:v>
                </c:pt>
                <c:pt idx="270">
                  <c:v>119.47675534796475</c:v>
                </c:pt>
                <c:pt idx="271">
                  <c:v>119.93129342820538</c:v>
                </c:pt>
                <c:pt idx="272">
                  <c:v>120.38244666938068</c:v>
                </c:pt>
                <c:pt idx="273">
                  <c:v>120.83019499071814</c:v>
                </c:pt>
                <c:pt idx="274">
                  <c:v>121.27451862319398</c:v>
                </c:pt>
                <c:pt idx="275">
                  <c:v>121.7153981087971</c:v>
                </c:pt>
                <c:pt idx="276">
                  <c:v>122.15281429977199</c:v>
                </c:pt>
                <c:pt idx="277">
                  <c:v>122.58674835784099</c:v>
                </c:pt>
                <c:pt idx="278">
                  <c:v>123.01718175340592</c:v>
                </c:pt>
                <c:pt idx="279">
                  <c:v>123.4440962647293</c:v>
                </c:pt>
                <c:pt idx="280">
                  <c:v>123.86747397709594</c:v>
                </c:pt>
                <c:pt idx="281">
                  <c:v>124.28729728195492</c:v>
                </c:pt>
                <c:pt idx="282">
                  <c:v>124.70354887604201</c:v>
                </c:pt>
                <c:pt idx="283">
                  <c:v>125.11621176048374</c:v>
                </c:pt>
                <c:pt idx="284">
                  <c:v>125.52526923988187</c:v>
                </c:pt>
                <c:pt idx="285">
                  <c:v>125.93070492138023</c:v>
                </c:pt>
                <c:pt idx="286">
                  <c:v>126.33250271371361</c:v>
                </c:pt>
                <c:pt idx="287">
                  <c:v>126.73064682623789</c:v>
                </c:pt>
                <c:pt idx="288">
                  <c:v>127.12512176794431</c:v>
                </c:pt>
                <c:pt idx="289">
                  <c:v>127.51591234645487</c:v>
                </c:pt>
                <c:pt idx="290">
                  <c:v>127.9030036670022</c:v>
                </c:pt>
                <c:pt idx="291">
                  <c:v>128.2863811313924</c:v>
                </c:pt>
                <c:pt idx="292">
                  <c:v>128.66603043695162</c:v>
                </c:pt>
                <c:pt idx="293">
                  <c:v>129.04193757545667</c:v>
                </c:pt>
                <c:pt idx="294">
                  <c:v>129.41408883205037</c:v>
                </c:pt>
                <c:pt idx="295">
                  <c:v>129.78247078414117</c:v>
                </c:pt>
                <c:pt idx="296">
                  <c:v>130.14707030028788</c:v>
                </c:pt>
                <c:pt idx="297">
                  <c:v>130.50787453906969</c:v>
                </c:pt>
                <c:pt idx="298">
                  <c:v>130.85916544019008</c:v>
                </c:pt>
                <c:pt idx="299">
                  <c:v>131.19520267120205</c:v>
                </c:pt>
                <c:pt idx="300">
                  <c:v>131.51594830596966</c:v>
                </c:pt>
                <c:pt idx="301">
                  <c:v>131.82136769227051</c:v>
                </c:pt>
                <c:pt idx="302">
                  <c:v>132.11142943298671</c:v>
                </c:pt>
                <c:pt idx="303">
                  <c:v>132.38610536698022</c:v>
                </c:pt>
                <c:pt idx="304">
                  <c:v>132.64537054966664</c:v>
                </c:pt>
                <c:pt idx="305">
                  <c:v>132.8892032332954</c:v>
                </c:pt>
                <c:pt idx="306">
                  <c:v>133.1175848469511</c:v>
                </c:pt>
                <c:pt idx="307">
                  <c:v>133.33049997628416</c:v>
                </c:pt>
                <c:pt idx="308">
                  <c:v>133.52793634298348</c:v>
                </c:pt>
                <c:pt idx="309">
                  <c:v>133.7098847840021</c:v>
                </c:pt>
                <c:pt idx="310">
                  <c:v>133.87633923054568</c:v>
                </c:pt>
                <c:pt idx="311">
                  <c:v>134.02729668683611</c:v>
                </c:pt>
                <c:pt idx="312">
                  <c:v>134.16275720865985</c:v>
                </c:pt>
                <c:pt idx="313">
                  <c:v>134.28272388171155</c:v>
                </c:pt>
                <c:pt idx="314">
                  <c:v>134.38720279974564</c:v>
                </c:pt>
                <c:pt idx="315">
                  <c:v>134.47620304254252</c:v>
                </c:pt>
                <c:pt idx="316">
                  <c:v>134.5497366537038</c:v>
                </c:pt>
                <c:pt idx="317">
                  <c:v>134.60781861828409</c:v>
                </c:pt>
                <c:pt idx="318">
                  <c:v>134.65046684027004</c:v>
                </c:pt>
                <c:pt idx="319">
                  <c:v>134.67770211991822</c:v>
                </c:pt>
                <c:pt idx="320">
                  <c:v>134.68954813095948</c:v>
                </c:pt>
                <c:pt idx="321">
                  <c:v>134.68832820791468</c:v>
                </c:pt>
                <c:pt idx="322">
                  <c:v>134.67636374843082</c:v>
                </c:pt>
                <c:pt idx="323">
                  <c:v>134.65367636906007</c:v>
                </c:pt>
                <c:pt idx="324">
                  <c:v>134.62028904157481</c:v>
                </c:pt>
                <c:pt idx="325">
                  <c:v>134.57622608162421</c:v>
                </c:pt>
                <c:pt idx="326">
                  <c:v>134.52151313738412</c:v>
                </c:pt>
                <c:pt idx="327">
                  <c:v>134.45617717820147</c:v>
                </c:pt>
                <c:pt idx="328">
                  <c:v>134.38024648323696</c:v>
                </c:pt>
                <c:pt idx="329">
                  <c:v>134.29375063010809</c:v>
                </c:pt>
                <c:pt idx="330">
                  <c:v>134.19672048353661</c:v>
                </c:pt>
                <c:pt idx="331">
                  <c:v>134.08918818400261</c:v>
                </c:pt>
                <c:pt idx="332">
                  <c:v>133.97118713640796</c:v>
                </c:pt>
                <c:pt idx="333">
                  <c:v>133.84275199875256</c:v>
                </c:pt>
                <c:pt idx="334">
                  <c:v>133.70391867082535</c:v>
                </c:pt>
                <c:pt idx="335">
                  <c:v>133.55472428291313</c:v>
                </c:pt>
                <c:pt idx="336">
                  <c:v>133.39520718453039</c:v>
                </c:pt>
                <c:pt idx="337">
                  <c:v>133.22540693317183</c:v>
                </c:pt>
                <c:pt idx="338">
                  <c:v>133.04536428309052</c:v>
                </c:pt>
                <c:pt idx="339">
                  <c:v>132.85512117410454</c:v>
                </c:pt>
                <c:pt idx="340">
                  <c:v>132.65472072043423</c:v>
                </c:pt>
                <c:pt idx="341">
                  <c:v>132.44420719957284</c:v>
                </c:pt>
                <c:pt idx="342">
                  <c:v>132.22362604119203</c:v>
                </c:pt>
                <c:pt idx="343">
                  <c:v>131.99302381608607</c:v>
                </c:pt>
                <c:pt idx="344">
                  <c:v>131.75244822515606</c:v>
                </c:pt>
                <c:pt idx="345">
                  <c:v>131.50194808843614</c:v>
                </c:pt>
                <c:pt idx="346">
                  <c:v>131.24157333416514</c:v>
                </c:pt>
                <c:pt idx="347">
                  <c:v>130.97137498790465</c:v>
                </c:pt>
                <c:pt idx="348">
                  <c:v>130.69164853326717</c:v>
                </c:pt>
                <c:pt idx="349">
                  <c:v>130.40268891527563</c:v>
                </c:pt>
                <c:pt idx="350">
                  <c:v>130.10454764101391</c:v>
                </c:pt>
                <c:pt idx="351">
                  <c:v>129.79727716355444</c:v>
                </c:pt>
                <c:pt idx="352">
                  <c:v>129.48093087240721</c:v>
                </c:pt>
                <c:pt idx="353">
                  <c:v>129.15556308402284</c:v>
                </c:pt>
                <c:pt idx="354">
                  <c:v>128.82122903235361</c:v>
                </c:pt>
                <c:pt idx="355">
                  <c:v>128.4779848594732</c:v>
                </c:pt>
                <c:pt idx="356">
                  <c:v>128.12588760625746</c:v>
                </c:pt>
                <c:pt idx="357">
                  <c:v>127.76499520312582</c:v>
                </c:pt>
                <c:pt idx="358">
                  <c:v>127.39536646084731</c:v>
                </c:pt>
                <c:pt idx="359">
                  <c:v>127.01706106141037</c:v>
                </c:pt>
                <c:pt idx="360">
                  <c:v>126.63511635367858</c:v>
                </c:pt>
                <c:pt idx="361">
                  <c:v>126.25452848202143</c:v>
                </c:pt>
                <c:pt idx="362">
                  <c:v>125.87529111746851</c:v>
                </c:pt>
                <c:pt idx="363">
                  <c:v>125.49739796841446</c:v>
                </c:pt>
                <c:pt idx="364">
                  <c:v>125.12084278035363</c:v>
                </c:pt>
                <c:pt idx="365">
                  <c:v>124.74561933561725</c:v>
                </c:pt>
                <c:pt idx="366">
                  <c:v>124.37172145311271</c:v>
                </c:pt>
                <c:pt idx="367">
                  <c:v>123.99914298806473</c:v>
                </c:pt>
                <c:pt idx="368">
                  <c:v>123.62787783175911</c:v>
                </c:pt>
                <c:pt idx="369">
                  <c:v>123.257919911288</c:v>
                </c:pt>
                <c:pt idx="370">
                  <c:v>122.88926318929798</c:v>
                </c:pt>
                <c:pt idx="371">
                  <c:v>122.52190166373968</c:v>
                </c:pt>
                <c:pt idx="372">
                  <c:v>122.15582936761969</c:v>
                </c:pt>
                <c:pt idx="373">
                  <c:v>121.79104036875435</c:v>
                </c:pt>
                <c:pt idx="374">
                  <c:v>121.42752876952598</c:v>
                </c:pt>
                <c:pt idx="375">
                  <c:v>121.06528870664032</c:v>
                </c:pt>
                <c:pt idx="376">
                  <c:v>120.70431435088682</c:v>
                </c:pt>
                <c:pt idx="377">
                  <c:v>120.34459990690041</c:v>
                </c:pt>
                <c:pt idx="378">
                  <c:v>119.98613961292516</c:v>
                </c:pt>
                <c:pt idx="379">
                  <c:v>119.62892774058027</c:v>
                </c:pt>
                <c:pt idx="380">
                  <c:v>119.27295859462748</c:v>
                </c:pt>
                <c:pt idx="381">
                  <c:v>118.91822651274084</c:v>
                </c:pt>
                <c:pt idx="382">
                  <c:v>118.56472586527795</c:v>
                </c:pt>
                <c:pt idx="383">
                  <c:v>118.21245105505326</c:v>
                </c:pt>
                <c:pt idx="384">
                  <c:v>117.86139651711329</c:v>
                </c:pt>
                <c:pt idx="385">
                  <c:v>117.51155671851343</c:v>
                </c:pt>
                <c:pt idx="386">
                  <c:v>117.16292615809679</c:v>
                </c:pt>
                <c:pt idx="387">
                  <c:v>116.81549936627449</c:v>
                </c:pt>
                <c:pt idx="388">
                  <c:v>116.46927090480847</c:v>
                </c:pt>
                <c:pt idx="389">
                  <c:v>116.12423536659499</c:v>
                </c:pt>
                <c:pt idx="390">
                  <c:v>115.78038737545069</c:v>
                </c:pt>
                <c:pt idx="391">
                  <c:v>115.43772158590005</c:v>
                </c:pt>
                <c:pt idx="392">
                  <c:v>115.09623268296477</c:v>
                </c:pt>
                <c:pt idx="393">
                  <c:v>114.75591538195437</c:v>
                </c:pt>
                <c:pt idx="394">
                  <c:v>114.41676442825917</c:v>
                </c:pt>
                <c:pt idx="395">
                  <c:v>114.07877459714425</c:v>
                </c:pt>
                <c:pt idx="396">
                  <c:v>113.74194069354543</c:v>
                </c:pt>
                <c:pt idx="397">
                  <c:v>113.40625755186691</c:v>
                </c:pt>
                <c:pt idx="398">
                  <c:v>113.07172003578017</c:v>
                </c:pt>
                <c:pt idx="399">
                  <c:v>112.7383230380251</c:v>
                </c:pt>
                <c:pt idx="400">
                  <c:v>112.40606148021203</c:v>
                </c:pt>
                <c:pt idx="401">
                  <c:v>109.12046775341288</c:v>
                </c:pt>
                <c:pt idx="402">
                  <c:v>105.94500047471986</c:v>
                </c:pt>
                <c:pt idx="403">
                  <c:v>102.87488342284549</c:v>
                </c:pt>
                <c:pt idx="404">
                  <c:v>99.905601020371378</c:v>
                </c:pt>
                <c:pt idx="405">
                  <c:v>97.032881394017664</c:v>
                </c:pt>
                <c:pt idx="406">
                  <c:v>94.252680711553225</c:v>
                </c:pt>
                <c:pt idx="407">
                  <c:v>91.561168686240705</c:v>
                </c:pt>
                <c:pt idx="408">
                  <c:v>88.954715150112662</c:v>
                </c:pt>
                <c:pt idx="409">
                  <c:v>86.429877606692301</c:v>
                </c:pt>
                <c:pt idx="410">
                  <c:v>83.983389682112147</c:v>
                </c:pt>
                <c:pt idx="411">
                  <c:v>81.612150401073222</c:v>
                </c:pt>
                <c:pt idx="412">
                  <c:v>79.313214220809698</c:v>
                </c:pt>
                <c:pt idx="413">
                  <c:v>77.083781762271286</c:v>
                </c:pt>
                <c:pt idx="414">
                  <c:v>74.921191183178451</c:v>
                </c:pt>
                <c:pt idx="415">
                  <c:v>72.82291014251264</c:v>
                </c:pt>
                <c:pt idx="416">
                  <c:v>70.786528310430285</c:v>
                </c:pt>
                <c:pt idx="417">
                  <c:v>68.809750381586809</c:v>
                </c:pt>
                <c:pt idx="418">
                  <c:v>66.890389553473625</c:v>
                </c:pt>
                <c:pt idx="419">
                  <c:v>65.026361434641899</c:v>
                </c:pt>
                <c:pt idx="420">
                  <c:v>63.215678350652389</c:v>
                </c:pt>
                <c:pt idx="421">
                  <c:v>61.456444018279022</c:v>
                </c:pt>
                <c:pt idx="422">
                  <c:v>59.746848560934836</c:v>
                </c:pt>
                <c:pt idx="423">
                  <c:v>58.085163840506517</c:v>
                </c:pt>
                <c:pt idx="424">
                  <c:v>56.469739082800785</c:v>
                </c:pt>
                <c:pt idx="425">
                  <c:v>54.89899677564209</c:v>
                </c:pt>
                <c:pt idx="426">
                  <c:v>53.371428820334422</c:v>
                </c:pt>
                <c:pt idx="427">
                  <c:v>51.88559291872523</c:v>
                </c:pt>
                <c:pt idx="428">
                  <c:v>50.440109179501732</c:v>
                </c:pt>
                <c:pt idx="429">
                  <c:v>49.033656928622896</c:v>
                </c:pt>
                <c:pt idx="430">
                  <c:v>47.664971709952134</c:v>
                </c:pt>
                <c:pt idx="431">
                  <c:v>46.332842463220359</c:v>
                </c:pt>
                <c:pt idx="432">
                  <c:v>45.036108867423856</c:v>
                </c:pt>
                <c:pt idx="433">
                  <c:v>43.773658838652992</c:v>
                </c:pt>
                <c:pt idx="434">
                  <c:v>42.544426172168784</c:v>
                </c:pt>
                <c:pt idx="435">
                  <c:v>41.347388319293749</c:v>
                </c:pt>
                <c:pt idx="436">
                  <c:v>40.18156429037581</c:v>
                </c:pt>
                <c:pt idx="437">
                  <c:v>39.046012675717265</c:v>
                </c:pt>
                <c:pt idx="438">
                  <c:v>37.939829776945629</c:v>
                </c:pt>
                <c:pt idx="439">
                  <c:v>36.862147841839565</c:v>
                </c:pt>
                <c:pt idx="440">
                  <c:v>35.812133396118675</c:v>
                </c:pt>
                <c:pt idx="441">
                  <c:v>34.788985666162247</c:v>
                </c:pt>
                <c:pt idx="442">
                  <c:v>33.791935087042198</c:v>
                </c:pt>
                <c:pt idx="443">
                  <c:v>32.820241890644638</c:v>
                </c:pt>
                <c:pt idx="444">
                  <c:v>31.873194769012585</c:v>
                </c:pt>
                <c:pt idx="445">
                  <c:v>30.95010960837444</c:v>
                </c:pt>
                <c:pt idx="446">
                  <c:v>30.050328289628926</c:v>
                </c:pt>
                <c:pt idx="447">
                  <c:v>29.1732175513411</c:v>
                </c:pt>
                <c:pt idx="448">
                  <c:v>28.318167911566746</c:v>
                </c:pt>
                <c:pt idx="449">
                  <c:v>27.484592645065682</c:v>
                </c:pt>
                <c:pt idx="450">
                  <c:v>26.67192681269</c:v>
                </c:pt>
                <c:pt idx="451">
                  <c:v>25.879626339942654</c:v>
                </c:pt>
                <c:pt idx="452">
                  <c:v>25.107167141895921</c:v>
                </c:pt>
                <c:pt idx="453">
                  <c:v>24.354044291838985</c:v>
                </c:pt>
                <c:pt idx="454">
                  <c:v>23.619771231192519</c:v>
                </c:pt>
                <c:pt idx="455">
                  <c:v>22.903879018382359</c:v>
                </c:pt>
                <c:pt idx="456">
                  <c:v>22.205915614510328</c:v>
                </c:pt>
                <c:pt idx="457">
                  <c:v>21.52544520379427</c:v>
                </c:pt>
                <c:pt idx="458">
                  <c:v>20.862047546874894</c:v>
                </c:pt>
                <c:pt idx="459">
                  <c:v>20.215317365203887</c:v>
                </c:pt>
                <c:pt idx="460">
                  <c:v>19.584863754836551</c:v>
                </c:pt>
                <c:pt idx="461">
                  <c:v>18.970309628053325</c:v>
                </c:pt>
                <c:pt idx="462">
                  <c:v>18.371291181329745</c:v>
                </c:pt>
                <c:pt idx="463">
                  <c:v>17.787457388261856</c:v>
                </c:pt>
                <c:pt idx="464">
                  <c:v>17.218469516137098</c:v>
                </c:pt>
                <c:pt idx="465">
                  <c:v>16.664000664917086</c:v>
                </c:pt>
                <c:pt idx="466">
                  <c:v>16.123735327470765</c:v>
                </c:pt>
                <c:pt idx="467">
                  <c:v>15.597368969963366</c:v>
                </c:pt>
                <c:pt idx="468">
                  <c:v>15.084607631369074</c:v>
                </c:pt>
                <c:pt idx="469">
                  <c:v>14.585167541134213</c:v>
                </c:pt>
                <c:pt idx="470">
                  <c:v>14.098774754072069</c:v>
                </c:pt>
                <c:pt idx="471">
                  <c:v>13.625164801621809</c:v>
                </c:pt>
                <c:pt idx="472">
                  <c:v>13.164082358651683</c:v>
                </c:pt>
                <c:pt idx="473">
                  <c:v>12.715280925031315</c:v>
                </c:pt>
                <c:pt idx="474">
                  <c:v>12.278522521239564</c:v>
                </c:pt>
                <c:pt idx="475">
                  <c:v>11.853577397313384</c:v>
                </c:pt>
                <c:pt idx="476">
                  <c:v>11.440223754479462</c:v>
                </c:pt>
                <c:pt idx="477">
                  <c:v>11.038247478844283</c:v>
                </c:pt>
                <c:pt idx="478">
                  <c:v>10.647441886549721</c:v>
                </c:pt>
                <c:pt idx="479">
                  <c:v>10.267607479830822</c:v>
                </c:pt>
                <c:pt idx="480">
                  <c:v>9.8985517134394225</c:v>
                </c:pt>
                <c:pt idx="481">
                  <c:v>9.5400887709228073</c:v>
                </c:pt>
                <c:pt idx="482">
                  <c:v>9.1920393502696633</c:v>
                </c:pt>
                <c:pt idx="483">
                  <c:v>8.8542304584573728</c:v>
                </c:pt>
                <c:pt idx="484">
                  <c:v>8.5264952144541315</c:v>
                </c:pt>
                <c:pt idx="485">
                  <c:v>8.2086726602476912</c:v>
                </c:pt>
                <c:pt idx="486">
                  <c:v>7.9006075794885176</c:v>
                </c:pt>
                <c:pt idx="487">
                  <c:v>7.6021503233501164</c:v>
                </c:pt>
                <c:pt idx="488">
                  <c:v>7.3131566432221735</c:v>
                </c:pt>
                <c:pt idx="489">
                  <c:v>7.0334875298635922</c:v>
                </c:pt>
                <c:pt idx="490">
                  <c:v>6.7630090586524529</c:v>
                </c:pt>
                <c:pt idx="491">
                  <c:v>6.5015922405781081</c:v>
                </c:pt>
                <c:pt idx="492">
                  <c:v>6.2491128786272983</c:v>
                </c:pt>
                <c:pt idx="493">
                  <c:v>6.0054514292213046</c:v>
                </c:pt>
                <c:pt idx="494">
                  <c:v>5.7704928683645456</c:v>
                </c:pt>
                <c:pt idx="495">
                  <c:v>5.5441265621670084</c:v>
                </c:pt>
                <c:pt idx="496">
                  <c:v>5.3262461414031312</c:v>
                </c:pt>
                <c:pt idx="497">
                  <c:v>5.1167493797685664</c:v>
                </c:pt>
                <c:pt idx="498">
                  <c:v>4.9155380754934246</c:v>
                </c:pt>
                <c:pt idx="499">
                  <c:v>4.7225179359664331</c:v>
                </c:pt>
                <c:pt idx="500">
                  <c:v>4.5375984650188332</c:v>
                </c:pt>
                <c:pt idx="501">
                  <c:v>4.3606928525101196</c:v>
                </c:pt>
                <c:pt idx="502">
                  <c:v>4.1917178658501033</c:v>
                </c:pt>
                <c:pt idx="503">
                  <c:v>4.0305937430832577</c:v>
                </c:pt>
                <c:pt idx="504">
                  <c:v>3.8772440871529086</c:v>
                </c:pt>
                <c:pt idx="505">
                  <c:v>3.7315957609542552</c:v>
                </c:pt>
                <c:pt idx="506">
                  <c:v>3.59357878277789</c:v>
                </c:pt>
                <c:pt idx="507">
                  <c:v>3.4631262217395831</c:v>
                </c:pt>
                <c:pt idx="508">
                  <c:v>3.3401740927889105</c:v>
                </c:pt>
                <c:pt idx="509">
                  <c:v>3.2246612508898198</c:v>
                </c:pt>
                <c:pt idx="510">
                  <c:v>3.1165292839716723</c:v>
                </c:pt>
                <c:pt idx="511">
                  <c:v>3.0157224042610427</c:v>
                </c:pt>
                <c:pt idx="512">
                  <c:v>2.9221873376240723</c:v>
                </c:pt>
                <c:pt idx="513">
                  <c:v>2.8358732105779598</c:v>
                </c:pt>
                <c:pt idx="514">
                  <c:v>2.7567314346694074</c:v>
                </c:pt>
                <c:pt idx="515">
                  <c:v>2.6847155879689861</c:v>
                </c:pt>
                <c:pt idx="516">
                  <c:v>2.6197812934938636</c:v>
                </c:pt>
                <c:pt idx="517">
                  <c:v>2.5618860944477975</c:v>
                </c:pt>
                <c:pt idx="518">
                  <c:v>2.5109893262559089</c:v>
                </c:pt>
                <c:pt idx="519">
                  <c:v>2.4670519854715924</c:v>
                </c:pt>
                <c:pt idx="520">
                  <c:v>2.4300365957414853</c:v>
                </c:pt>
                <c:pt idx="521">
                  <c:v>2.3999070711286752</c:v>
                </c:pt>
                <c:pt idx="522">
                  <c:v>2.3766285772100364</c:v>
                </c:pt>
                <c:pt idx="523">
                  <c:v>2.3601673904759846</c:v>
                </c:pt>
                <c:pt idx="524">
                  <c:v>2.3504907566646089</c:v>
                </c:pt>
                <c:pt idx="525">
                  <c:v>2.3475667487517957</c:v>
                </c:pt>
                <c:pt idx="526">
                  <c:v>2.3513641253896402</c:v>
                </c:pt>
                <c:pt idx="527">
                  <c:v>2.3618521906328964</c:v>
                </c:pt>
                <c:pt idx="528">
                  <c:v>2.3790006558147807</c:v>
                </c:pt>
                <c:pt idx="529">
                  <c:v>2.4027795044277318</c:v>
                </c:pt>
                <c:pt idx="530">
                  <c:v>2.4331588608321209</c:v>
                </c:pt>
                <c:pt idx="531">
                  <c:v>2.4701088635586226</c:v>
                </c:pt>
                <c:pt idx="532">
                  <c:v>2.5135995438913832</c:v>
                </c:pt>
                <c:pt idx="533">
                  <c:v>2.5636007103239615</c:v>
                </c:pt>
                <c:pt idx="534">
                  <c:v>2.6200818393735799</c:v>
                </c:pt>
                <c:pt idx="535">
                  <c:v>2.6830119731268587</c:v>
                </c:pt>
                <c:pt idx="536">
                  <c:v>2.7523596237772145</c:v>
                </c:pt>
                <c:pt idx="537">
                  <c:v>2.8280926853050214</c:v>
                </c:pt>
                <c:pt idx="538">
                  <c:v>2.9101783523503055</c:v>
                </c:pt>
                <c:pt idx="539">
                  <c:v>2.9985830462367637</c:v>
                </c:pt>
                <c:pt idx="540">
                  <c:v>3.0932723480272357</c:v>
                </c:pt>
                <c:pt idx="541">
                  <c:v>3.1942109384252175</c:v>
                </c:pt>
                <c:pt idx="542">
                  <c:v>3.3013625442844772</c:v>
                </c:pt>
                <c:pt idx="543">
                  <c:v>3.4146898914491208</c:v>
                </c:pt>
                <c:pt idx="544">
                  <c:v>3.5341546636181098</c:v>
                </c:pt>
                <c:pt idx="545">
                  <c:v>3.659717466910327</c:v>
                </c:pt>
                <c:pt idx="546">
                  <c:v>3.791337799797073</c:v>
                </c:pt>
                <c:pt idx="547">
                  <c:v>3.9289740280671088</c:v>
                </c:pt>
                <c:pt idx="548">
                  <c:v>4.0725833644933394</c:v>
                </c:pt>
                <c:pt idx="549">
                  <c:v>4.2221218528789679</c:v>
                </c:pt>
                <c:pt idx="550">
                  <c:v>4.3775443561728569</c:v>
                </c:pt>
                <c:pt idx="551">
                  <c:v>4.5388045483583079</c:v>
                </c:pt>
                <c:pt idx="552">
                  <c:v>4.7058549098353666</c:v>
                </c:pt>
                <c:pt idx="553">
                  <c:v>4.8786467260334261</c:v>
                </c:pt>
                <c:pt idx="554">
                  <c:v>5.0571300890080533</c:v>
                </c:pt>
                <c:pt idx="555">
                  <c:v>5.2412539017927076</c:v>
                </c:pt>
                <c:pt idx="556">
                  <c:v>5.4309658852924887</c:v>
                </c:pt>
                <c:pt idx="557">
                  <c:v>5.6262125875227955</c:v>
                </c:pt>
                <c:pt idx="558">
                  <c:v>5.8269393950105801</c:v>
                </c:pt>
                <c:pt idx="559">
                  <c:v>6.033090546189972</c:v>
                </c:pt>
                <c:pt idx="560">
                  <c:v>6.2446091466369023</c:v>
                </c:pt>
                <c:pt idx="561">
                  <c:v>6.4614371859994204</c:v>
                </c:pt>
                <c:pt idx="562">
                  <c:v>6.6835155564914537</c:v>
                </c:pt>
                <c:pt idx="563">
                  <c:v>6.9107840728278038</c:v>
                </c:pt>
                <c:pt idx="564">
                  <c:v>7.1431814934874005</c:v>
                </c:pt>
                <c:pt idx="565">
                  <c:v>7.3806455432002158</c:v>
                </c:pt>
                <c:pt idx="566">
                  <c:v>7.6231129365608252</c:v>
                </c:pt>
                <c:pt idx="567">
                  <c:v>7.8705194026784566</c:v>
                </c:pt>
                <c:pt idx="568">
                  <c:v>8.1227997107796277</c:v>
                </c:pt>
                <c:pt idx="569">
                  <c:v>8.3798876966850795</c:v>
                </c:pt>
                <c:pt idx="570">
                  <c:v>8.6417162900877429</c:v>
                </c:pt>
                <c:pt idx="571">
                  <c:v>8.9082175425631434</c:v>
                </c:pt>
                <c:pt idx="572">
                  <c:v>9.1793226562476988</c:v>
                </c:pt>
                <c:pt idx="573">
                  <c:v>9.4549620131242467</c:v>
                </c:pt>
                <c:pt idx="574">
                  <c:v>9.7350652048573227</c:v>
                </c:pt>
                <c:pt idx="575">
                  <c:v>10.019561063124032</c:v>
                </c:pt>
                <c:pt idx="576">
                  <c:v>10.308377690388955</c:v>
                </c:pt>
                <c:pt idx="577">
                  <c:v>10.601442491074227</c:v>
                </c:pt>
                <c:pt idx="578">
                  <c:v>10.898682203078042</c:v>
                </c:pt>
                <c:pt idx="579">
                  <c:v>11.200022929597285</c:v>
                </c:pt>
                <c:pt idx="580">
                  <c:v>11.505390171211573</c:v>
                </c:pt>
                <c:pt idx="581">
                  <c:v>11.814708858188089</c:v>
                </c:pt>
                <c:pt idx="582">
                  <c:v>12.127903382968103</c:v>
                </c:pt>
                <c:pt idx="583">
                  <c:v>12.444897632797636</c:v>
                </c:pt>
                <c:pt idx="584">
                  <c:v>12.765615022466188</c:v>
                </c:pt>
                <c:pt idx="585">
                  <c:v>13.089978527118779</c:v>
                </c:pt>
                <c:pt idx="586">
                  <c:v>13.417910715107846</c:v>
                </c:pt>
                <c:pt idx="587">
                  <c:v>13.749333780852753</c:v>
                </c:pt>
                <c:pt idx="588">
                  <c:v>14.084169577675612</c:v>
                </c:pt>
                <c:pt idx="589">
                  <c:v>14.422339650583581</c:v>
                </c:pt>
                <c:pt idx="590">
                  <c:v>14.76376526896839</c:v>
                </c:pt>
                <c:pt idx="591">
                  <c:v>15.108367459195216</c:v>
                </c:pt>
                <c:pt idx="592">
                  <c:v>15.4560670370537</c:v>
                </c:pt>
                <c:pt idx="593">
                  <c:v>15.80678464004502</c:v>
                </c:pt>
                <c:pt idx="594">
                  <c:v>16.160440759479744</c:v>
                </c:pt>
                <c:pt idx="595">
                  <c:v>16.516955772362014</c:v>
                </c:pt>
                <c:pt idx="596">
                  <c:v>16.876249973036682</c:v>
                </c:pt>
                <c:pt idx="597">
                  <c:v>17.238243604576397</c:v>
                </c:pt>
                <c:pt idx="598">
                  <c:v>17.60285688988715</c:v>
                </c:pt>
                <c:pt idx="599">
                  <c:v>17.970010062510877</c:v>
                </c:pt>
                <c:pt idx="600">
                  <c:v>18.33962339710494</c:v>
                </c:pt>
                <c:pt idx="601">
                  <c:v>18.711617239579159</c:v>
                </c:pt>
                <c:pt idx="602">
                  <c:v>19.085912036871314</c:v>
                </c:pt>
                <c:pt idx="603">
                  <c:v>19.46242836634346</c:v>
                </c:pt>
                <c:pt idx="604">
                  <c:v>19.841086964781717</c:v>
                </c:pt>
                <c:pt idx="605">
                  <c:v>20.221808756983094</c:v>
                </c:pt>
                <c:pt idx="606">
                  <c:v>20.604514883913641</c:v>
                </c:pt>
                <c:pt idx="607">
                  <c:v>20.989126730422846</c:v>
                </c:pt>
                <c:pt idx="608">
                  <c:v>21.375565952500267</c:v>
                </c:pt>
                <c:pt idx="609">
                  <c:v>21.763754504060575</c:v>
                </c:pt>
                <c:pt idx="610">
                  <c:v>22.15361466324438</c:v>
                </c:pt>
                <c:pt idx="611">
                  <c:v>22.545069058222619</c:v>
                </c:pt>
                <c:pt idx="612">
                  <c:v>22.938040692493271</c:v>
                </c:pt>
                <c:pt idx="613">
                  <c:v>23.332452969659421</c:v>
                </c:pt>
                <c:pt idx="614">
                  <c:v>23.728229717678957</c:v>
                </c:pt>
                <c:pt idx="615">
                  <c:v>24.125295212576276</c:v>
                </c:pt>
                <c:pt idx="616">
                  <c:v>24.523574201607541</c:v>
                </c:pt>
                <c:pt idx="617">
                  <c:v>24.92299192587144</c:v>
                </c:pt>
                <c:pt idx="618">
                  <c:v>25.323474142357988</c:v>
                </c:pt>
                <c:pt idx="619">
                  <c:v>25.724947145428931</c:v>
                </c:pt>
                <c:pt idx="620">
                  <c:v>26.12733778772337</c:v>
                </c:pt>
                <c:pt idx="621">
                  <c:v>26.530573500483605</c:v>
                </c:pt>
                <c:pt idx="622">
                  <c:v>26.934582313296012</c:v>
                </c:pt>
                <c:pt idx="623">
                  <c:v>27.339292873243036</c:v>
                </c:pt>
                <c:pt idx="624">
                  <c:v>27.744634463462599</c:v>
                </c:pt>
                <c:pt idx="625">
                  <c:v>28.150537021112093</c:v>
                </c:pt>
                <c:pt idx="626">
                  <c:v>28.556931154734372</c:v>
                </c:pt>
                <c:pt idx="627">
                  <c:v>28.963748161023972</c:v>
                </c:pt>
                <c:pt idx="628">
                  <c:v>29.370920040992505</c:v>
                </c:pt>
                <c:pt idx="629">
                  <c:v>29.778379515532237</c:v>
                </c:pt>
                <c:pt idx="630">
                  <c:v>30.186060040377683</c:v>
                </c:pt>
                <c:pt idx="631">
                  <c:v>30.593895820465843</c:v>
                </c:pt>
                <c:pt idx="632">
                  <c:v>31.001821823695689</c:v>
                </c:pt>
                <c:pt idx="633">
                  <c:v>31.409773794088213</c:v>
                </c:pt>
                <c:pt idx="634">
                  <c:v>31.817688264349098</c:v>
                </c:pt>
                <c:pt idx="635">
                  <c:v>32.225502567836287</c:v>
                </c:pt>
                <c:pt idx="636">
                  <c:v>32.633154849934762</c:v>
                </c:pt>
                <c:pt idx="637">
                  <c:v>33.040584078842734</c:v>
                </c:pt>
                <c:pt idx="638">
                  <c:v>33.447730055771721</c:v>
                </c:pt>
                <c:pt idx="639">
                  <c:v>33.854533424565417</c:v>
                </c:pt>
                <c:pt idx="640">
                  <c:v>34.260935680741547</c:v>
                </c:pt>
                <c:pt idx="641">
                  <c:v>34.666879179961491</c:v>
                </c:pt>
                <c:pt idx="642">
                  <c:v>35.07230714593296</c:v>
                </c:pt>
                <c:pt idx="643">
                  <c:v>35.477163677751399</c:v>
                </c:pt>
                <c:pt idx="644">
                  <c:v>35.881393756685945</c:v>
                </c:pt>
                <c:pt idx="645">
                  <c:v>36.284943252416234</c:v>
                </c:pt>
                <c:pt idx="646">
                  <c:v>36.687758928726666</c:v>
                </c:pt>
                <c:pt idx="647">
                  <c:v>37.089788448665004</c:v>
                </c:pt>
                <c:pt idx="648">
                  <c:v>37.490980379172456</c:v>
                </c:pt>
                <c:pt idx="649">
                  <c:v>37.891284195192775</c:v>
                </c:pt>
                <c:pt idx="650">
                  <c:v>38.290650283267851</c:v>
                </c:pt>
                <c:pt idx="651">
                  <c:v>38.689029944628189</c:v>
                </c:pt>
                <c:pt idx="652">
                  <c:v>39.086375397785901</c:v>
                </c:pt>
                <c:pt idx="653">
                  <c:v>39.482639780639062</c:v>
                </c:pt>
                <c:pt idx="654">
                  <c:v>39.877777152095874</c:v>
                </c:pt>
                <c:pt idx="655">
                  <c:v>40.2717424932273</c:v>
                </c:pt>
                <c:pt idx="656">
                  <c:v>40.664491707957453</c:v>
                </c:pt>
                <c:pt idx="657">
                  <c:v>41.055981623300511</c:v>
                </c:pt>
                <c:pt idx="658">
                  <c:v>41.446169989153759</c:v>
                </c:pt>
                <c:pt idx="659">
                  <c:v>41.835015477655951</c:v>
                </c:pt>
                <c:pt idx="660">
                  <c:v>42.222477682120662</c:v>
                </c:pt>
                <c:pt idx="661">
                  <c:v>42.608517115554349</c:v>
                </c:pt>
                <c:pt idx="662">
                  <c:v>42.993095208768452</c:v>
                </c:pt>
                <c:pt idx="663">
                  <c:v>43.376174308096218</c:v>
                </c:pt>
                <c:pt idx="664">
                  <c:v>43.757717672723146</c:v>
                </c:pt>
                <c:pt idx="665">
                  <c:v>44.137689471641892</c:v>
                </c:pt>
                <c:pt idx="666">
                  <c:v>44.516054780241198</c:v>
                </c:pt>
                <c:pt idx="667">
                  <c:v>44.892779576538913</c:v>
                </c:pt>
                <c:pt idx="668">
                  <c:v>45.267830737069595</c:v>
                </c:pt>
                <c:pt idx="669">
                  <c:v>45.641176032436405</c:v>
                </c:pt>
                <c:pt idx="670">
                  <c:v>46.01278412253756</c:v>
                </c:pt>
                <c:pt idx="671">
                  <c:v>46.382624551477626</c:v>
                </c:pt>
                <c:pt idx="672">
                  <c:v>46.750667742173611</c:v>
                </c:pt>
                <c:pt idx="673">
                  <c:v>47.116884990665916</c:v>
                </c:pt>
                <c:pt idx="674">
                  <c:v>47.481248460144521</c:v>
                </c:pt>
                <c:pt idx="675">
                  <c:v>47.84373117470011</c:v>
                </c:pt>
                <c:pt idx="676">
                  <c:v>48.204307012810297</c:v>
                </c:pt>
                <c:pt idx="677">
                  <c:v>48.562950700570887</c:v>
                </c:pt>
                <c:pt idx="678">
                  <c:v>48.919637804682019</c:v>
                </c:pt>
                <c:pt idx="679">
                  <c:v>49.274344725199121</c:v>
                </c:pt>
                <c:pt idx="680">
                  <c:v>49.62704868805821</c:v>
                </c:pt>
                <c:pt idx="681">
                  <c:v>49.977727737385308</c:v>
                </c:pt>
                <c:pt idx="682">
                  <c:v>50.326360727599713</c:v>
                </c:pt>
                <c:pt idx="683">
                  <c:v>50.672927315320202</c:v>
                </c:pt>
                <c:pt idx="684">
                  <c:v>51.017407951083861</c:v>
                </c:pt>
                <c:pt idx="685">
                  <c:v>51.359783870886844</c:v>
                </c:pt>
                <c:pt idx="686">
                  <c:v>51.700037087555806</c:v>
                </c:pt>
                <c:pt idx="687">
                  <c:v>52.038150381959461</c:v>
                </c:pt>
                <c:pt idx="688">
                  <c:v>52.374107294069177</c:v>
                </c:pt>
                <c:pt idx="689">
                  <c:v>52.707892113876952</c:v>
                </c:pt>
                <c:pt idx="690">
                  <c:v>53.039489872179985</c:v>
                </c:pt>
                <c:pt idx="691">
                  <c:v>53.368886331239857</c:v>
                </c:pt>
                <c:pt idx="692">
                  <c:v>53.696067975325271</c:v>
                </c:pt>
                <c:pt idx="693">
                  <c:v>54.021022001145887</c:v>
                </c:pt>
                <c:pt idx="694">
                  <c:v>54.343736308186116</c:v>
                </c:pt>
                <c:pt idx="695">
                  <c:v>54.664199488946075</c:v>
                </c:pt>
                <c:pt idx="696">
                  <c:v>54.98240081909811</c:v>
                </c:pt>
                <c:pt idx="697">
                  <c:v>55.298330247566199</c:v>
                </c:pt>
                <c:pt idx="698">
                  <c:v>55.611978386535718</c:v>
                </c:pt>
                <c:pt idx="699">
                  <c:v>55.923336501401181</c:v>
                </c:pt>
                <c:pt idx="700">
                  <c:v>56.232396500658716</c:v>
                </c:pt>
                <c:pt idx="701">
                  <c:v>56.539150925750668</c:v>
                </c:pt>
                <c:pt idx="702">
                  <c:v>56.843592940868902</c:v>
                </c:pt>
                <c:pt idx="703">
                  <c:v>57.145716322723722</c:v>
                </c:pt>
                <c:pt idx="704">
                  <c:v>57.445515450284816</c:v>
                </c:pt>
                <c:pt idx="705">
                  <c:v>57.742985294500414</c:v>
                </c:pt>
                <c:pt idx="706">
                  <c:v>58.038121408001395</c:v>
                </c:pt>
                <c:pt idx="707">
                  <c:v>58.330919914795572</c:v>
                </c:pt>
                <c:pt idx="708">
                  <c:v>58.621377499959024</c:v>
                </c:pt>
                <c:pt idx="709">
                  <c:v>58.909491399329049</c:v>
                </c:pt>
                <c:pt idx="710">
                  <c:v>59.195259389205312</c:v>
                </c:pt>
                <c:pt idx="711">
                  <c:v>59.478679776063984</c:v>
                </c:pt>
                <c:pt idx="712">
                  <c:v>59.478960258954189</c:v>
                </c:pt>
                <c:pt idx="713">
                  <c:v>59.479240739520364</c:v>
                </c:pt>
                <c:pt idx="714">
                  <c:v>59.479521217762503</c:v>
                </c:pt>
                <c:pt idx="715">
                  <c:v>59.479801693680642</c:v>
                </c:pt>
                <c:pt idx="716">
                  <c:v>59.480082167274773</c:v>
                </c:pt>
                <c:pt idx="717">
                  <c:v>59.480362638544861</c:v>
                </c:pt>
                <c:pt idx="718">
                  <c:v>59.480643107490991</c:v>
                </c:pt>
                <c:pt idx="719">
                  <c:v>59.480923574113056</c:v>
                </c:pt>
                <c:pt idx="720">
                  <c:v>59.481204038411107</c:v>
                </c:pt>
                <c:pt idx="721">
                  <c:v>59.481484500385108</c:v>
                </c:pt>
                <c:pt idx="722">
                  <c:v>59.481764960035115</c:v>
                </c:pt>
                <c:pt idx="723">
                  <c:v>59.482045417361093</c:v>
                </c:pt>
                <c:pt idx="724">
                  <c:v>59.482325872363049</c:v>
                </c:pt>
                <c:pt idx="725">
                  <c:v>59.482606325040983</c:v>
                </c:pt>
                <c:pt idx="726">
                  <c:v>59.482886775394874</c:v>
                </c:pt>
                <c:pt idx="727">
                  <c:v>59.483167223424772</c:v>
                </c:pt>
                <c:pt idx="728">
                  <c:v>59.483447669130634</c:v>
                </c:pt>
                <c:pt idx="729">
                  <c:v>59.483728112512466</c:v>
                </c:pt>
                <c:pt idx="730">
                  <c:v>59.48400855357027</c:v>
                </c:pt>
                <c:pt idx="731">
                  <c:v>59.484288992304059</c:v>
                </c:pt>
                <c:pt idx="732">
                  <c:v>59.484569428713783</c:v>
                </c:pt>
                <c:pt idx="733">
                  <c:v>59.484849862799521</c:v>
                </c:pt>
                <c:pt idx="734">
                  <c:v>59.485130294561195</c:v>
                </c:pt>
                <c:pt idx="735">
                  <c:v>59.485410723998868</c:v>
                </c:pt>
                <c:pt idx="736">
                  <c:v>59.485691151112455</c:v>
                </c:pt>
                <c:pt idx="737">
                  <c:v>59.48597157590207</c:v>
                </c:pt>
                <c:pt idx="738">
                  <c:v>59.486251998367628</c:v>
                </c:pt>
                <c:pt idx="739">
                  <c:v>59.486532418509171</c:v>
                </c:pt>
                <c:pt idx="740">
                  <c:v>59.486812836326642</c:v>
                </c:pt>
                <c:pt idx="741">
                  <c:v>59.487093251820085</c:v>
                </c:pt>
                <c:pt idx="742">
                  <c:v>59.487373664989484</c:v>
                </c:pt>
                <c:pt idx="743">
                  <c:v>59.487654075834868</c:v>
                </c:pt>
                <c:pt idx="744">
                  <c:v>59.487934484356217</c:v>
                </c:pt>
                <c:pt idx="745">
                  <c:v>59.488214890553493</c:v>
                </c:pt>
                <c:pt idx="746">
                  <c:v>59.48849529442677</c:v>
                </c:pt>
                <c:pt idx="747">
                  <c:v>59.488775695975988</c:v>
                </c:pt>
                <c:pt idx="748">
                  <c:v>59.489056095201157</c:v>
                </c:pt>
                <c:pt idx="749">
                  <c:v>59.489336492102296</c:v>
                </c:pt>
                <c:pt idx="750">
                  <c:v>59.489616886679407</c:v>
                </c:pt>
                <c:pt idx="751">
                  <c:v>59.489897278932432</c:v>
                </c:pt>
                <c:pt idx="752">
                  <c:v>59.490177668861456</c:v>
                </c:pt>
                <c:pt idx="753">
                  <c:v>59.49045805646643</c:v>
                </c:pt>
                <c:pt idx="754">
                  <c:v>59.490738441747339</c:v>
                </c:pt>
                <c:pt idx="755">
                  <c:v>59.491018824704199</c:v>
                </c:pt>
                <c:pt idx="756">
                  <c:v>59.491299205337008</c:v>
                </c:pt>
                <c:pt idx="757">
                  <c:v>59.491579583645787</c:v>
                </c:pt>
                <c:pt idx="758">
                  <c:v>59.49185995963051</c:v>
                </c:pt>
                <c:pt idx="759">
                  <c:v>59.492140333291182</c:v>
                </c:pt>
                <c:pt idx="760">
                  <c:v>59.492420704627818</c:v>
                </c:pt>
                <c:pt idx="761">
                  <c:v>59.492701073640362</c:v>
                </c:pt>
                <c:pt idx="762">
                  <c:v>59.492981440328883</c:v>
                </c:pt>
                <c:pt idx="763">
                  <c:v>59.493261804693354</c:v>
                </c:pt>
                <c:pt idx="764">
                  <c:v>59.493542166733789</c:v>
                </c:pt>
                <c:pt idx="765">
                  <c:v>59.493822526450124</c:v>
                </c:pt>
                <c:pt idx="766">
                  <c:v>59.494102883842437</c:v>
                </c:pt>
                <c:pt idx="767">
                  <c:v>59.494383238910686</c:v>
                </c:pt>
                <c:pt idx="768">
                  <c:v>59.494663591654863</c:v>
                </c:pt>
                <c:pt idx="769">
                  <c:v>59.49494394207499</c:v>
                </c:pt>
                <c:pt idx="770">
                  <c:v>59.495224290171073</c:v>
                </c:pt>
                <c:pt idx="771">
                  <c:v>59.495504635943107</c:v>
                </c:pt>
                <c:pt idx="772">
                  <c:v>59.495784979391061</c:v>
                </c:pt>
                <c:pt idx="773">
                  <c:v>59.496065320514965</c:v>
                </c:pt>
                <c:pt idx="774">
                  <c:v>59.496345659314805</c:v>
                </c:pt>
                <c:pt idx="775">
                  <c:v>59.496625995790573</c:v>
                </c:pt>
                <c:pt idx="776">
                  <c:v>59.496906329942313</c:v>
                </c:pt>
                <c:pt idx="777">
                  <c:v>59.497186661769973</c:v>
                </c:pt>
                <c:pt idx="778">
                  <c:v>59.497466991273534</c:v>
                </c:pt>
                <c:pt idx="779">
                  <c:v>59.497747318453072</c:v>
                </c:pt>
                <c:pt idx="780">
                  <c:v>59.498027643308539</c:v>
                </c:pt>
                <c:pt idx="781">
                  <c:v>59.498307965839935</c:v>
                </c:pt>
                <c:pt idx="782">
                  <c:v>59.49858828604728</c:v>
                </c:pt>
                <c:pt idx="783">
                  <c:v>59.498868603930532</c:v>
                </c:pt>
                <c:pt idx="784">
                  <c:v>59.499148919489713</c:v>
                </c:pt>
                <c:pt idx="785">
                  <c:v>59.499429232724857</c:v>
                </c:pt>
                <c:pt idx="786">
                  <c:v>59.499709543635895</c:v>
                </c:pt>
                <c:pt idx="787">
                  <c:v>59.499989852222875</c:v>
                </c:pt>
                <c:pt idx="788">
                  <c:v>59.500270158485804</c:v>
                </c:pt>
                <c:pt idx="789">
                  <c:v>59.500550462424656</c:v>
                </c:pt>
                <c:pt idx="790">
                  <c:v>59.500830764039392</c:v>
                </c:pt>
                <c:pt idx="791">
                  <c:v>59.5011110633301</c:v>
                </c:pt>
                <c:pt idx="792">
                  <c:v>59.501391360296701</c:v>
                </c:pt>
                <c:pt idx="793">
                  <c:v>59.501671654939251</c:v>
                </c:pt>
                <c:pt idx="794">
                  <c:v>59.501951947257723</c:v>
                </c:pt>
                <c:pt idx="795">
                  <c:v>59.502232237252095</c:v>
                </c:pt>
                <c:pt idx="796">
                  <c:v>59.502512524922444</c:v>
                </c:pt>
                <c:pt idx="797">
                  <c:v>59.50279281026868</c:v>
                </c:pt>
                <c:pt idx="798">
                  <c:v>59.503073093290823</c:v>
                </c:pt>
                <c:pt idx="799">
                  <c:v>59.503353373988922</c:v>
                </c:pt>
                <c:pt idx="800">
                  <c:v>59.503633652362922</c:v>
                </c:pt>
                <c:pt idx="801">
                  <c:v>59.503913928412864</c:v>
                </c:pt>
                <c:pt idx="802">
                  <c:v>59.504194202138706</c:v>
                </c:pt>
                <c:pt idx="803">
                  <c:v>59.504474473540441</c:v>
                </c:pt>
                <c:pt idx="804">
                  <c:v>59.504754742618125</c:v>
                </c:pt>
                <c:pt idx="805">
                  <c:v>59.505035009371724</c:v>
                </c:pt>
                <c:pt idx="806">
                  <c:v>59.505315273801244</c:v>
                </c:pt>
                <c:pt idx="807">
                  <c:v>59.50559553590665</c:v>
                </c:pt>
                <c:pt idx="808">
                  <c:v>59.505875795687984</c:v>
                </c:pt>
                <c:pt idx="809">
                  <c:v>59.506156053145247</c:v>
                </c:pt>
                <c:pt idx="810">
                  <c:v>59.506436308278424</c:v>
                </c:pt>
                <c:pt idx="811">
                  <c:v>59.506716561087508</c:v>
                </c:pt>
                <c:pt idx="812">
                  <c:v>59.506996811572499</c:v>
                </c:pt>
                <c:pt idx="813">
                  <c:v>59.50727705973339</c:v>
                </c:pt>
                <c:pt idx="814">
                  <c:v>59.507557305570195</c:v>
                </c:pt>
                <c:pt idx="815">
                  <c:v>59.507837549082929</c:v>
                </c:pt>
                <c:pt idx="816">
                  <c:v>59.508117790271548</c:v>
                </c:pt>
                <c:pt idx="817">
                  <c:v>59.508398029136082</c:v>
                </c:pt>
                <c:pt idx="818">
                  <c:v>59.508678265676522</c:v>
                </c:pt>
                <c:pt idx="819">
                  <c:v>59.508958499892884</c:v>
                </c:pt>
                <c:pt idx="820">
                  <c:v>59.509238731785146</c:v>
                </c:pt>
                <c:pt idx="821">
                  <c:v>59.509518961353315</c:v>
                </c:pt>
                <c:pt idx="822">
                  <c:v>59.50979918859737</c:v>
                </c:pt>
                <c:pt idx="823">
                  <c:v>59.510079413517367</c:v>
                </c:pt>
                <c:pt idx="824">
                  <c:v>59.510359636113222</c:v>
                </c:pt>
                <c:pt idx="825">
                  <c:v>59.510639856384984</c:v>
                </c:pt>
                <c:pt idx="826">
                  <c:v>59.510920074332681</c:v>
                </c:pt>
                <c:pt idx="827">
                  <c:v>59.511200289956257</c:v>
                </c:pt>
                <c:pt idx="828">
                  <c:v>59.51148050325574</c:v>
                </c:pt>
                <c:pt idx="829">
                  <c:v>59.511760714231116</c:v>
                </c:pt>
                <c:pt idx="830">
                  <c:v>59.51204092288242</c:v>
                </c:pt>
                <c:pt idx="831">
                  <c:v>59.51232112920961</c:v>
                </c:pt>
                <c:pt idx="832">
                  <c:v>59.512601333212658</c:v>
                </c:pt>
                <c:pt idx="833">
                  <c:v>59.512881534891626</c:v>
                </c:pt>
                <c:pt idx="834">
                  <c:v>59.513161734246488</c:v>
                </c:pt>
                <c:pt idx="835">
                  <c:v>59.513441931277271</c:v>
                </c:pt>
                <c:pt idx="836">
                  <c:v>59.513722125983918</c:v>
                </c:pt>
                <c:pt idx="837">
                  <c:v>59.514002318366458</c:v>
                </c:pt>
                <c:pt idx="838">
                  <c:v>59.514282508424905</c:v>
                </c:pt>
                <c:pt idx="839">
                  <c:v>59.51456269615921</c:v>
                </c:pt>
                <c:pt idx="840">
                  <c:v>59.51484288156945</c:v>
                </c:pt>
                <c:pt idx="841">
                  <c:v>59.515123064655548</c:v>
                </c:pt>
                <c:pt idx="842">
                  <c:v>59.515403245417595</c:v>
                </c:pt>
                <c:pt idx="843">
                  <c:v>59.515683423855478</c:v>
                </c:pt>
                <c:pt idx="844">
                  <c:v>59.515963599969261</c:v>
                </c:pt>
                <c:pt idx="845">
                  <c:v>59.516243773758937</c:v>
                </c:pt>
                <c:pt idx="846">
                  <c:v>59.516523945224492</c:v>
                </c:pt>
                <c:pt idx="847">
                  <c:v>59.516804114365968</c:v>
                </c:pt>
                <c:pt idx="848">
                  <c:v>59.517084281183287</c:v>
                </c:pt>
                <c:pt idx="849">
                  <c:v>59.517364445676485</c:v>
                </c:pt>
                <c:pt idx="850">
                  <c:v>59.517644607845604</c:v>
                </c:pt>
                <c:pt idx="851">
                  <c:v>59.517924767690602</c:v>
                </c:pt>
                <c:pt idx="852">
                  <c:v>59.518204925211485</c:v>
                </c:pt>
                <c:pt idx="853">
                  <c:v>59.51848508040824</c:v>
                </c:pt>
                <c:pt idx="854">
                  <c:v>59.518765233280881</c:v>
                </c:pt>
                <c:pt idx="855">
                  <c:v>59.5190453838294</c:v>
                </c:pt>
                <c:pt idx="856">
                  <c:v>59.519325532053799</c:v>
                </c:pt>
                <c:pt idx="857">
                  <c:v>59.519605677954068</c:v>
                </c:pt>
                <c:pt idx="858">
                  <c:v>59.519885821530238</c:v>
                </c:pt>
                <c:pt idx="859">
                  <c:v>59.520165962782251</c:v>
                </c:pt>
                <c:pt idx="860">
                  <c:v>59.520446101710171</c:v>
                </c:pt>
                <c:pt idx="861">
                  <c:v>59.520726238313948</c:v>
                </c:pt>
                <c:pt idx="862">
                  <c:v>59.521006372593646</c:v>
                </c:pt>
                <c:pt idx="863">
                  <c:v>59.521286504549181</c:v>
                </c:pt>
                <c:pt idx="864">
                  <c:v>59.52156663418058</c:v>
                </c:pt>
                <c:pt idx="865">
                  <c:v>59.521846761487886</c:v>
                </c:pt>
                <c:pt idx="866">
                  <c:v>59.52212688647105</c:v>
                </c:pt>
                <c:pt idx="867">
                  <c:v>59.52240700913007</c:v>
                </c:pt>
                <c:pt idx="868">
                  <c:v>59.522687129464977</c:v>
                </c:pt>
                <c:pt idx="869">
                  <c:v>59.522967247475769</c:v>
                </c:pt>
                <c:pt idx="870">
                  <c:v>59.523247363162405</c:v>
                </c:pt>
                <c:pt idx="871">
                  <c:v>59.523527476524919</c:v>
                </c:pt>
                <c:pt idx="872">
                  <c:v>59.523807587563347</c:v>
                </c:pt>
                <c:pt idx="873">
                  <c:v>59.524087696277604</c:v>
                </c:pt>
                <c:pt idx="874">
                  <c:v>59.524367802667712</c:v>
                </c:pt>
                <c:pt idx="875">
                  <c:v>59.524647906733705</c:v>
                </c:pt>
                <c:pt idx="876">
                  <c:v>59.524928008475577</c:v>
                </c:pt>
                <c:pt idx="877">
                  <c:v>59.52520810789332</c:v>
                </c:pt>
                <c:pt idx="878">
                  <c:v>59.5254882049869</c:v>
                </c:pt>
                <c:pt idx="879">
                  <c:v>59.525768299756365</c:v>
                </c:pt>
                <c:pt idx="880">
                  <c:v>59.526048392201687</c:v>
                </c:pt>
                <c:pt idx="881">
                  <c:v>59.526328482322896</c:v>
                </c:pt>
                <c:pt idx="882">
                  <c:v>59.526608570119926</c:v>
                </c:pt>
                <c:pt idx="883">
                  <c:v>59.526888655592835</c:v>
                </c:pt>
                <c:pt idx="884">
                  <c:v>59.527168738741594</c:v>
                </c:pt>
                <c:pt idx="885">
                  <c:v>59.527448819566239</c:v>
                </c:pt>
                <c:pt idx="886">
                  <c:v>59.527728898066741</c:v>
                </c:pt>
                <c:pt idx="887">
                  <c:v>59.528008974243079</c:v>
                </c:pt>
                <c:pt idx="888">
                  <c:v>59.528289048095303</c:v>
                </c:pt>
                <c:pt idx="889">
                  <c:v>59.528569119623363</c:v>
                </c:pt>
                <c:pt idx="890">
                  <c:v>59.528849188827287</c:v>
                </c:pt>
                <c:pt idx="891">
                  <c:v>59.529129255707076</c:v>
                </c:pt>
                <c:pt idx="892">
                  <c:v>59.529409320262708</c:v>
                </c:pt>
                <c:pt idx="893">
                  <c:v>59.529689382494198</c:v>
                </c:pt>
                <c:pt idx="894">
                  <c:v>59.529969442401523</c:v>
                </c:pt>
                <c:pt idx="895">
                  <c:v>59.530249499984706</c:v>
                </c:pt>
                <c:pt idx="896">
                  <c:v>59.530529555243803</c:v>
                </c:pt>
                <c:pt idx="897">
                  <c:v>59.530809608178672</c:v>
                </c:pt>
                <c:pt idx="898">
                  <c:v>59.531089658789419</c:v>
                </c:pt>
                <c:pt idx="899">
                  <c:v>59.531369707076038</c:v>
                </c:pt>
                <c:pt idx="900">
                  <c:v>59.531649753038501</c:v>
                </c:pt>
                <c:pt idx="901">
                  <c:v>59.531929796676799</c:v>
                </c:pt>
                <c:pt idx="902">
                  <c:v>59.532209837990955</c:v>
                </c:pt>
                <c:pt idx="903">
                  <c:v>59.532489876980968</c:v>
                </c:pt>
                <c:pt idx="904">
                  <c:v>59.532769913646817</c:v>
                </c:pt>
                <c:pt idx="905">
                  <c:v>59.533049947988523</c:v>
                </c:pt>
                <c:pt idx="906">
                  <c:v>59.533329980006073</c:v>
                </c:pt>
                <c:pt idx="907">
                  <c:v>59.533610009699444</c:v>
                </c:pt>
                <c:pt idx="908">
                  <c:v>59.53389003706868</c:v>
                </c:pt>
                <c:pt idx="909">
                  <c:v>59.534170062113759</c:v>
                </c:pt>
                <c:pt idx="910">
                  <c:v>59.534450084834702</c:v>
                </c:pt>
                <c:pt idx="911">
                  <c:v>59.534730105231439</c:v>
                </c:pt>
                <c:pt idx="912">
                  <c:v>59.535010123304083</c:v>
                </c:pt>
                <c:pt idx="913">
                  <c:v>59.535290139052528</c:v>
                </c:pt>
                <c:pt idx="914">
                  <c:v>59.535570152476808</c:v>
                </c:pt>
                <c:pt idx="915">
                  <c:v>59.535850163576946</c:v>
                </c:pt>
                <c:pt idx="916">
                  <c:v>59.536130172352927</c:v>
                </c:pt>
                <c:pt idx="917">
                  <c:v>59.536410178804722</c:v>
                </c:pt>
                <c:pt idx="918">
                  <c:v>59.536690182932368</c:v>
                </c:pt>
                <c:pt idx="919">
                  <c:v>59.536970184735836</c:v>
                </c:pt>
                <c:pt idx="920">
                  <c:v>59.537250184215168</c:v>
                </c:pt>
                <c:pt idx="921">
                  <c:v>59.537530181370322</c:v>
                </c:pt>
                <c:pt idx="922">
                  <c:v>59.53781017620134</c:v>
                </c:pt>
                <c:pt idx="923">
                  <c:v>59.538090168708138</c:v>
                </c:pt>
                <c:pt idx="924">
                  <c:v>59.5383701588908</c:v>
                </c:pt>
                <c:pt idx="925">
                  <c:v>59.538650146749298</c:v>
                </c:pt>
                <c:pt idx="926">
                  <c:v>59.538930132283653</c:v>
                </c:pt>
                <c:pt idx="927">
                  <c:v>59.539210115493795</c:v>
                </c:pt>
                <c:pt idx="928">
                  <c:v>59.539490096379808</c:v>
                </c:pt>
                <c:pt idx="929">
                  <c:v>59.539770074941636</c:v>
                </c:pt>
                <c:pt idx="930">
                  <c:v>59.540050051179271</c:v>
                </c:pt>
                <c:pt idx="931">
                  <c:v>59.540330025092743</c:v>
                </c:pt>
                <c:pt idx="932">
                  <c:v>59.540609996682086</c:v>
                </c:pt>
                <c:pt idx="933">
                  <c:v>59.540889965947201</c:v>
                </c:pt>
                <c:pt idx="934">
                  <c:v>59.541169932888181</c:v>
                </c:pt>
                <c:pt idx="935">
                  <c:v>59.541449897504982</c:v>
                </c:pt>
                <c:pt idx="936">
                  <c:v>59.541729859797606</c:v>
                </c:pt>
                <c:pt idx="937">
                  <c:v>59.542009819766044</c:v>
                </c:pt>
                <c:pt idx="938">
                  <c:v>59.542289777410325</c:v>
                </c:pt>
                <c:pt idx="939">
                  <c:v>59.542569732730406</c:v>
                </c:pt>
                <c:pt idx="940">
                  <c:v>59.542849685726374</c:v>
                </c:pt>
                <c:pt idx="941">
                  <c:v>59.543129636398085</c:v>
                </c:pt>
                <c:pt idx="942">
                  <c:v>59.54340958474566</c:v>
                </c:pt>
                <c:pt idx="943">
                  <c:v>59.543689530769051</c:v>
                </c:pt>
                <c:pt idx="944">
                  <c:v>59.543969474468263</c:v>
                </c:pt>
                <c:pt idx="945">
                  <c:v>59.544249415843261</c:v>
                </c:pt>
                <c:pt idx="946">
                  <c:v>59.544529354894131</c:v>
                </c:pt>
                <c:pt idx="947">
                  <c:v>59.544809291620801</c:v>
                </c:pt>
                <c:pt idx="948">
                  <c:v>59.545089226023308</c:v>
                </c:pt>
                <c:pt idx="949">
                  <c:v>59.5453691581016</c:v>
                </c:pt>
                <c:pt idx="950">
                  <c:v>59.545649087855729</c:v>
                </c:pt>
                <c:pt idx="951">
                  <c:v>59.545929015285651</c:v>
                </c:pt>
                <c:pt idx="952">
                  <c:v>59.546208940391416</c:v>
                </c:pt>
                <c:pt idx="953">
                  <c:v>59.546488863172996</c:v>
                </c:pt>
                <c:pt idx="954">
                  <c:v>59.546768783630355</c:v>
                </c:pt>
                <c:pt idx="955">
                  <c:v>59.547048701763558</c:v>
                </c:pt>
                <c:pt idx="956">
                  <c:v>59.547328617572553</c:v>
                </c:pt>
                <c:pt idx="957">
                  <c:v>59.547608531057385</c:v>
                </c:pt>
                <c:pt idx="958">
                  <c:v>59.547888442218024</c:v>
                </c:pt>
                <c:pt idx="959">
                  <c:v>59.548168351054471</c:v>
                </c:pt>
                <c:pt idx="960">
                  <c:v>59.54844825756674</c:v>
                </c:pt>
                <c:pt idx="961">
                  <c:v>59.548728161754816</c:v>
                </c:pt>
                <c:pt idx="962">
                  <c:v>59.549008063618672</c:v>
                </c:pt>
                <c:pt idx="963">
                  <c:v>59.54928796315837</c:v>
                </c:pt>
                <c:pt idx="964">
                  <c:v>59.549567860373855</c:v>
                </c:pt>
                <c:pt idx="965">
                  <c:v>59.549847755265169</c:v>
                </c:pt>
                <c:pt idx="966">
                  <c:v>59.550127647832284</c:v>
                </c:pt>
                <c:pt idx="967">
                  <c:v>59.550407538075191</c:v>
                </c:pt>
                <c:pt idx="968">
                  <c:v>59.550687425993914</c:v>
                </c:pt>
                <c:pt idx="969">
                  <c:v>59.55096731158843</c:v>
                </c:pt>
                <c:pt idx="970">
                  <c:v>59.551247194858767</c:v>
                </c:pt>
                <c:pt idx="971">
                  <c:v>59.55152707580492</c:v>
                </c:pt>
                <c:pt idx="972">
                  <c:v>59.551806954426858</c:v>
                </c:pt>
                <c:pt idx="973">
                  <c:v>59.552086830724591</c:v>
                </c:pt>
                <c:pt idx="974">
                  <c:v>59.552366704698102</c:v>
                </c:pt>
                <c:pt idx="975">
                  <c:v>59.552646576347449</c:v>
                </c:pt>
                <c:pt idx="976">
                  <c:v>59.552926445672576</c:v>
                </c:pt>
                <c:pt idx="977">
                  <c:v>59.553206312673524</c:v>
                </c:pt>
                <c:pt idx="978">
                  <c:v>59.553486177350258</c:v>
                </c:pt>
                <c:pt idx="979">
                  <c:v>59.553766039702801</c:v>
                </c:pt>
                <c:pt idx="980">
                  <c:v>59.554045899731136</c:v>
                </c:pt>
                <c:pt idx="981">
                  <c:v>59.554325757435258</c:v>
                </c:pt>
                <c:pt idx="982">
                  <c:v>59.554605612815195</c:v>
                </c:pt>
                <c:pt idx="983">
                  <c:v>59.554885465870925</c:v>
                </c:pt>
                <c:pt idx="984">
                  <c:v>59.555165316602448</c:v>
                </c:pt>
                <c:pt idx="985">
                  <c:v>59.555445165009765</c:v>
                </c:pt>
                <c:pt idx="986">
                  <c:v>59.555725011092889</c:v>
                </c:pt>
                <c:pt idx="987">
                  <c:v>59.5560048548518</c:v>
                </c:pt>
                <c:pt idx="988">
                  <c:v>59.556284696286497</c:v>
                </c:pt>
                <c:pt idx="989">
                  <c:v>59.55656453539698</c:v>
                </c:pt>
                <c:pt idx="990">
                  <c:v>59.556844372183242</c:v>
                </c:pt>
                <c:pt idx="991">
                  <c:v>59.557124206645327</c:v>
                </c:pt>
                <c:pt idx="992">
                  <c:v>59.557404038783169</c:v>
                </c:pt>
                <c:pt idx="993">
                  <c:v>59.557683868596826</c:v>
                </c:pt>
                <c:pt idx="994">
                  <c:v>59.557963696086269</c:v>
                </c:pt>
                <c:pt idx="995">
                  <c:v>59.558243521251505</c:v>
                </c:pt>
                <c:pt idx="996">
                  <c:v>59.558523344092528</c:v>
                </c:pt>
                <c:pt idx="997">
                  <c:v>59.558803164609344</c:v>
                </c:pt>
                <c:pt idx="998">
                  <c:v>59.559082982801918</c:v>
                </c:pt>
                <c:pt idx="999">
                  <c:v>59.559362798670264</c:v>
                </c:pt>
                <c:pt idx="1000">
                  <c:v>59.559642612214446</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Calculs!$I$4:$I$1004</c:f>
              <c:numCache>
                <c:formatCode>0.00</c:formatCode>
                <c:ptCount val="1001"/>
                <c:pt idx="0">
                  <c:v>0</c:v>
                </c:pt>
                <c:pt idx="1">
                  <c:v>4.4021533101416448E-3</c:v>
                </c:pt>
                <c:pt idx="2">
                  <c:v>0.21087398641375424</c:v>
                </c:pt>
                <c:pt idx="3">
                  <c:v>0.619528021198123</c:v>
                </c:pt>
                <c:pt idx="4">
                  <c:v>1.2305372755310406</c:v>
                </c:pt>
                <c:pt idx="5">
                  <c:v>2.0441343321430674</c:v>
                </c:pt>
                <c:pt idx="6">
                  <c:v>2.9581710826610723</c:v>
                </c:pt>
                <c:pt idx="7">
                  <c:v>3.8703054783693709</c:v>
                </c:pt>
                <c:pt idx="8">
                  <c:v>4.7805268848818168</c:v>
                </c:pt>
                <c:pt idx="9">
                  <c:v>5.688824706349414</c:v>
                </c:pt>
                <c:pt idx="10">
                  <c:v>6.5951883859035991</c:v>
                </c:pt>
                <c:pt idx="11">
                  <c:v>7.499607406096148</c:v>
                </c:pt>
                <c:pt idx="12">
                  <c:v>8.4020712893356855</c:v>
                </c:pt>
                <c:pt idx="13">
                  <c:v>9.3025695983206997</c:v>
                </c:pt>
                <c:pt idx="14">
                  <c:v>10.201091936469066</c:v>
                </c:pt>
                <c:pt idx="15">
                  <c:v>11.097627948343996</c:v>
                </c:pt>
                <c:pt idx="16">
                  <c:v>11.992167320076407</c:v>
                </c:pt>
                <c:pt idx="17">
                  <c:v>12.88469977978364</c:v>
                </c:pt>
                <c:pt idx="18">
                  <c:v>13.775215097984518</c:v>
                </c:pt>
                <c:pt idx="19">
                  <c:v>14.663703088010676</c:v>
                </c:pt>
                <c:pt idx="20">
                  <c:v>15.55015360641416</c:v>
                </c:pt>
                <c:pt idx="21">
                  <c:v>16.434556553371198</c:v>
                </c:pt>
                <c:pt idx="22">
                  <c:v>17.316901873082202</c:v>
                </c:pt>
                <c:pt idx="23">
                  <c:v>18.197179554167835</c:v>
                </c:pt>
                <c:pt idx="24">
                  <c:v>19.075379630061253</c:v>
                </c:pt>
                <c:pt idx="25">
                  <c:v>19.951492179396368</c:v>
                </c:pt>
                <c:pt idx="26">
                  <c:v>20.825507326392138</c:v>
                </c:pt>
                <c:pt idx="27">
                  <c:v>21.697415241232896</c:v>
                </c:pt>
                <c:pt idx="28">
                  <c:v>22.567206140444597</c:v>
                </c:pt>
                <c:pt idx="29">
                  <c:v>23.434870287267032</c:v>
                </c:pt>
                <c:pt idx="30">
                  <c:v>24.300397992021914</c:v>
                </c:pt>
                <c:pt idx="31">
                  <c:v>25.163779612476873</c:v>
                </c:pt>
                <c:pt idx="32">
                  <c:v>26.025005554205222</c:v>
                </c:pt>
                <c:pt idx="33">
                  <c:v>26.884066270941624</c:v>
                </c:pt>
                <c:pt idx="34">
                  <c:v>27.740957337123241</c:v>
                </c:pt>
                <c:pt idx="35">
                  <c:v>28.595674587221378</c:v>
                </c:pt>
                <c:pt idx="36">
                  <c:v>29.448208382489899</c:v>
                </c:pt>
                <c:pt idx="37">
                  <c:v>30.298549146301145</c:v>
                </c:pt>
                <c:pt idx="38">
                  <c:v>31.146687363418213</c:v>
                </c:pt>
                <c:pt idx="39">
                  <c:v>31.992613579413788</c:v>
                </c:pt>
                <c:pt idx="40">
                  <c:v>32.836318400179145</c:v>
                </c:pt>
                <c:pt idx="41">
                  <c:v>33.677792491511241</c:v>
                </c:pt>
                <c:pt idx="42">
                  <c:v>34.517026578767563</c:v>
                </c:pt>
                <c:pt idx="43">
                  <c:v>35.354011446580124</c:v>
                </c:pt>
                <c:pt idx="44">
                  <c:v>36.188737938620889</c:v>
                </c:pt>
                <c:pt idx="45">
                  <c:v>37.021196957412343</c:v>
                </c:pt>
                <c:pt idx="46">
                  <c:v>37.851379464177505</c:v>
                </c:pt>
                <c:pt idx="47">
                  <c:v>38.679276478724518</c:v>
                </c:pt>
                <c:pt idx="48">
                  <c:v>39.504879079361686</c:v>
                </c:pt>
                <c:pt idx="49">
                  <c:v>40.328178402839157</c:v>
                </c:pt>
                <c:pt idx="50">
                  <c:v>41.149165644314081</c:v>
                </c:pt>
                <c:pt idx="51">
                  <c:v>41.968371463620613</c:v>
                </c:pt>
                <c:pt idx="52">
                  <c:v>42.786327364094113</c:v>
                </c:pt>
                <c:pt idx="53">
                  <c:v>43.603025768272097</c:v>
                </c:pt>
                <c:pt idx="54">
                  <c:v>44.418459127620643</c:v>
                </c:pt>
                <c:pt idx="55">
                  <c:v>45.232619922605757</c:v>
                </c:pt>
                <c:pt idx="56">
                  <c:v>46.045500662776917</c:v>
                </c:pt>
                <c:pt idx="57">
                  <c:v>46.857093886861179</c:v>
                </c:pt>
                <c:pt idx="58">
                  <c:v>47.667392162867159</c:v>
                </c:pt>
                <c:pt idx="59">
                  <c:v>48.476388088197496</c:v>
                </c:pt>
                <c:pt idx="60">
                  <c:v>49.284074289769251</c:v>
                </c:pt>
                <c:pt idx="61">
                  <c:v>50.090443424141199</c:v>
                </c:pt>
                <c:pt idx="62">
                  <c:v>50.895488177647351</c:v>
                </c:pt>
                <c:pt idx="63">
                  <c:v>51.699201266536079</c:v>
                </c:pt>
                <c:pt idx="64">
                  <c:v>52.50157543711417</c:v>
                </c:pt>
                <c:pt idx="65">
                  <c:v>53.302603465895324</c:v>
                </c:pt>
                <c:pt idx="66">
                  <c:v>54.102278159752572</c:v>
                </c:pt>
                <c:pt idx="67">
                  <c:v>54.900592356074064</c:v>
                </c:pt>
                <c:pt idx="68">
                  <c:v>55.697538922921986</c:v>
                </c:pt>
                <c:pt idx="69">
                  <c:v>56.493110759194074</c:v>
                </c:pt>
                <c:pt idx="70">
                  <c:v>57.287300794787399</c:v>
                </c:pt>
                <c:pt idx="71">
                  <c:v>58.080101990764163</c:v>
                </c:pt>
                <c:pt idx="72">
                  <c:v>58.87150733951912</c:v>
                </c:pt>
                <c:pt idx="73">
                  <c:v>59.661509864948414</c:v>
                </c:pt>
                <c:pt idx="74">
                  <c:v>60.450102622619518</c:v>
                </c:pt>
                <c:pt idx="75">
                  <c:v>61.237278699942117</c:v>
                </c:pt>
                <c:pt idx="76">
                  <c:v>62.023031216339596</c:v>
                </c:pt>
                <c:pt idx="77">
                  <c:v>62.80735332342109</c:v>
                </c:pt>
                <c:pt idx="78">
                  <c:v>63.59023820515376</c:v>
                </c:pt>
                <c:pt idx="79">
                  <c:v>64.371679078035186</c:v>
                </c:pt>
                <c:pt idx="80">
                  <c:v>65.151669191265754</c:v>
                </c:pt>
                <c:pt idx="81">
                  <c:v>65.930201826920779</c:v>
                </c:pt>
                <c:pt idx="82">
                  <c:v>66.707270300122346</c:v>
                </c:pt>
                <c:pt idx="83">
                  <c:v>67.482867959210623</c:v>
                </c:pt>
                <c:pt idx="84">
                  <c:v>68.256988185914594</c:v>
                </c:pt>
                <c:pt idx="85">
                  <c:v>69.029624395522092</c:v>
                </c:pt>
                <c:pt idx="86">
                  <c:v>69.800770037049006</c:v>
                </c:pt>
                <c:pt idx="87">
                  <c:v>70.570418593407553</c:v>
                </c:pt>
                <c:pt idx="88">
                  <c:v>71.338563581573524</c:v>
                </c:pt>
                <c:pt idx="89">
                  <c:v>72.105198552752455</c:v>
                </c:pt>
                <c:pt idx="90">
                  <c:v>72.870317092544539</c:v>
                </c:pt>
                <c:pt idx="91">
                  <c:v>73.633912821108439</c:v>
                </c:pt>
                <c:pt idx="92">
                  <c:v>74.395979393323472</c:v>
                </c:pt>
                <c:pt idx="93">
                  <c:v>75.156510498950652</c:v>
                </c:pt>
                <c:pt idx="94">
                  <c:v>75.915499862792103</c:v>
                </c:pt>
                <c:pt idx="95">
                  <c:v>76.672941244849</c:v>
                </c:pt>
                <c:pt idx="96">
                  <c:v>77.428828440477815</c:v>
                </c:pt>
                <c:pt idx="97">
                  <c:v>78.183155280545023</c:v>
                </c:pt>
                <c:pt idx="98">
                  <c:v>78.935915631580102</c:v>
                </c:pt>
                <c:pt idx="99">
                  <c:v>79.687103395926599</c:v>
                </c:pt>
                <c:pt idx="100">
                  <c:v>80.436712511891614</c:v>
                </c:pt>
                <c:pt idx="101">
                  <c:v>81.184488101478905</c:v>
                </c:pt>
                <c:pt idx="102">
                  <c:v>81.930175081625407</c:v>
                </c:pt>
                <c:pt idx="103">
                  <c:v>82.673767243178204</c:v>
                </c:pt>
                <c:pt idx="104">
                  <c:v>83.415258426408215</c:v>
                </c:pt>
                <c:pt idx="105">
                  <c:v>84.154642521119996</c:v>
                </c:pt>
                <c:pt idx="106">
                  <c:v>84.891913466758425</c:v>
                </c:pt>
                <c:pt idx="107">
                  <c:v>85.627065252512253</c:v>
                </c:pt>
                <c:pt idx="108">
                  <c:v>86.360091917414579</c:v>
                </c:pt>
                <c:pt idx="109">
                  <c:v>87.090987550440204</c:v>
                </c:pt>
                <c:pt idx="110">
                  <c:v>87.819746290599724</c:v>
                </c:pt>
                <c:pt idx="111">
                  <c:v>88.546362327030593</c:v>
                </c:pt>
                <c:pt idx="112">
                  <c:v>89.270829899084788</c:v>
                </c:pt>
                <c:pt idx="113">
                  <c:v>89.993143296413393</c:v>
                </c:pt>
                <c:pt idx="114">
                  <c:v>90.713296859047887</c:v>
                </c:pt>
                <c:pt idx="115">
                  <c:v>91.431284977478214</c:v>
                </c:pt>
                <c:pt idx="116">
                  <c:v>92.147102092727579</c:v>
                </c:pt>
                <c:pt idx="117">
                  <c:v>92.860742696423898</c:v>
                </c:pt>
                <c:pt idx="118">
                  <c:v>93.57220133086814</c:v>
                </c:pt>
                <c:pt idx="119">
                  <c:v>94.281472589099153</c:v>
                </c:pt>
                <c:pt idx="120">
                  <c:v>94.988551114955328</c:v>
                </c:pt>
                <c:pt idx="121">
                  <c:v>95.693431603132993</c:v>
                </c:pt>
                <c:pt idx="122">
                  <c:v>96.396108799241361</c:v>
                </c:pt>
                <c:pt idx="123">
                  <c:v>97.096577499854206</c:v>
                </c:pt>
                <c:pt idx="124">
                  <c:v>97.794832552558347</c:v>
                </c:pt>
                <c:pt idx="125">
                  <c:v>98.490868855998642</c:v>
                </c:pt>
                <c:pt idx="126">
                  <c:v>99.184681359919708</c:v>
                </c:pt>
                <c:pt idx="127">
                  <c:v>99.876265065204365</c:v>
                </c:pt>
                <c:pt idx="128">
                  <c:v>100.56561502390872</c:v>
                </c:pt>
                <c:pt idx="129">
                  <c:v>101.25272633929399</c:v>
                </c:pt>
                <c:pt idx="130">
                  <c:v>101.93759416585483</c:v>
                </c:pt>
                <c:pt idx="131">
                  <c:v>102.6202137093446</c:v>
                </c:pt>
                <c:pt idx="132">
                  <c:v>103.30058022679711</c:v>
                </c:pt>
                <c:pt idx="133">
                  <c:v>103.97868902654517</c:v>
                </c:pt>
                <c:pt idx="134">
                  <c:v>104.65453546823576</c:v>
                </c:pt>
                <c:pt idx="135">
                  <c:v>105.32811496284204</c:v>
                </c:pt>
                <c:pt idx="136">
                  <c:v>105.99942297267187</c:v>
                </c:pt>
                <c:pt idx="137">
                  <c:v>106.66845501137318</c:v>
                </c:pt>
                <c:pt idx="138">
                  <c:v>107.3352066439361</c:v>
                </c:pt>
                <c:pt idx="139">
                  <c:v>107.99967348669169</c:v>
                </c:pt>
                <c:pt idx="140">
                  <c:v>108.66185120730751</c:v>
                </c:pt>
                <c:pt idx="141">
                  <c:v>109.32173552477991</c:v>
                </c:pt>
                <c:pt idx="142">
                  <c:v>109.97932220942312</c:v>
                </c:pt>
                <c:pt idx="143">
                  <c:v>110.63460708285501</c:v>
                </c:pt>
                <c:pt idx="144">
                  <c:v>111.28758601797978</c:v>
                </c:pt>
                <c:pt idx="145">
                  <c:v>111.93825493896728</c:v>
                </c:pt>
                <c:pt idx="146">
                  <c:v>112.58660982122933</c:v>
                </c:pt>
                <c:pt idx="147">
                  <c:v>113.23264669139273</c:v>
                </c:pt>
                <c:pt idx="148">
                  <c:v>113.87636162726906</c:v>
                </c:pt>
                <c:pt idx="149">
                  <c:v>114.51775075782146</c:v>
                </c:pt>
                <c:pt idx="150">
                  <c:v>115.15681026312825</c:v>
                </c:pt>
                <c:pt idx="151">
                  <c:v>115.79362107625485</c:v>
                </c:pt>
                <c:pt idx="152">
                  <c:v>116.42826421950355</c:v>
                </c:pt>
                <c:pt idx="153">
                  <c:v>117.06073603228916</c:v>
                </c:pt>
                <c:pt idx="154">
                  <c:v>117.69103290091196</c:v>
                </c:pt>
                <c:pt idx="155">
                  <c:v>118.3191512585268</c:v>
                </c:pt>
                <c:pt idx="156">
                  <c:v>118.94508758510916</c:v>
                </c:pt>
                <c:pt idx="157">
                  <c:v>119.56883840741882</c:v>
                </c:pt>
                <c:pt idx="158">
                  <c:v>120.19040029896044</c:v>
                </c:pt>
                <c:pt idx="159">
                  <c:v>120.80976987994173</c:v>
                </c:pt>
                <c:pt idx="160">
                  <c:v>121.42694381722858</c:v>
                </c:pt>
                <c:pt idx="161">
                  <c:v>122.04191882429775</c:v>
                </c:pt>
                <c:pt idx="162">
                  <c:v>122.65469166118677</c:v>
                </c:pt>
                <c:pt idx="163">
                  <c:v>123.26525913444119</c:v>
                </c:pt>
                <c:pt idx="164">
                  <c:v>123.87361809705908</c:v>
                </c:pt>
                <c:pt idx="165">
                  <c:v>124.47976544843306</c:v>
                </c:pt>
                <c:pt idx="166">
                  <c:v>125.08369813428958</c:v>
                </c:pt>
                <c:pt idx="167">
                  <c:v>125.68541314662565</c:v>
                </c:pt>
                <c:pt idx="168">
                  <c:v>126.28490752364296</c:v>
                </c:pt>
                <c:pt idx="169">
                  <c:v>126.88217834967944</c:v>
                </c:pt>
                <c:pt idx="170">
                  <c:v>127.47722275513824</c:v>
                </c:pt>
                <c:pt idx="171">
                  <c:v>128.07003791641418</c:v>
                </c:pt>
                <c:pt idx="172">
                  <c:v>128.66062105581778</c:v>
                </c:pt>
                <c:pt idx="173">
                  <c:v>129.24896944149654</c:v>
                </c:pt>
                <c:pt idx="174">
                  <c:v>129.83508038735403</c:v>
                </c:pt>
                <c:pt idx="175">
                  <c:v>130.41895125296631</c:v>
                </c:pt>
                <c:pt idx="176">
                  <c:v>131.00057944349604</c:v>
                </c:pt>
                <c:pt idx="177">
                  <c:v>131.57996240960395</c:v>
                </c:pt>
                <c:pt idx="178">
                  <c:v>132.15709764735823</c:v>
                </c:pt>
                <c:pt idx="179">
                  <c:v>132.73198269814128</c:v>
                </c:pt>
                <c:pt idx="180">
                  <c:v>133.30461514855406</c:v>
                </c:pt>
                <c:pt idx="181">
                  <c:v>133.87499263031833</c:v>
                </c:pt>
                <c:pt idx="182">
                  <c:v>134.44311282017628</c:v>
                </c:pt>
                <c:pt idx="183">
                  <c:v>135.00897343978815</c:v>
                </c:pt>
                <c:pt idx="184">
                  <c:v>135.57257225562725</c:v>
                </c:pt>
                <c:pt idx="185">
                  <c:v>136.13390707887294</c:v>
                </c:pt>
                <c:pt idx="186">
                  <c:v>136.6929757653013</c:v>
                </c:pt>
                <c:pt idx="187">
                  <c:v>137.24977621517337</c:v>
                </c:pt>
                <c:pt idx="188">
                  <c:v>137.80430637312165</c:v>
                </c:pt>
                <c:pt idx="189">
                  <c:v>138.3565642280339</c:v>
                </c:pt>
                <c:pt idx="190">
                  <c:v>138.90654781293517</c:v>
                </c:pt>
                <c:pt idx="191">
                  <c:v>139.45425520486731</c:v>
                </c:pt>
                <c:pt idx="192">
                  <c:v>139.99968452476679</c:v>
                </c:pt>
                <c:pt idx="193">
                  <c:v>140.54283393734005</c:v>
                </c:pt>
                <c:pt idx="194">
                  <c:v>141.08370165093703</c:v>
                </c:pt>
                <c:pt idx="195">
                  <c:v>141.62228591742237</c:v>
                </c:pt>
                <c:pt idx="196">
                  <c:v>142.15858503204493</c:v>
                </c:pt>
                <c:pt idx="197">
                  <c:v>142.69259733330497</c:v>
                </c:pt>
                <c:pt idx="198">
                  <c:v>143.22432120281954</c:v>
                </c:pt>
                <c:pt idx="199">
                  <c:v>143.75375506518577</c:v>
                </c:pt>
                <c:pt idx="200">
                  <c:v>144.28089738784234</c:v>
                </c:pt>
                <c:pt idx="201">
                  <c:v>144.80574668092893</c:v>
                </c:pt>
                <c:pt idx="202">
                  <c:v>145.32830149714388</c:v>
                </c:pt>
                <c:pt idx="203">
                  <c:v>145.84856043159976</c:v>
                </c:pt>
                <c:pt idx="204">
                  <c:v>146.36652212167729</c:v>
                </c:pt>
                <c:pt idx="205">
                  <c:v>146.88218524687744</c:v>
                </c:pt>
                <c:pt idx="206">
                  <c:v>147.39554852867147</c:v>
                </c:pt>
                <c:pt idx="207">
                  <c:v>147.90661073034948</c:v>
                </c:pt>
                <c:pt idx="208">
                  <c:v>148.41537065686703</c:v>
                </c:pt>
                <c:pt idx="209">
                  <c:v>148.92182715469002</c:v>
                </c:pt>
                <c:pt idx="210">
                  <c:v>149.4259791116379</c:v>
                </c:pt>
                <c:pt idx="211">
                  <c:v>149.92782545672523</c:v>
                </c:pt>
                <c:pt idx="212">
                  <c:v>150.42736516000144</c:v>
                </c:pt>
                <c:pt idx="213">
                  <c:v>150.924597232389</c:v>
                </c:pt>
                <c:pt idx="214">
                  <c:v>151.41952072552007</c:v>
                </c:pt>
                <c:pt idx="215">
                  <c:v>151.91213473157134</c:v>
                </c:pt>
                <c:pt idx="216">
                  <c:v>152.40243838309746</c:v>
                </c:pt>
                <c:pt idx="217">
                  <c:v>152.89043085286286</c:v>
                </c:pt>
                <c:pt idx="218">
                  <c:v>153.37611135367203</c:v>
                </c:pt>
                <c:pt idx="219">
                  <c:v>153.85947913819831</c:v>
                </c:pt>
                <c:pt idx="220">
                  <c:v>154.34053349881111</c:v>
                </c:pt>
                <c:pt idx="221">
                  <c:v>154.81927376740185</c:v>
                </c:pt>
                <c:pt idx="222">
                  <c:v>155.29569931520831</c:v>
                </c:pt>
                <c:pt idx="223">
                  <c:v>155.76980955263755</c:v>
                </c:pt>
                <c:pt idx="224">
                  <c:v>156.24160392908749</c:v>
                </c:pt>
                <c:pt idx="225">
                  <c:v>156.71108193276729</c:v>
                </c:pt>
                <c:pt idx="226">
                  <c:v>157.17824309051605</c:v>
                </c:pt>
                <c:pt idx="227">
                  <c:v>157.64308696762035</c:v>
                </c:pt>
                <c:pt idx="228">
                  <c:v>158.10561316763059</c:v>
                </c:pt>
                <c:pt idx="229">
                  <c:v>158.56582133217597</c:v>
                </c:pt>
                <c:pt idx="230">
                  <c:v>159.02371114077812</c:v>
                </c:pt>
                <c:pt idx="231">
                  <c:v>159.47928231066368</c:v>
                </c:pt>
                <c:pt idx="232">
                  <c:v>159.93253459657549</c:v>
                </c:pt>
                <c:pt idx="233">
                  <c:v>160.38346779058281</c:v>
                </c:pt>
                <c:pt idx="234">
                  <c:v>160.83208172189018</c:v>
                </c:pt>
                <c:pt idx="235">
                  <c:v>161.27837625664523</c:v>
                </c:pt>
                <c:pt idx="236">
                  <c:v>161.72235129774546</c:v>
                </c:pt>
                <c:pt idx="237">
                  <c:v>162.16400678464376</c:v>
                </c:pt>
                <c:pt idx="238">
                  <c:v>162.60334269315294</c:v>
                </c:pt>
                <c:pt idx="239">
                  <c:v>163.04035903524931</c:v>
                </c:pt>
                <c:pt idx="240">
                  <c:v>163.47505585887501</c:v>
                </c:pt>
                <c:pt idx="241">
                  <c:v>163.90743324773973</c:v>
                </c:pt>
                <c:pt idx="242">
                  <c:v>164.33749132112089</c:v>
                </c:pt>
                <c:pt idx="243">
                  <c:v>164.76523023366349</c:v>
                </c:pt>
                <c:pt idx="244">
                  <c:v>165.19065017517838</c:v>
                </c:pt>
                <c:pt idx="245">
                  <c:v>165.61375137044035</c:v>
                </c:pt>
                <c:pt idx="246">
                  <c:v>166.03453407898465</c:v>
                </c:pt>
                <c:pt idx="247">
                  <c:v>166.45299859490311</c:v>
                </c:pt>
                <c:pt idx="248">
                  <c:v>166.86914524663922</c:v>
                </c:pt>
                <c:pt idx="249">
                  <c:v>167.28297439678229</c:v>
                </c:pt>
                <c:pt idx="250">
                  <c:v>167.69448644186119</c:v>
                </c:pt>
                <c:pt idx="251">
                  <c:v>168.10331643498441</c:v>
                </c:pt>
                <c:pt idx="252">
                  <c:v>168.50909962109134</c:v>
                </c:pt>
                <c:pt idx="253">
                  <c:v>168.91183705708701</c:v>
                </c:pt>
                <c:pt idx="254">
                  <c:v>169.31152984590975</c:v>
                </c:pt>
                <c:pt idx="255">
                  <c:v>169.70817913617697</c:v>
                </c:pt>
                <c:pt idx="256">
                  <c:v>170.10178612183017</c:v>
                </c:pt>
                <c:pt idx="257">
                  <c:v>170.49235204177899</c:v>
                </c:pt>
                <c:pt idx="258">
                  <c:v>170.87987817954499</c:v>
                </c:pt>
                <c:pt idx="259">
                  <c:v>171.26436586290413</c:v>
                </c:pt>
                <c:pt idx="260">
                  <c:v>171.64581646352894</c:v>
                </c:pt>
                <c:pt idx="261">
                  <c:v>172.02423139663006</c:v>
                </c:pt>
                <c:pt idx="262">
                  <c:v>172.39961212059686</c:v>
                </c:pt>
                <c:pt idx="263">
                  <c:v>172.77196013663797</c:v>
                </c:pt>
                <c:pt idx="264">
                  <c:v>173.14127698842091</c:v>
                </c:pt>
                <c:pt idx="265">
                  <c:v>173.50756426171154</c:v>
                </c:pt>
                <c:pt idx="266">
                  <c:v>173.87082358401256</c:v>
                </c:pt>
                <c:pt idx="267">
                  <c:v>174.23105662420238</c:v>
                </c:pt>
                <c:pt idx="268">
                  <c:v>174.5882650921728</c:v>
                </c:pt>
                <c:pt idx="269">
                  <c:v>174.94245073846702</c:v>
                </c:pt>
                <c:pt idx="270">
                  <c:v>175.29361535391681</c:v>
                </c:pt>
                <c:pt idx="271">
                  <c:v>175.64176076927978</c:v>
                </c:pt>
                <c:pt idx="272">
                  <c:v>175.98688885487636</c:v>
                </c:pt>
                <c:pt idx="273">
                  <c:v>176.32900152022637</c:v>
                </c:pt>
                <c:pt idx="274">
                  <c:v>176.66810071368567</c:v>
                </c:pt>
                <c:pt idx="275">
                  <c:v>177.00418842208259</c:v>
                </c:pt>
                <c:pt idx="276">
                  <c:v>177.33726667035413</c:v>
                </c:pt>
                <c:pt idx="277">
                  <c:v>177.66733752118233</c:v>
                </c:pt>
                <c:pt idx="278">
                  <c:v>177.99440307463064</c:v>
                </c:pt>
                <c:pt idx="279">
                  <c:v>178.31846546777984</c:v>
                </c:pt>
                <c:pt idx="280">
                  <c:v>178.63952687436463</c:v>
                </c:pt>
                <c:pt idx="281">
                  <c:v>178.95758950440973</c:v>
                </c:pt>
                <c:pt idx="282">
                  <c:v>179.2726556038665</c:v>
                </c:pt>
                <c:pt idx="283">
                  <c:v>179.5847274542495</c:v>
                </c:pt>
                <c:pt idx="284">
                  <c:v>179.89380737227313</c:v>
                </c:pt>
                <c:pt idx="285">
                  <c:v>180.19989770948857</c:v>
                </c:pt>
                <c:pt idx="286">
                  <c:v>180.50300085192109</c:v>
                </c:pt>
                <c:pt idx="287">
                  <c:v>180.8031192197073</c:v>
                </c:pt>
                <c:pt idx="288">
                  <c:v>181.10025526673303</c:v>
                </c:pt>
                <c:pt idx="289">
                  <c:v>181.39441148027106</c:v>
                </c:pt>
                <c:pt idx="290">
                  <c:v>181.6855903806198</c:v>
                </c:pt>
                <c:pt idx="291">
                  <c:v>181.97379452074176</c:v>
                </c:pt>
                <c:pt idx="292">
                  <c:v>182.25902648590289</c:v>
                </c:pt>
                <c:pt idx="293">
                  <c:v>182.54128889331196</c:v>
                </c:pt>
                <c:pt idx="294">
                  <c:v>182.82058439176063</c:v>
                </c:pt>
                <c:pt idx="295">
                  <c:v>183.09691566126409</c:v>
                </c:pt>
                <c:pt idx="296">
                  <c:v>183.37028541270189</c:v>
                </c:pt>
                <c:pt idx="297">
                  <c:v>183.64069638745954</c:v>
                </c:pt>
                <c:pt idx="298">
                  <c:v>183.90414207711493</c:v>
                </c:pt>
                <c:pt idx="299">
                  <c:v>184.15661944773899</c:v>
                </c:pt>
                <c:pt idx="300">
                  <c:v>184.39814044105836</c:v>
                </c:pt>
                <c:pt idx="301">
                  <c:v>184.62871723154691</c:v>
                </c:pt>
                <c:pt idx="302">
                  <c:v>184.84836222210168</c:v>
                </c:pt>
                <c:pt idx="303">
                  <c:v>185.05708803972482</c:v>
                </c:pt>
                <c:pt idx="304">
                  <c:v>185.25490753121329</c:v>
                </c:pt>
                <c:pt idx="305">
                  <c:v>185.44183375885598</c:v>
                </c:pt>
                <c:pt idx="306">
                  <c:v>185.61787999614003</c:v>
                </c:pt>
                <c:pt idx="307">
                  <c:v>185.78305972346624</c:v>
                </c:pt>
                <c:pt idx="308">
                  <c:v>185.93738662387466</c:v>
                </c:pt>
                <c:pt idx="309">
                  <c:v>186.08087457878105</c:v>
                </c:pt>
                <c:pt idx="310">
                  <c:v>186.21353766372471</c:v>
                </c:pt>
                <c:pt idx="311">
                  <c:v>186.33539014412835</c:v>
                </c:pt>
                <c:pt idx="312">
                  <c:v>186.44644647107108</c:v>
                </c:pt>
                <c:pt idx="313">
                  <c:v>186.5467212770742</c:v>
                </c:pt>
                <c:pt idx="314">
                  <c:v>186.63622937190166</c:v>
                </c:pt>
                <c:pt idx="315">
                  <c:v>186.71498573837448</c:v>
                </c:pt>
                <c:pt idx="316">
                  <c:v>186.78300552820087</c:v>
                </c:pt>
                <c:pt idx="317">
                  <c:v>186.84030405782187</c:v>
                </c:pt>
                <c:pt idx="318">
                  <c:v>186.88689680427305</c:v>
                </c:pt>
                <c:pt idx="319">
                  <c:v>186.9227994010638</c:v>
                </c:pt>
                <c:pt idx="320">
                  <c:v>186.94802763407316</c:v>
                </c:pt>
                <c:pt idx="321">
                  <c:v>186.96419164626843</c:v>
                </c:pt>
                <c:pt idx="322">
                  <c:v>186.97289950752076</c:v>
                </c:pt>
                <c:pt idx="323">
                  <c:v>186.97416251772825</c:v>
                </c:pt>
                <c:pt idx="324">
                  <c:v>186.96799203769831</c:v>
                </c:pt>
                <c:pt idx="325">
                  <c:v>186.95439948719226</c:v>
                </c:pt>
                <c:pt idx="326">
                  <c:v>186.93339634298133</c:v>
                </c:pt>
                <c:pt idx="327">
                  <c:v>186.9049941369137</c:v>
                </c:pt>
                <c:pt idx="328">
                  <c:v>186.86920445399284</c:v>
                </c:pt>
                <c:pt idx="329">
                  <c:v>186.82603893046723</c:v>
                </c:pt>
                <c:pt idx="330">
                  <c:v>186.77550925193154</c:v>
                </c:pt>
                <c:pt idx="331">
                  <c:v>186.71762715143961</c:v>
                </c:pt>
                <c:pt idx="332">
                  <c:v>186.65240440762898</c:v>
                </c:pt>
                <c:pt idx="333">
                  <c:v>186.57985284285749</c:v>
                </c:pt>
                <c:pt idx="334">
                  <c:v>186.49998432135141</c:v>
                </c:pt>
                <c:pt idx="335">
                  <c:v>186.41281074736594</c:v>
                </c:pt>
                <c:pt idx="336">
                  <c:v>186.3183440633579</c:v>
                </c:pt>
                <c:pt idx="337">
                  <c:v>186.21659624817019</c:v>
                </c:pt>
                <c:pt idx="338">
                  <c:v>186.10757931522895</c:v>
                </c:pt>
                <c:pt idx="339">
                  <c:v>185.99130531075267</c:v>
                </c:pt>
                <c:pt idx="340">
                  <c:v>185.86778631197424</c:v>
                </c:pt>
                <c:pt idx="341">
                  <c:v>185.73703442537504</c:v>
                </c:pt>
                <c:pt idx="342">
                  <c:v>185.59906178493162</c:v>
                </c:pt>
                <c:pt idx="343">
                  <c:v>185.45388055037537</c:v>
                </c:pt>
                <c:pt idx="344">
                  <c:v>185.30150290546436</c:v>
                </c:pt>
                <c:pt idx="345">
                  <c:v>185.14194105626828</c:v>
                </c:pt>
                <c:pt idx="346">
                  <c:v>184.97520722946587</c:v>
                </c:pt>
                <c:pt idx="347">
                  <c:v>184.80131367065533</c:v>
                </c:pt>
                <c:pt idx="348">
                  <c:v>184.62044454885694</c:v>
                </c:pt>
                <c:pt idx="349">
                  <c:v>184.4327837466015</c:v>
                </c:pt>
                <c:pt idx="350">
                  <c:v>184.23834293686429</c:v>
                </c:pt>
                <c:pt idx="351">
                  <c:v>184.0371338009931</c:v>
                </c:pt>
                <c:pt idx="352">
                  <c:v>183.82916802724796</c:v>
                </c:pt>
                <c:pt idx="353">
                  <c:v>183.61445730935193</c:v>
                </c:pt>
                <c:pt idx="354">
                  <c:v>183.39301334505402</c:v>
                </c:pt>
                <c:pt idx="355">
                  <c:v>183.16484783470381</c:v>
                </c:pt>
                <c:pt idx="356">
                  <c:v>182.92997247983803</c:v>
                </c:pt>
                <c:pt idx="357">
                  <c:v>182.68839898177879</c:v>
                </c:pt>
                <c:pt idx="358">
                  <c:v>182.44013904024368</c:v>
                </c:pt>
                <c:pt idx="359">
                  <c:v>182.18520435196774</c:v>
                </c:pt>
                <c:pt idx="360">
                  <c:v>181.92718170376065</c:v>
                </c:pt>
                <c:pt idx="361">
                  <c:v>181.66965115659352</c:v>
                </c:pt>
                <c:pt idx="362">
                  <c:v>181.41261097994737</c:v>
                </c:pt>
                <c:pt idx="363">
                  <c:v>181.15605945142912</c:v>
                </c:pt>
                <c:pt idx="364">
                  <c:v>180.89999485672368</c:v>
                </c:pt>
                <c:pt idx="365">
                  <c:v>180.64441548954667</c:v>
                </c:pt>
                <c:pt idx="366">
                  <c:v>180.38931965159719</c:v>
                </c:pt>
                <c:pt idx="367">
                  <c:v>180.13470565251109</c:v>
                </c:pt>
                <c:pt idx="368">
                  <c:v>179.88057180981454</c:v>
                </c:pt>
                <c:pt idx="369">
                  <c:v>179.62691644887795</c:v>
                </c:pt>
                <c:pt idx="370">
                  <c:v>179.37373790287015</c:v>
                </c:pt>
                <c:pt idx="371">
                  <c:v>179.1210345127129</c:v>
                </c:pt>
                <c:pt idx="372">
                  <c:v>178.86880462703587</c:v>
                </c:pt>
                <c:pt idx="373">
                  <c:v>178.61704660213167</c:v>
                </c:pt>
                <c:pt idx="374">
                  <c:v>178.36575880191151</c:v>
                </c:pt>
                <c:pt idx="375">
                  <c:v>178.1149395978608</c:v>
                </c:pt>
                <c:pt idx="376">
                  <c:v>177.86458736899547</c:v>
                </c:pt>
                <c:pt idx="377">
                  <c:v>177.61470050181833</c:v>
                </c:pt>
                <c:pt idx="378">
                  <c:v>177.36527739027576</c:v>
                </c:pt>
                <c:pt idx="379">
                  <c:v>177.11631643571477</c:v>
                </c:pt>
                <c:pt idx="380">
                  <c:v>176.86781604684029</c:v>
                </c:pt>
                <c:pt idx="381">
                  <c:v>176.61977463967298</c:v>
                </c:pt>
                <c:pt idx="382">
                  <c:v>176.37219063750695</c:v>
                </c:pt>
                <c:pt idx="383">
                  <c:v>176.12506247086807</c:v>
                </c:pt>
                <c:pt idx="384">
                  <c:v>175.87838857747249</c:v>
                </c:pt>
                <c:pt idx="385">
                  <c:v>175.63216740218544</c:v>
                </c:pt>
                <c:pt idx="386">
                  <c:v>175.38639739698033</c:v>
                </c:pt>
                <c:pt idx="387">
                  <c:v>175.141077020898</c:v>
                </c:pt>
                <c:pt idx="388">
                  <c:v>174.8962047400066</c:v>
                </c:pt>
                <c:pt idx="389">
                  <c:v>174.65177902736136</c:v>
                </c:pt>
                <c:pt idx="390">
                  <c:v>174.40779836296477</c:v>
                </c:pt>
                <c:pt idx="391">
                  <c:v>174.16426123372716</c:v>
                </c:pt>
                <c:pt idx="392">
                  <c:v>173.92116613342748</c:v>
                </c:pt>
                <c:pt idx="393">
                  <c:v>173.67851156267417</c:v>
                </c:pt>
                <c:pt idx="394">
                  <c:v>173.43629602886665</c:v>
                </c:pt>
                <c:pt idx="395">
                  <c:v>173.19451804615673</c:v>
                </c:pt>
                <c:pt idx="396">
                  <c:v>172.95317613541047</c:v>
                </c:pt>
                <c:pt idx="397">
                  <c:v>172.71226882417039</c:v>
                </c:pt>
                <c:pt idx="398">
                  <c:v>172.47179464661755</c:v>
                </c:pt>
                <c:pt idx="399">
                  <c:v>172.23175214353446</c:v>
                </c:pt>
                <c:pt idx="400">
                  <c:v>171.99213986226769</c:v>
                </c:pt>
                <c:pt idx="401">
                  <c:v>169.60045261389669</c:v>
                </c:pt>
                <c:pt idx="402">
                  <c:v>167.25117830397011</c:v>
                </c:pt>
                <c:pt idx="403">
                  <c:v>164.94291501377313</c:v>
                </c:pt>
                <c:pt idx="404">
                  <c:v>162.67432224949945</c:v>
                </c:pt>
                <c:pt idx="405">
                  <c:v>160.44411761414355</c:v>
                </c:pt>
                <c:pt idx="406">
                  <c:v>158.25107369680703</c:v>
                </c:pt>
                <c:pt idx="407">
                  <c:v>156.09401516309447</c:v>
                </c:pt>
                <c:pt idx="408">
                  <c:v>153.97181603167061</c:v>
                </c:pt>
                <c:pt idx="409">
                  <c:v>151.8833971233197</c:v>
                </c:pt>
                <c:pt idx="410">
                  <c:v>149.82772366999126</c:v>
                </c:pt>
                <c:pt idx="411">
                  <c:v>147.80380307235851</c:v>
                </c:pt>
                <c:pt idx="412">
                  <c:v>145.81068279535864</c:v>
                </c:pt>
                <c:pt idx="413">
                  <c:v>143.84744839204282</c:v>
                </c:pt>
                <c:pt idx="414">
                  <c:v>141.91322164684377</c:v>
                </c:pt>
                <c:pt idx="415">
                  <c:v>140.00715883008121</c:v>
                </c:pt>
                <c:pt idx="416">
                  <c:v>138.12844905617291</c:v>
                </c:pt>
                <c:pt idx="417">
                  <c:v>136.27631273861152</c:v>
                </c:pt>
                <c:pt idx="418">
                  <c:v>134.45000013530893</c:v>
                </c:pt>
                <c:pt idx="419">
                  <c:v>132.64878997840378</c:v>
                </c:pt>
                <c:pt idx="420">
                  <c:v>130.87198818308192</c:v>
                </c:pt>
                <c:pt idx="421">
                  <c:v>129.11892663037494</c:v>
                </c:pt>
                <c:pt idx="422">
                  <c:v>127.38896201928293</c:v>
                </c:pt>
                <c:pt idx="423">
                  <c:v>125.68147478391862</c:v>
                </c:pt>
                <c:pt idx="424">
                  <c:v>123.99586807169175</c:v>
                </c:pt>
                <c:pt idx="425">
                  <c:v>122.33156677884993</c:v>
                </c:pt>
                <c:pt idx="426">
                  <c:v>120.68801663996545</c:v>
                </c:pt>
                <c:pt idx="427">
                  <c:v>119.06468336821051</c:v>
                </c:pt>
                <c:pt idx="428">
                  <c:v>117.46105184349653</c:v>
                </c:pt>
                <c:pt idx="429">
                  <c:v>115.87662534576984</c:v>
                </c:pt>
                <c:pt idx="430">
                  <c:v>114.31092483095563</c:v>
                </c:pt>
                <c:pt idx="431">
                  <c:v>112.76348824722899</c:v>
                </c:pt>
                <c:pt idx="432">
                  <c:v>111.23386988946417</c:v>
                </c:pt>
                <c:pt idx="433">
                  <c:v>109.72163978987436</c:v>
                </c:pt>
                <c:pt idx="434">
                  <c:v>108.22638314300524</c:v>
                </c:pt>
                <c:pt idx="435">
                  <c:v>106.74769976338517</c:v>
                </c:pt>
                <c:pt idx="436">
                  <c:v>105.28520357426797</c:v>
                </c:pt>
                <c:pt idx="437">
                  <c:v>103.8385221260265</c:v>
                </c:pt>
                <c:pt idx="438">
                  <c:v>102.40729614287379</c:v>
                </c:pt>
                <c:pt idx="439">
                  <c:v>100.99117909669665</c:v>
                </c:pt>
                <c:pt idx="440">
                  <c:v>99.589836806892876</c:v>
                </c:pt>
                <c:pt idx="441">
                  <c:v>98.202947065201371</c:v>
                </c:pt>
                <c:pt idx="442">
                  <c:v>96.83019928460952</c:v>
                </c:pt>
                <c:pt idx="443">
                  <c:v>95.471294171513378</c:v>
                </c:pt>
                <c:pt idx="444">
                  <c:v>94.125943420392773</c:v>
                </c:pt>
                <c:pt idx="445">
                  <c:v>92.793869430348607</c:v>
                </c:pt>
                <c:pt idx="446">
                  <c:v>91.474805042931308</c:v>
                </c:pt>
                <c:pt idx="447">
                  <c:v>90.168493300769072</c:v>
                </c:pt>
                <c:pt idx="448">
                  <c:v>88.874687226583717</c:v>
                </c:pt>
                <c:pt idx="449">
                  <c:v>87.593149622258778</c:v>
                </c:pt>
                <c:pt idx="450">
                  <c:v>86.323652887701456</c:v>
                </c:pt>
                <c:pt idx="451">
                  <c:v>85.065978859316701</c:v>
                </c:pt>
                <c:pt idx="452">
                  <c:v>83.819918667988446</c:v>
                </c:pt>
                <c:pt idx="453">
                  <c:v>82.58527261654001</c:v>
                </c:pt>
                <c:pt idx="454">
                  <c:v>81.361850076725077</c:v>
                </c:pt>
                <c:pt idx="455">
                  <c:v>80.149469405879358</c:v>
                </c:pt>
                <c:pt idx="456">
                  <c:v>78.94795788344598</c:v>
                </c:pt>
                <c:pt idx="457">
                  <c:v>77.757151667671053</c:v>
                </c:pt>
                <c:pt idx="458">
                  <c:v>76.576895772852978</c:v>
                </c:pt>
                <c:pt idx="459">
                  <c:v>75.407044067618941</c:v>
                </c:pt>
                <c:pt idx="460">
                  <c:v>74.247459294795703</c:v>
                </c:pt>
                <c:pt idx="461">
                  <c:v>73.098013113538954</c:v>
                </c:pt>
                <c:pt idx="462">
                  <c:v>71.958586164487642</c:v>
                </c:pt>
                <c:pt idx="463">
                  <c:v>70.829068158815687</c:v>
                </c:pt>
                <c:pt idx="464">
                  <c:v>69.709357992165209</c:v>
                </c:pt>
                <c:pt idx="465">
                  <c:v>68.59936388456174</c:v>
                </c:pt>
                <c:pt idx="466">
                  <c:v>67.499003547534272</c:v>
                </c:pt>
                <c:pt idx="467">
                  <c:v>66.408204379790206</c:v>
                </c:pt>
                <c:pt idx="468">
                  <c:v>65.326903692928354</c:v>
                </c:pt>
                <c:pt idx="469">
                  <c:v>64.255048968811693</c:v>
                </c:pt>
                <c:pt idx="470">
                  <c:v>63.192598150364475</c:v>
                </c:pt>
                <c:pt idx="471">
                  <c:v>62.139519967705624</c:v>
                </c:pt>
                <c:pt idx="472">
                  <c:v>61.095794301681252</c:v>
                </c:pt>
                <c:pt idx="473">
                  <c:v>60.061412587010878</c:v>
                </c:pt>
                <c:pt idx="474">
                  <c:v>59.036378257414455</c:v>
                </c:pt>
                <c:pt idx="475">
                  <c:v>58.020707235235939</c:v>
                </c:pt>
                <c:pt idx="476">
                  <c:v>57.014428468222185</c:v>
                </c:pt>
                <c:pt idx="477">
                  <c:v>56.01758451624783</c:v>
                </c:pt>
                <c:pt idx="478">
                  <c:v>55.030232190891816</c:v>
                </c:pt>
                <c:pt idx="479">
                  <c:v>54.052443250863185</c:v>
                </c:pt>
                <c:pt idx="480">
                  <c:v>53.084305156331929</c:v>
                </c:pt>
                <c:pt idx="481">
                  <c:v>52.125921885235584</c:v>
                </c:pt>
                <c:pt idx="482">
                  <c:v>51.177414814588374</c:v>
                </c:pt>
                <c:pt idx="483">
                  <c:v>50.238923669701443</c:v>
                </c:pt>
                <c:pt idx="484">
                  <c:v>49.31060754400773</c:v>
                </c:pt>
                <c:pt idx="485">
                  <c:v>48.39264599185001</c:v>
                </c:pt>
                <c:pt idx="486">
                  <c:v>47.48524019610322</c:v>
                </c:pt>
                <c:pt idx="487">
                  <c:v>46.588614211828663</c:v>
                </c:pt>
                <c:pt idx="488">
                  <c:v>45.703016286252975</c:v>
                </c:pt>
                <c:pt idx="489">
                  <c:v>44.828720254180958</c:v>
                </c:pt>
                <c:pt idx="490">
                  <c:v>43.966027006428781</c:v>
                </c:pt>
                <c:pt idx="491">
                  <c:v>43.115266026937078</c:v>
                </c:pt>
                <c:pt idx="492">
                  <c:v>42.27679699181602</c:v>
                </c:pt>
                <c:pt idx="493">
                  <c:v>41.451011420603379</c:v>
                </c:pt>
                <c:pt idx="494">
                  <c:v>40.638334366390495</c:v>
                </c:pt>
                <c:pt idx="495">
                  <c:v>39.839226127094477</c:v>
                </c:pt>
                <c:pt idx="496">
                  <c:v>39.054183954930053</c:v>
                </c:pt>
                <c:pt idx="497">
                  <c:v>38.283743734969867</c:v>
                </c:pt>
                <c:pt idx="498">
                  <c:v>37.528481596496853</c:v>
                </c:pt>
                <c:pt idx="499">
                  <c:v>36.789015412594175</c:v>
                </c:pt>
                <c:pt idx="500">
                  <c:v>36.066006134072637</c:v>
                </c:pt>
                <c:pt idx="501">
                  <c:v>35.360158893452031</c:v>
                </c:pt>
                <c:pt idx="502">
                  <c:v>34.672223803428608</c:v>
                </c:pt>
                <c:pt idx="503">
                  <c:v>34.002996362330421</c:v>
                </c:pt>
                <c:pt idx="504">
                  <c:v>33.353317366896945</c:v>
                </c:pt>
                <c:pt idx="505">
                  <c:v>32.724072220919666</c:v>
                </c:pt>
                <c:pt idx="506">
                  <c:v>32.116189517678116</c:v>
                </c:pt>
                <c:pt idx="507">
                  <c:v>31.530638765788282</c:v>
                </c:pt>
                <c:pt idx="508">
                  <c:v>30.968427123408361</c:v>
                </c:pt>
                <c:pt idx="509">
                  <c:v>30.430595006339239</c:v>
                </c:pt>
                <c:pt idx="510">
                  <c:v>29.918210443240699</c:v>
                </c:pt>
                <c:pt idx="511">
                  <c:v>29.432362067885027</c:v>
                </c:pt>
                <c:pt idx="512">
                  <c:v>28.974150665942201</c:v>
                </c:pt>
                <c:pt idx="513">
                  <c:v>28.544679233769688</c:v>
                </c:pt>
                <c:pt idx="514">
                  <c:v>28.145041559963573</c:v>
                </c:pt>
                <c:pt idx="515">
                  <c:v>27.77630940691331</c:v>
                </c:pt>
                <c:pt idx="516">
                  <c:v>27.439518447810151</c:v>
                </c:pt>
                <c:pt idx="517">
                  <c:v>27.135653201319695</c:v>
                </c:pt>
                <c:pt idx="518">
                  <c:v>26.865631296410029</c:v>
                </c:pt>
                <c:pt idx="519">
                  <c:v>26.630287486802793</c:v>
                </c:pt>
                <c:pt idx="520">
                  <c:v>26.430357909949205</c:v>
                </c:pt>
                <c:pt idx="521">
                  <c:v>26.266465140423517</c:v>
                </c:pt>
                <c:pt idx="522">
                  <c:v>26.139104613669705</c:v>
                </c:pt>
                <c:pt idx="523">
                  <c:v>26.048632986311123</c:v>
                </c:pt>
                <c:pt idx="524">
                  <c:v>25.995258949874362</c:v>
                </c:pt>
                <c:pt idx="525">
                  <c:v>25.979036925916446</c:v>
                </c:pt>
                <c:pt idx="526">
                  <c:v>25.999863946811388</c:v>
                </c:pt>
                <c:pt idx="527">
                  <c:v>26.057479876803573</c:v>
                </c:pt>
                <c:pt idx="528">
                  <c:v>26.151470964719401</c:v>
                </c:pt>
                <c:pt idx="529">
                  <c:v>26.281276557129775</c:v>
                </c:pt>
                <c:pt idx="530">
                  <c:v>26.446198652886366</c:v>
                </c:pt>
                <c:pt idx="531">
                  <c:v>26.645413858958968</c:v>
                </c:pt>
                <c:pt idx="532">
                  <c:v>26.877987222033369</c:v>
                </c:pt>
                <c:pt idx="533">
                  <c:v>27.142887364671701</c:v>
                </c:pt>
                <c:pt idx="534">
                  <c:v>27.439002348768998</c:v>
                </c:pt>
                <c:pt idx="535">
                  <c:v>27.765155718397377</c:v>
                </c:pt>
                <c:pt idx="536">
                  <c:v>28.120122231866887</c:v>
                </c:pt>
                <c:pt idx="537">
                  <c:v>28.502642870317693</c:v>
                </c:pt>
                <c:pt idx="538">
                  <c:v>28.911438798450071</c:v>
                </c:pt>
                <c:pt idx="539">
                  <c:v>29.345224043899336</c:v>
                </c:pt>
                <c:pt idx="540">
                  <c:v>29.802716748540547</c:v>
                </c:pt>
                <c:pt idx="541">
                  <c:v>30.282648922756721</c:v>
                </c:pt>
                <c:pt idx="542">
                  <c:v>30.783774699391412</c:v>
                </c:pt>
                <c:pt idx="543">
                  <c:v>31.304877136383318</c:v>
                </c:pt>
                <c:pt idx="544">
                  <c:v>31.844773655957077</c:v>
                </c:pt>
                <c:pt idx="545">
                  <c:v>32.402320234709904</c:v>
                </c:pt>
                <c:pt idx="546">
                  <c:v>32.976414474588807</c:v>
                </c:pt>
                <c:pt idx="547">
                  <c:v>33.565997691495191</c:v>
                </c:pt>
                <c:pt idx="548">
                  <c:v>34.170056158032402</c:v>
                </c:pt>
                <c:pt idx="549">
                  <c:v>34.787621631562232</c:v>
                </c:pt>
                <c:pt idx="550">
                  <c:v>35.417771289874544</c:v>
                </c:pt>
                <c:pt idx="551">
                  <c:v>36.059627185750138</c:v>
                </c:pt>
                <c:pt idx="552">
                  <c:v>36.712355319585178</c:v>
                </c:pt>
                <c:pt idx="553">
                  <c:v>37.375164416859086</c:v>
                </c:pt>
                <c:pt idx="554">
                  <c:v>38.047304485154115</c:v>
                </c:pt>
                <c:pt idx="555">
                  <c:v>38.728065214066646</c:v>
                </c:pt>
                <c:pt idx="556">
                  <c:v>39.41677427093105</c:v>
                </c:pt>
                <c:pt idx="557">
                  <c:v>40.112795535930665</c:v>
                </c:pt>
                <c:pt idx="558">
                  <c:v>40.815527311936329</c:v>
                </c:pt>
                <c:pt idx="559">
                  <c:v>41.524400537270417</c:v>
                </c:pt>
                <c:pt idx="560">
                  <c:v>42.238877023481905</c:v>
                </c:pt>
                <c:pt idx="561">
                  <c:v>42.958447735052502</c:v>
                </c:pt>
                <c:pt idx="562">
                  <c:v>43.682631123638622</c:v>
                </c:pt>
                <c:pt idx="563">
                  <c:v>44.410971525888947</c:v>
                </c:pt>
                <c:pt idx="564">
                  <c:v>45.143037630965196</c:v>
                </c:pt>
                <c:pt idx="565">
                  <c:v>45.878421021542025</c:v>
                </c:pt>
                <c:pt idx="566">
                  <c:v>46.616734790185959</c:v>
                </c:pt>
                <c:pt idx="567">
                  <c:v>47.357612231538006</c:v>
                </c:pt>
                <c:pt idx="568">
                  <c:v>48.10070560958188</c:v>
                </c:pt>
                <c:pt idx="569">
                  <c:v>48.845684998413212</c:v>
                </c:pt>
                <c:pt idx="570">
                  <c:v>49.592237194283385</c:v>
                </c:pt>
                <c:pt idx="571">
                  <c:v>50.340064696232972</c:v>
                </c:pt>
                <c:pt idx="572">
                  <c:v>51.088884752318528</c:v>
                </c:pt>
                <c:pt idx="573">
                  <c:v>51.838428468242086</c:v>
                </c:pt>
                <c:pt idx="574">
                  <c:v>52.588439975091063</c:v>
                </c:pt>
                <c:pt idx="575">
                  <c:v>53.338675652866435</c:v>
                </c:pt>
                <c:pt idx="576">
                  <c:v>54.088903406502219</c:v>
                </c:pt>
                <c:pt idx="577">
                  <c:v>54.838901991146251</c:v>
                </c:pt>
                <c:pt idx="578">
                  <c:v>55.588460383569327</c:v>
                </c:pt>
                <c:pt idx="579">
                  <c:v>56.337377196688827</c:v>
                </c:pt>
                <c:pt idx="580">
                  <c:v>57.085460134326347</c:v>
                </c:pt>
                <c:pt idx="581">
                  <c:v>57.832525483461239</c:v>
                </c:pt>
                <c:pt idx="582">
                  <c:v>58.578397641389365</c:v>
                </c:pt>
                <c:pt idx="583">
                  <c:v>59.322908675344721</c:v>
                </c:pt>
                <c:pt idx="584">
                  <c:v>60.065897912288918</c:v>
                </c:pt>
                <c:pt idx="585">
                  <c:v>60.807211556717633</c:v>
                </c:pt>
                <c:pt idx="586">
                  <c:v>61.546702334473046</c:v>
                </c:pt>
                <c:pt idx="587">
                  <c:v>62.284229160685243</c:v>
                </c:pt>
                <c:pt idx="588">
                  <c:v>63.019656830093652</c:v>
                </c:pt>
                <c:pt idx="589">
                  <c:v>63.752855728121496</c:v>
                </c:pt>
                <c:pt idx="590">
                  <c:v>64.483701561190628</c:v>
                </c:pt>
                <c:pt idx="591">
                  <c:v>65.212075104872639</c:v>
                </c:pt>
                <c:pt idx="592">
                  <c:v>65.937861968573458</c:v>
                </c:pt>
                <c:pt idx="593">
                  <c:v>66.660952375543317</c:v>
                </c:pt>
                <c:pt idx="594">
                  <c:v>67.381240957093155</c:v>
                </c:pt>
                <c:pt idx="595">
                  <c:v>68.098626559980474</c:v>
                </c:pt>
                <c:pt idx="596">
                  <c:v>68.813012066005072</c:v>
                </c:pt>
                <c:pt idx="597">
                  <c:v>69.524304222925764</c:v>
                </c:pt>
                <c:pt idx="598">
                  <c:v>70.232413485876236</c:v>
                </c:pt>
                <c:pt idx="599">
                  <c:v>70.937253868518866</c:v>
                </c:pt>
                <c:pt idx="600">
                  <c:v>71.638742803232631</c:v>
                </c:pt>
                <c:pt idx="601">
                  <c:v>72.33680100968364</c:v>
                </c:pt>
                <c:pt idx="602">
                  <c:v>73.031352371175686</c:v>
                </c:pt>
                <c:pt idx="603">
                  <c:v>73.72232381822316</c:v>
                </c:pt>
                <c:pt idx="604">
                  <c:v>74.409645218830278</c:v>
                </c:pt>
                <c:pt idx="605">
                  <c:v>75.093249274999266</c:v>
                </c:pt>
                <c:pt idx="606">
                  <c:v>75.773071425025293</c:v>
                </c:pt>
                <c:pt idx="607">
                  <c:v>76.449049751169312</c:v>
                </c:pt>
                <c:pt idx="608">
                  <c:v>77.121124892329917</c:v>
                </c:pt>
                <c:pt idx="609">
                  <c:v>77.789239961363563</c:v>
                </c:pt>
                <c:pt idx="610">
                  <c:v>78.453340466728349</c:v>
                </c:pt>
                <c:pt idx="611">
                  <c:v>79.113374238150541</c:v>
                </c:pt>
                <c:pt idx="612">
                  <c:v>79.769291356035197</c:v>
                </c:pt>
                <c:pt idx="613">
                  <c:v>80.421044084362521</c:v>
                </c:pt>
                <c:pt idx="614">
                  <c:v>81.068586806830595</c:v>
                </c:pt>
                <c:pt idx="615">
                  <c:v>81.711875966022873</c:v>
                </c:pt>
                <c:pt idx="616">
                  <c:v>82.350870005394256</c:v>
                </c:pt>
                <c:pt idx="617">
                  <c:v>82.985529313885536</c:v>
                </c:pt>
                <c:pt idx="618">
                  <c:v>83.615816172988829</c:v>
                </c:pt>
                <c:pt idx="619">
                  <c:v>84.24169470610029</c:v>
                </c:pt>
                <c:pt idx="620">
                  <c:v>84.863130830007421</c:v>
                </c:pt>
                <c:pt idx="621">
                  <c:v>85.480092208370081</c:v>
                </c:pt>
                <c:pt idx="622">
                  <c:v>86.092548207063885</c:v>
                </c:pt>
                <c:pt idx="623">
                  <c:v>86.700469851264188</c:v>
                </c:pt>
                <c:pt idx="624">
                  <c:v>87.303829784157912</c:v>
                </c:pt>
                <c:pt idx="625">
                  <c:v>87.902602227178178</c:v>
                </c:pt>
                <c:pt idx="626">
                  <c:v>88.496762941664329</c:v>
                </c:pt>
                <c:pt idx="627">
                  <c:v>89.086289191856991</c:v>
                </c:pt>
                <c:pt idx="628">
                  <c:v>89.671159709144149</c:v>
                </c:pt>
                <c:pt idx="629">
                  <c:v>90.251354657480363</c:v>
                </c:pt>
                <c:pt idx="630">
                  <c:v>90.826855599906352</c:v>
                </c:pt>
                <c:pt idx="631">
                  <c:v>91.397645466102105</c:v>
                </c:pt>
                <c:pt idx="632">
                  <c:v>91.963708520910856</c:v>
                </c:pt>
                <c:pt idx="633">
                  <c:v>92.525030333775717</c:v>
                </c:pt>
                <c:pt idx="634">
                  <c:v>93.081597749035367</c:v>
                </c:pt>
                <c:pt idx="635">
                  <c:v>93.633398857028723</c:v>
                </c:pt>
                <c:pt idx="636">
                  <c:v>94.180422965961739</c:v>
                </c:pt>
                <c:pt idx="637">
                  <c:v>94.72266057449383</c:v>
                </c:pt>
                <c:pt idx="638">
                  <c:v>95.26010334500323</c:v>
                </c:pt>
                <c:pt idx="639">
                  <c:v>95.792744077494476</c:v>
                </c:pt>
                <c:pt idx="640">
                  <c:v>96.320576684113348</c:v>
                </c:pt>
                <c:pt idx="641">
                  <c:v>96.843596164237269</c:v>
                </c:pt>
                <c:pt idx="642">
                  <c:v>97.361798580111369</c:v>
                </c:pt>
                <c:pt idx="643">
                  <c:v>97.875181033002846</c:v>
                </c:pt>
                <c:pt idx="644">
                  <c:v>98.383741639847571</c:v>
                </c:pt>
                <c:pt idx="645">
                  <c:v>98.887479510365878</c:v>
                </c:pt>
                <c:pt idx="646">
                  <c:v>99.386394724624992</c:v>
                </c:pt>
                <c:pt idx="647">
                  <c:v>99.880488311027847</c:v>
                </c:pt>
                <c:pt idx="648">
                  <c:v>100.3697622247097</c:v>
                </c:pt>
                <c:pt idx="649">
                  <c:v>100.8542193263246</c:v>
                </c:pt>
                <c:pt idx="650">
                  <c:v>101.33386336120583</c:v>
                </c:pt>
                <c:pt idx="651">
                  <c:v>101.80869893888524</c:v>
                </c:pt>
                <c:pt idx="652">
                  <c:v>102.27873151295753</c:v>
                </c:pt>
                <c:pt idx="653">
                  <c:v>102.7439673612767</c:v>
                </c:pt>
                <c:pt idx="654">
                  <c:v>103.20441356647277</c:v>
                </c:pt>
                <c:pt idx="655">
                  <c:v>103.66007799677789</c:v>
                </c:pt>
                <c:pt idx="656">
                  <c:v>104.11096928715151</c:v>
                </c:pt>
                <c:pt idx="657">
                  <c:v>104.55709682069545</c:v>
                </c:pt>
                <c:pt idx="658">
                  <c:v>104.99847071035012</c:v>
                </c:pt>
                <c:pt idx="659">
                  <c:v>105.43510178086375</c:v>
                </c:pt>
                <c:pt idx="660">
                  <c:v>105.86700155102766</c:v>
                </c:pt>
                <c:pt idx="661">
                  <c:v>106.29418221617043</c:v>
                </c:pt>
                <c:pt idx="662">
                  <c:v>106.71665663090467</c:v>
                </c:pt>
                <c:pt idx="663">
                  <c:v>107.13443829212105</c:v>
                </c:pt>
                <c:pt idx="664">
                  <c:v>107.54754132222365</c:v>
                </c:pt>
                <c:pt idx="665">
                  <c:v>107.95598045260228</c:v>
                </c:pt>
                <c:pt idx="666">
                  <c:v>108.35977100733683</c:v>
                </c:pt>
                <c:pt idx="667">
                  <c:v>108.75892888712977</c:v>
                </c:pt>
                <c:pt idx="668">
                  <c:v>109.15347055346275</c:v>
                </c:pt>
                <c:pt idx="669">
                  <c:v>109.54341301297394</c:v>
                </c:pt>
                <c:pt idx="670">
                  <c:v>109.92877380205265</c:v>
                </c:pt>
                <c:pt idx="671">
                  <c:v>110.30957097164843</c:v>
                </c:pt>
                <c:pt idx="672">
                  <c:v>110.6858230722917</c:v>
                </c:pt>
                <c:pt idx="673">
                  <c:v>111.05754913932334</c:v>
                </c:pt>
                <c:pt idx="674">
                  <c:v>111.42476867833111</c:v>
                </c:pt>
                <c:pt idx="675">
                  <c:v>111.78750165079026</c:v>
                </c:pt>
                <c:pt idx="676">
                  <c:v>112.14576845990679</c:v>
                </c:pt>
                <c:pt idx="677">
                  <c:v>112.49958993666105</c:v>
                </c:pt>
                <c:pt idx="678">
                  <c:v>112.84898732605009</c:v>
                </c:pt>
                <c:pt idx="679">
                  <c:v>113.19398227352718</c:v>
                </c:pt>
                <c:pt idx="680">
                  <c:v>113.53459681163677</c:v>
                </c:pt>
                <c:pt idx="681">
                  <c:v>113.87085334684359</c:v>
                </c:pt>
                <c:pt idx="682">
                  <c:v>114.20277464655443</c:v>
                </c:pt>
                <c:pt idx="683">
                  <c:v>114.53038382633142</c:v>
                </c:pt>
                <c:pt idx="684">
                  <c:v>114.85370433729531</c:v>
                </c:pt>
                <c:pt idx="685">
                  <c:v>115.17275995371807</c:v>
                </c:pt>
                <c:pt idx="686">
                  <c:v>115.48757476080299</c:v>
                </c:pt>
                <c:pt idx="687">
                  <c:v>115.79817314265181</c:v>
                </c:pt>
                <c:pt idx="688">
                  <c:v>116.10457977041769</c:v>
                </c:pt>
                <c:pt idx="689">
                  <c:v>116.40681959064254</c:v>
                </c:pt>
                <c:pt idx="690">
                  <c:v>116.70491781377838</c:v>
                </c:pt>
                <c:pt idx="691">
                  <c:v>116.99889990289131</c:v>
                </c:pt>
                <c:pt idx="692">
                  <c:v>117.28879156254717</c:v>
                </c:pt>
                <c:pt idx="693">
                  <c:v>117.5746187278781</c:v>
                </c:pt>
                <c:pt idx="694">
                  <c:v>117.85640755382883</c:v>
                </c:pt>
                <c:pt idx="695">
                  <c:v>118.13418440458194</c:v>
                </c:pt>
                <c:pt idx="696">
                  <c:v>118.40797584316088</c:v>
                </c:pt>
                <c:pt idx="697">
                  <c:v>118.67780862121008</c:v>
                </c:pt>
                <c:pt idx="698">
                  <c:v>118.94370966895089</c:v>
                </c:pt>
                <c:pt idx="699">
                  <c:v>119.20570608531256</c:v>
                </c:pt>
                <c:pt idx="700">
                  <c:v>119.46382512823723</c:v>
                </c:pt>
                <c:pt idx="701">
                  <c:v>119.7180942051578</c:v>
                </c:pt>
                <c:pt idx="702">
                  <c:v>119.96854086364775</c:v>
                </c:pt>
                <c:pt idx="703">
                  <c:v>120.21519278224186</c:v>
                </c:pt>
                <c:pt idx="704">
                  <c:v>120.45807776142685</c:v>
                </c:pt>
                <c:pt idx="705">
                  <c:v>120.69722371480047</c:v>
                </c:pt>
                <c:pt idx="706">
                  <c:v>120.93265866039859</c:v>
                </c:pt>
                <c:pt idx="707">
                  <c:v>121.16441071218847</c:v>
                </c:pt>
                <c:pt idx="708">
                  <c:v>121.39250807172752</c:v>
                </c:pt>
                <c:pt idx="709">
                  <c:v>121.61697901998625</c:v>
                </c:pt>
                <c:pt idx="710">
                  <c:v>121.83785190933413</c:v>
                </c:pt>
                <c:pt idx="711">
                  <c:v>122.0551551556873</c:v>
                </c:pt>
                <c:pt idx="712">
                  <c:v>122.05536887367312</c:v>
                </c:pt>
                <c:pt idx="713">
                  <c:v>122.0555825881551</c:v>
                </c:pt>
                <c:pt idx="714">
                  <c:v>122.05579629913326</c:v>
                </c:pt>
                <c:pt idx="715">
                  <c:v>122.05601000660766</c:v>
                </c:pt>
                <c:pt idx="716">
                  <c:v>122.05622371057832</c:v>
                </c:pt>
                <c:pt idx="717">
                  <c:v>122.05643741104524</c:v>
                </c:pt>
                <c:pt idx="718">
                  <c:v>122.05665110800851</c:v>
                </c:pt>
                <c:pt idx="719">
                  <c:v>122.05686480146809</c:v>
                </c:pt>
                <c:pt idx="720">
                  <c:v>122.05707849142405</c:v>
                </c:pt>
                <c:pt idx="721">
                  <c:v>122.05729217787639</c:v>
                </c:pt>
                <c:pt idx="722">
                  <c:v>122.05750586082517</c:v>
                </c:pt>
                <c:pt idx="723">
                  <c:v>122.0577195402704</c:v>
                </c:pt>
                <c:pt idx="724">
                  <c:v>122.05793321621211</c:v>
                </c:pt>
                <c:pt idx="725">
                  <c:v>122.05814688865031</c:v>
                </c:pt>
                <c:pt idx="726">
                  <c:v>122.05836055758506</c:v>
                </c:pt>
                <c:pt idx="727">
                  <c:v>122.05857422301638</c:v>
                </c:pt>
                <c:pt idx="728">
                  <c:v>122.05878788494429</c:v>
                </c:pt>
                <c:pt idx="729">
                  <c:v>122.05900154336882</c:v>
                </c:pt>
                <c:pt idx="730">
                  <c:v>122.05921519829</c:v>
                </c:pt>
                <c:pt idx="731">
                  <c:v>122.05942884970787</c:v>
                </c:pt>
                <c:pt idx="732">
                  <c:v>122.05964249762243</c:v>
                </c:pt>
                <c:pt idx="733">
                  <c:v>122.05985614203375</c:v>
                </c:pt>
                <c:pt idx="734">
                  <c:v>122.06006978294181</c:v>
                </c:pt>
                <c:pt idx="735">
                  <c:v>122.06028342034666</c:v>
                </c:pt>
                <c:pt idx="736">
                  <c:v>122.06049705424833</c:v>
                </c:pt>
                <c:pt idx="737">
                  <c:v>122.06071068464686</c:v>
                </c:pt>
                <c:pt idx="738">
                  <c:v>122.06092431154225</c:v>
                </c:pt>
                <c:pt idx="739">
                  <c:v>122.06113793493455</c:v>
                </c:pt>
                <c:pt idx="740">
                  <c:v>122.06135155482377</c:v>
                </c:pt>
                <c:pt idx="741">
                  <c:v>122.06156517120996</c:v>
                </c:pt>
                <c:pt idx="742">
                  <c:v>122.06177878409314</c:v>
                </c:pt>
                <c:pt idx="743">
                  <c:v>122.06199239347335</c:v>
                </c:pt>
                <c:pt idx="744">
                  <c:v>122.06220599935057</c:v>
                </c:pt>
                <c:pt idx="745">
                  <c:v>122.06241960172488</c:v>
                </c:pt>
                <c:pt idx="746">
                  <c:v>122.0626332005963</c:v>
                </c:pt>
                <c:pt idx="747">
                  <c:v>122.06284679596483</c:v>
                </c:pt>
                <c:pt idx="748">
                  <c:v>122.06306038783055</c:v>
                </c:pt>
                <c:pt idx="749">
                  <c:v>122.06327397619343</c:v>
                </c:pt>
                <c:pt idx="750">
                  <c:v>122.06348756105353</c:v>
                </c:pt>
                <c:pt idx="751">
                  <c:v>122.06370114241086</c:v>
                </c:pt>
                <c:pt idx="752">
                  <c:v>122.06391472026547</c:v>
                </c:pt>
                <c:pt idx="753">
                  <c:v>122.06412829461739</c:v>
                </c:pt>
                <c:pt idx="754">
                  <c:v>122.06434186546662</c:v>
                </c:pt>
                <c:pt idx="755">
                  <c:v>122.06455543281319</c:v>
                </c:pt>
                <c:pt idx="756">
                  <c:v>122.06476899665718</c:v>
                </c:pt>
                <c:pt idx="757">
                  <c:v>122.06498255699856</c:v>
                </c:pt>
                <c:pt idx="758">
                  <c:v>122.06519611383737</c:v>
                </c:pt>
                <c:pt idx="759">
                  <c:v>122.06540966717365</c:v>
                </c:pt>
                <c:pt idx="760">
                  <c:v>122.06562321700744</c:v>
                </c:pt>
                <c:pt idx="761">
                  <c:v>122.06583676333874</c:v>
                </c:pt>
                <c:pt idx="762">
                  <c:v>122.0660503061676</c:v>
                </c:pt>
                <c:pt idx="763">
                  <c:v>122.06626384549403</c:v>
                </c:pt>
                <c:pt idx="764">
                  <c:v>122.06647738131809</c:v>
                </c:pt>
                <c:pt idx="765">
                  <c:v>122.06669091363977</c:v>
                </c:pt>
                <c:pt idx="766">
                  <c:v>122.06690444245912</c:v>
                </c:pt>
                <c:pt idx="767">
                  <c:v>122.06711796777616</c:v>
                </c:pt>
                <c:pt idx="768">
                  <c:v>122.06733148959091</c:v>
                </c:pt>
                <c:pt idx="769">
                  <c:v>122.06754500790342</c:v>
                </c:pt>
                <c:pt idx="770">
                  <c:v>122.0677585227137</c:v>
                </c:pt>
                <c:pt idx="771">
                  <c:v>122.06797203402181</c:v>
                </c:pt>
                <c:pt idx="772">
                  <c:v>122.06818554182773</c:v>
                </c:pt>
                <c:pt idx="773">
                  <c:v>122.06839904613153</c:v>
                </c:pt>
                <c:pt idx="774">
                  <c:v>122.06861254693321</c:v>
                </c:pt>
                <c:pt idx="775">
                  <c:v>122.06882604423279</c:v>
                </c:pt>
                <c:pt idx="776">
                  <c:v>122.06903953803035</c:v>
                </c:pt>
                <c:pt idx="777">
                  <c:v>122.06925302832587</c:v>
                </c:pt>
                <c:pt idx="778">
                  <c:v>122.06946651511939</c:v>
                </c:pt>
                <c:pt idx="779">
                  <c:v>122.06967999841095</c:v>
                </c:pt>
                <c:pt idx="780">
                  <c:v>122.06989347820057</c:v>
                </c:pt>
                <c:pt idx="781">
                  <c:v>122.07010695448828</c:v>
                </c:pt>
                <c:pt idx="782">
                  <c:v>122.0703204272741</c:v>
                </c:pt>
                <c:pt idx="783">
                  <c:v>122.07053389655806</c:v>
                </c:pt>
                <c:pt idx="784">
                  <c:v>122.07074736234019</c:v>
                </c:pt>
                <c:pt idx="785">
                  <c:v>122.07096082462053</c:v>
                </c:pt>
                <c:pt idx="786">
                  <c:v>122.07117428339909</c:v>
                </c:pt>
                <c:pt idx="787">
                  <c:v>122.07138773867591</c:v>
                </c:pt>
                <c:pt idx="788">
                  <c:v>122.07160119045101</c:v>
                </c:pt>
                <c:pt idx="789">
                  <c:v>122.07181463872443</c:v>
                </c:pt>
                <c:pt idx="790">
                  <c:v>122.07202808349618</c:v>
                </c:pt>
                <c:pt idx="791">
                  <c:v>122.07224152476631</c:v>
                </c:pt>
                <c:pt idx="792">
                  <c:v>122.07245496253483</c:v>
                </c:pt>
                <c:pt idx="793">
                  <c:v>122.07266839680179</c:v>
                </c:pt>
                <c:pt idx="794">
                  <c:v>122.07288182756719</c:v>
                </c:pt>
                <c:pt idx="795">
                  <c:v>122.07309525483107</c:v>
                </c:pt>
                <c:pt idx="796">
                  <c:v>122.07330867859348</c:v>
                </c:pt>
                <c:pt idx="797">
                  <c:v>122.07352209885443</c:v>
                </c:pt>
                <c:pt idx="798">
                  <c:v>122.07373551561393</c:v>
                </c:pt>
                <c:pt idx="799">
                  <c:v>122.07394892887203</c:v>
                </c:pt>
                <c:pt idx="800">
                  <c:v>122.07416233862875</c:v>
                </c:pt>
                <c:pt idx="801">
                  <c:v>122.07437574488412</c:v>
                </c:pt>
                <c:pt idx="802">
                  <c:v>122.07458914763819</c:v>
                </c:pt>
                <c:pt idx="803">
                  <c:v>122.07480254689095</c:v>
                </c:pt>
                <c:pt idx="804">
                  <c:v>122.07501594264245</c:v>
                </c:pt>
                <c:pt idx="805">
                  <c:v>122.07522933489271</c:v>
                </c:pt>
                <c:pt idx="806">
                  <c:v>122.07544272364177</c:v>
                </c:pt>
                <c:pt idx="807">
                  <c:v>122.07565610888963</c:v>
                </c:pt>
                <c:pt idx="808">
                  <c:v>122.07586949063636</c:v>
                </c:pt>
                <c:pt idx="809">
                  <c:v>122.07608286888197</c:v>
                </c:pt>
                <c:pt idx="810">
                  <c:v>122.07629624362649</c:v>
                </c:pt>
                <c:pt idx="811">
                  <c:v>122.07650961486993</c:v>
                </c:pt>
                <c:pt idx="812">
                  <c:v>122.07672298261234</c:v>
                </c:pt>
                <c:pt idx="813">
                  <c:v>122.07693634685373</c:v>
                </c:pt>
                <c:pt idx="814">
                  <c:v>122.07714970759413</c:v>
                </c:pt>
                <c:pt idx="815">
                  <c:v>122.07736306483361</c:v>
                </c:pt>
                <c:pt idx="816">
                  <c:v>122.07757641857214</c:v>
                </c:pt>
                <c:pt idx="817">
                  <c:v>122.07778976880977</c:v>
                </c:pt>
                <c:pt idx="818">
                  <c:v>122.07800311554654</c:v>
                </c:pt>
                <c:pt idx="819">
                  <c:v>122.07821645878246</c:v>
                </c:pt>
                <c:pt idx="820">
                  <c:v>122.07842979851759</c:v>
                </c:pt>
                <c:pt idx="821">
                  <c:v>122.07864313475191</c:v>
                </c:pt>
                <c:pt idx="822">
                  <c:v>122.07885646748549</c:v>
                </c:pt>
                <c:pt idx="823">
                  <c:v>122.07906979671834</c:v>
                </c:pt>
                <c:pt idx="824">
                  <c:v>122.07928312245049</c:v>
                </c:pt>
                <c:pt idx="825">
                  <c:v>122.07949644468196</c:v>
                </c:pt>
                <c:pt idx="826">
                  <c:v>122.07970976341279</c:v>
                </c:pt>
                <c:pt idx="827">
                  <c:v>122.07992307864302</c:v>
                </c:pt>
                <c:pt idx="828">
                  <c:v>122.08013639037266</c:v>
                </c:pt>
                <c:pt idx="829">
                  <c:v>122.08034969860172</c:v>
                </c:pt>
                <c:pt idx="830">
                  <c:v>122.08056300333028</c:v>
                </c:pt>
                <c:pt idx="831">
                  <c:v>122.08077630455833</c:v>
                </c:pt>
                <c:pt idx="832">
                  <c:v>122.08098960228588</c:v>
                </c:pt>
                <c:pt idx="833">
                  <c:v>122.08120289651299</c:v>
                </c:pt>
                <c:pt idx="834">
                  <c:v>122.0814161872397</c:v>
                </c:pt>
                <c:pt idx="835">
                  <c:v>122.08162947446603</c:v>
                </c:pt>
                <c:pt idx="836">
                  <c:v>122.08184275819197</c:v>
                </c:pt>
                <c:pt idx="837">
                  <c:v>122.08205603841758</c:v>
                </c:pt>
                <c:pt idx="838">
                  <c:v>122.0822693151429</c:v>
                </c:pt>
                <c:pt idx="839">
                  <c:v>122.08248258836791</c:v>
                </c:pt>
                <c:pt idx="840">
                  <c:v>122.08269585809271</c:v>
                </c:pt>
                <c:pt idx="841">
                  <c:v>122.08290912431727</c:v>
                </c:pt>
                <c:pt idx="842">
                  <c:v>122.08312238704166</c:v>
                </c:pt>
                <c:pt idx="843">
                  <c:v>122.08333564626585</c:v>
                </c:pt>
                <c:pt idx="844">
                  <c:v>122.08354890198993</c:v>
                </c:pt>
                <c:pt idx="845">
                  <c:v>122.0837621542139</c:v>
                </c:pt>
                <c:pt idx="846">
                  <c:v>122.08397540293778</c:v>
                </c:pt>
                <c:pt idx="847">
                  <c:v>122.08418864816163</c:v>
                </c:pt>
                <c:pt idx="848">
                  <c:v>122.08440188988544</c:v>
                </c:pt>
                <c:pt idx="849">
                  <c:v>122.08461512810925</c:v>
                </c:pt>
                <c:pt idx="850">
                  <c:v>122.08482836283311</c:v>
                </c:pt>
                <c:pt idx="851">
                  <c:v>122.08504159405703</c:v>
                </c:pt>
                <c:pt idx="852">
                  <c:v>122.08525482178104</c:v>
                </c:pt>
                <c:pt idx="853">
                  <c:v>122.08546804600518</c:v>
                </c:pt>
                <c:pt idx="854">
                  <c:v>122.08568126672944</c:v>
                </c:pt>
                <c:pt idx="855">
                  <c:v>122.08589448395389</c:v>
                </c:pt>
                <c:pt idx="856">
                  <c:v>122.08610769767854</c:v>
                </c:pt>
                <c:pt idx="857">
                  <c:v>122.08632090790341</c:v>
                </c:pt>
                <c:pt idx="858">
                  <c:v>122.08653411462855</c:v>
                </c:pt>
                <c:pt idx="859">
                  <c:v>122.08674731785396</c:v>
                </c:pt>
                <c:pt idx="860">
                  <c:v>122.0869605175797</c:v>
                </c:pt>
                <c:pt idx="861">
                  <c:v>122.08717371380578</c:v>
                </c:pt>
                <c:pt idx="862">
                  <c:v>122.08738690653225</c:v>
                </c:pt>
                <c:pt idx="863">
                  <c:v>122.0876000957591</c:v>
                </c:pt>
                <c:pt idx="864">
                  <c:v>122.08781328148638</c:v>
                </c:pt>
                <c:pt idx="865">
                  <c:v>122.08802646371413</c:v>
                </c:pt>
                <c:pt idx="866">
                  <c:v>122.08823964244235</c:v>
                </c:pt>
                <c:pt idx="867">
                  <c:v>122.08845281767108</c:v>
                </c:pt>
                <c:pt idx="868">
                  <c:v>122.08866598940035</c:v>
                </c:pt>
                <c:pt idx="869">
                  <c:v>122.0888791576302</c:v>
                </c:pt>
                <c:pt idx="870">
                  <c:v>122.08909232236064</c:v>
                </c:pt>
                <c:pt idx="871">
                  <c:v>122.08930548359172</c:v>
                </c:pt>
                <c:pt idx="872">
                  <c:v>122.08951864132345</c:v>
                </c:pt>
                <c:pt idx="873">
                  <c:v>122.08973179555586</c:v>
                </c:pt>
                <c:pt idx="874">
                  <c:v>122.08994494628897</c:v>
                </c:pt>
                <c:pt idx="875">
                  <c:v>122.09015809352282</c:v>
                </c:pt>
                <c:pt idx="876">
                  <c:v>122.09037123725746</c:v>
                </c:pt>
                <c:pt idx="877">
                  <c:v>122.09058437749287</c:v>
                </c:pt>
                <c:pt idx="878">
                  <c:v>122.09079751422912</c:v>
                </c:pt>
                <c:pt idx="879">
                  <c:v>122.09101064746622</c:v>
                </c:pt>
                <c:pt idx="880">
                  <c:v>122.09122377720419</c:v>
                </c:pt>
                <c:pt idx="881">
                  <c:v>122.09143690344308</c:v>
                </c:pt>
                <c:pt idx="882">
                  <c:v>122.09165002618289</c:v>
                </c:pt>
                <c:pt idx="883">
                  <c:v>122.09186314542367</c:v>
                </c:pt>
                <c:pt idx="884">
                  <c:v>122.09207626116545</c:v>
                </c:pt>
                <c:pt idx="885">
                  <c:v>122.09228937340825</c:v>
                </c:pt>
                <c:pt idx="886">
                  <c:v>122.09250248215209</c:v>
                </c:pt>
                <c:pt idx="887">
                  <c:v>122.09271558739701</c:v>
                </c:pt>
                <c:pt idx="888">
                  <c:v>122.09292868914304</c:v>
                </c:pt>
                <c:pt idx="889">
                  <c:v>122.09314178739019</c:v>
                </c:pt>
                <c:pt idx="890">
                  <c:v>122.09335488213851</c:v>
                </c:pt>
                <c:pt idx="891">
                  <c:v>122.09356797338803</c:v>
                </c:pt>
                <c:pt idx="892">
                  <c:v>122.09378106113876</c:v>
                </c:pt>
                <c:pt idx="893">
                  <c:v>122.09399414539072</c:v>
                </c:pt>
                <c:pt idx="894">
                  <c:v>122.09420722614396</c:v>
                </c:pt>
                <c:pt idx="895">
                  <c:v>122.09442030339851</c:v>
                </c:pt>
                <c:pt idx="896">
                  <c:v>122.09463337715441</c:v>
                </c:pt>
                <c:pt idx="897">
                  <c:v>122.09484644741164</c:v>
                </c:pt>
                <c:pt idx="898">
                  <c:v>122.09505951417027</c:v>
                </c:pt>
                <c:pt idx="899">
                  <c:v>122.09527257743032</c:v>
                </c:pt>
                <c:pt idx="900">
                  <c:v>122.0954856371918</c:v>
                </c:pt>
                <c:pt idx="901">
                  <c:v>122.09569869345475</c:v>
                </c:pt>
                <c:pt idx="902">
                  <c:v>122.09591174621922</c:v>
                </c:pt>
                <c:pt idx="903">
                  <c:v>122.09612479548521</c:v>
                </c:pt>
                <c:pt idx="904">
                  <c:v>122.09633784125275</c:v>
                </c:pt>
                <c:pt idx="905">
                  <c:v>122.09655088352189</c:v>
                </c:pt>
                <c:pt idx="906">
                  <c:v>122.09676392229262</c:v>
                </c:pt>
                <c:pt idx="907">
                  <c:v>122.096976957565</c:v>
                </c:pt>
                <c:pt idx="908">
                  <c:v>122.09718998933907</c:v>
                </c:pt>
                <c:pt idx="909">
                  <c:v>122.09740301761482</c:v>
                </c:pt>
                <c:pt idx="910">
                  <c:v>122.0976160423923</c:v>
                </c:pt>
                <c:pt idx="911">
                  <c:v>122.09782906367153</c:v>
                </c:pt>
                <c:pt idx="912">
                  <c:v>122.09804208145255</c:v>
                </c:pt>
                <c:pt idx="913">
                  <c:v>122.09825509573537</c:v>
                </c:pt>
                <c:pt idx="914">
                  <c:v>122.09846810652003</c:v>
                </c:pt>
                <c:pt idx="915">
                  <c:v>122.09868111380656</c:v>
                </c:pt>
                <c:pt idx="916">
                  <c:v>122.09889411759498</c:v>
                </c:pt>
                <c:pt idx="917">
                  <c:v>122.09910711788532</c:v>
                </c:pt>
                <c:pt idx="918">
                  <c:v>122.09932011467762</c:v>
                </c:pt>
                <c:pt idx="919">
                  <c:v>122.09953310797189</c:v>
                </c:pt>
                <c:pt idx="920">
                  <c:v>122.09974609776818</c:v>
                </c:pt>
                <c:pt idx="921">
                  <c:v>122.09995908406648</c:v>
                </c:pt>
                <c:pt idx="922">
                  <c:v>122.10017206686689</c:v>
                </c:pt>
                <c:pt idx="923">
                  <c:v>122.10038504616935</c:v>
                </c:pt>
                <c:pt idx="924">
                  <c:v>122.10059802197395</c:v>
                </c:pt>
                <c:pt idx="925">
                  <c:v>122.10081099428069</c:v>
                </c:pt>
                <c:pt idx="926">
                  <c:v>122.10102396308963</c:v>
                </c:pt>
                <c:pt idx="927">
                  <c:v>122.10123692840077</c:v>
                </c:pt>
                <c:pt idx="928">
                  <c:v>122.10144989021413</c:v>
                </c:pt>
                <c:pt idx="929">
                  <c:v>122.10166284852976</c:v>
                </c:pt>
                <c:pt idx="930">
                  <c:v>122.10187580334765</c:v>
                </c:pt>
                <c:pt idx="931">
                  <c:v>122.10208875466789</c:v>
                </c:pt>
                <c:pt idx="932">
                  <c:v>122.10230170249046</c:v>
                </c:pt>
                <c:pt idx="933">
                  <c:v>122.10251464681542</c:v>
                </c:pt>
                <c:pt idx="934">
                  <c:v>122.10272758764278</c:v>
                </c:pt>
                <c:pt idx="935">
                  <c:v>122.10294052497255</c:v>
                </c:pt>
                <c:pt idx="936">
                  <c:v>122.10315345880481</c:v>
                </c:pt>
                <c:pt idx="937">
                  <c:v>122.10336638913954</c:v>
                </c:pt>
                <c:pt idx="938">
                  <c:v>122.10357931597679</c:v>
                </c:pt>
                <c:pt idx="939">
                  <c:v>122.10379223931658</c:v>
                </c:pt>
                <c:pt idx="940">
                  <c:v>122.10400515915896</c:v>
                </c:pt>
                <c:pt idx="941">
                  <c:v>122.10421807550392</c:v>
                </c:pt>
                <c:pt idx="942">
                  <c:v>122.10443098835151</c:v>
                </c:pt>
                <c:pt idx="943">
                  <c:v>122.10464389770176</c:v>
                </c:pt>
                <c:pt idx="944">
                  <c:v>122.1048568035547</c:v>
                </c:pt>
                <c:pt idx="945">
                  <c:v>122.10506970591032</c:v>
                </c:pt>
                <c:pt idx="946">
                  <c:v>122.10528260476873</c:v>
                </c:pt>
                <c:pt idx="947">
                  <c:v>122.10549550012988</c:v>
                </c:pt>
                <c:pt idx="948">
                  <c:v>122.10570839199384</c:v>
                </c:pt>
                <c:pt idx="949">
                  <c:v>122.10592128036062</c:v>
                </c:pt>
                <c:pt idx="950">
                  <c:v>122.10613416523026</c:v>
                </c:pt>
                <c:pt idx="951">
                  <c:v>122.10634704660276</c:v>
                </c:pt>
                <c:pt idx="952">
                  <c:v>122.10655992447819</c:v>
                </c:pt>
                <c:pt idx="953">
                  <c:v>122.10677279885655</c:v>
                </c:pt>
                <c:pt idx="954">
                  <c:v>122.10698566973788</c:v>
                </c:pt>
                <c:pt idx="955">
                  <c:v>122.10719853712222</c:v>
                </c:pt>
                <c:pt idx="956">
                  <c:v>122.10741140100956</c:v>
                </c:pt>
                <c:pt idx="957">
                  <c:v>122.10762426139995</c:v>
                </c:pt>
                <c:pt idx="958">
                  <c:v>122.10783711829343</c:v>
                </c:pt>
                <c:pt idx="959">
                  <c:v>122.10804997169004</c:v>
                </c:pt>
                <c:pt idx="960">
                  <c:v>122.10826282158976</c:v>
                </c:pt>
                <c:pt idx="961">
                  <c:v>122.10847566799265</c:v>
                </c:pt>
                <c:pt idx="962">
                  <c:v>122.10868851089872</c:v>
                </c:pt>
                <c:pt idx="963">
                  <c:v>122.10890135030803</c:v>
                </c:pt>
                <c:pt idx="964">
                  <c:v>122.10911418622058</c:v>
                </c:pt>
                <c:pt idx="965">
                  <c:v>122.10932701863641</c:v>
                </c:pt>
                <c:pt idx="966">
                  <c:v>122.10953984755554</c:v>
                </c:pt>
                <c:pt idx="967">
                  <c:v>122.10975267297802</c:v>
                </c:pt>
                <c:pt idx="968">
                  <c:v>122.10996549490385</c:v>
                </c:pt>
                <c:pt idx="969">
                  <c:v>122.11017831333307</c:v>
                </c:pt>
                <c:pt idx="970">
                  <c:v>122.1103911282657</c:v>
                </c:pt>
                <c:pt idx="971">
                  <c:v>122.11060393970179</c:v>
                </c:pt>
                <c:pt idx="972">
                  <c:v>122.11081674764135</c:v>
                </c:pt>
                <c:pt idx="973">
                  <c:v>122.1110295520844</c:v>
                </c:pt>
                <c:pt idx="974">
                  <c:v>122.11124235303099</c:v>
                </c:pt>
                <c:pt idx="975">
                  <c:v>122.11145515048113</c:v>
                </c:pt>
                <c:pt idx="976">
                  <c:v>122.11166794443487</c:v>
                </c:pt>
                <c:pt idx="977">
                  <c:v>122.11188073489222</c:v>
                </c:pt>
                <c:pt idx="978">
                  <c:v>122.11209352185321</c:v>
                </c:pt>
                <c:pt idx="979">
                  <c:v>122.11230630531787</c:v>
                </c:pt>
                <c:pt idx="980">
                  <c:v>122.11251908528624</c:v>
                </c:pt>
                <c:pt idx="981">
                  <c:v>122.11273186175833</c:v>
                </c:pt>
                <c:pt idx="982">
                  <c:v>122.11294463473419</c:v>
                </c:pt>
                <c:pt idx="983">
                  <c:v>122.11315740421384</c:v>
                </c:pt>
                <c:pt idx="984">
                  <c:v>122.1133701701973</c:v>
                </c:pt>
                <c:pt idx="985">
                  <c:v>122.11358293268459</c:v>
                </c:pt>
                <c:pt idx="986">
                  <c:v>122.11379569167576</c:v>
                </c:pt>
                <c:pt idx="987">
                  <c:v>122.11400844717082</c:v>
                </c:pt>
                <c:pt idx="988">
                  <c:v>122.1142211991698</c:v>
                </c:pt>
                <c:pt idx="989">
                  <c:v>122.11443394767274</c:v>
                </c:pt>
                <c:pt idx="990">
                  <c:v>122.11464669267966</c:v>
                </c:pt>
                <c:pt idx="991">
                  <c:v>122.11485943419059</c:v>
                </c:pt>
                <c:pt idx="992">
                  <c:v>122.11507217220556</c:v>
                </c:pt>
                <c:pt idx="993">
                  <c:v>122.1152849067246</c:v>
                </c:pt>
                <c:pt idx="994">
                  <c:v>122.11549763774774</c:v>
                </c:pt>
                <c:pt idx="995">
                  <c:v>122.11571036527499</c:v>
                </c:pt>
                <c:pt idx="996">
                  <c:v>122.11592308930641</c:v>
                </c:pt>
                <c:pt idx="997">
                  <c:v>122.11613580984201</c:v>
                </c:pt>
                <c:pt idx="998">
                  <c:v>122.11634852688179</c:v>
                </c:pt>
                <c:pt idx="999">
                  <c:v>122.11656124042581</c:v>
                </c:pt>
                <c:pt idx="1000">
                  <c:v>122.11677395047411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Calculs!$AG$4:$AG$1004</c:f>
              <c:numCache>
                <c:formatCode>0.00</c:formatCode>
                <c:ptCount val="1001"/>
                <c:pt idx="0">
                  <c:v>0</c:v>
                </c:pt>
                <c:pt idx="1">
                  <c:v>0.44021532254420848</c:v>
                </c:pt>
                <c:pt idx="2">
                  <c:v>20.647183316001502</c:v>
                </c:pt>
                <c:pt idx="3">
                  <c:v>40.865403476388941</c:v>
                </c:pt>
                <c:pt idx="4">
                  <c:v>61.100925430404878</c:v>
                </c:pt>
                <c:pt idx="5">
                  <c:v>81.359705657549767</c:v>
                </c:pt>
                <c:pt idx="6">
                  <c:v>91.403675047756181</c:v>
                </c:pt>
                <c:pt idx="7">
                  <c:v>91.21343956677353</c:v>
                </c:pt>
                <c:pt idx="8">
                  <c:v>91.022140647186859</c:v>
                </c:pt>
                <c:pt idx="9">
                  <c:v>90.829782142704687</c:v>
                </c:pt>
                <c:pt idx="10">
                  <c:v>90.636367951367532</c:v>
                </c:pt>
                <c:pt idx="11">
                  <c:v>90.441902015209124</c:v>
                </c:pt>
                <c:pt idx="12">
                  <c:v>90.246388319913393</c:v>
                </c:pt>
                <c:pt idx="13">
                  <c:v>90.04983089446705</c:v>
                </c:pt>
                <c:pt idx="14">
                  <c:v>89.852233810808173</c:v>
                </c:pt>
                <c:pt idx="15">
                  <c:v>89.653601183470741</c:v>
                </c:pt>
                <c:pt idx="16">
                  <c:v>89.453937169224901</c:v>
                </c:pt>
                <c:pt idx="17">
                  <c:v>89.253245966713351</c:v>
                </c:pt>
                <c:pt idx="18">
                  <c:v>89.051531816084079</c:v>
                </c:pt>
                <c:pt idx="19">
                  <c:v>88.848798998618605</c:v>
                </c:pt>
                <c:pt idx="20">
                  <c:v>88.645051836357069</c:v>
                </c:pt>
                <c:pt idx="21">
                  <c:v>88.44029469171916</c:v>
                </c:pt>
                <c:pt idx="22">
                  <c:v>88.234531967121413</c:v>
                </c:pt>
                <c:pt idx="23">
                  <c:v>88.027768104591061</c:v>
                </c:pt>
                <c:pt idx="24">
                  <c:v>87.820007585375976</c:v>
                </c:pt>
                <c:pt idx="25">
                  <c:v>87.611254929551549</c:v>
                </c:pt>
                <c:pt idx="26">
                  <c:v>87.401514695623604</c:v>
                </c:pt>
                <c:pt idx="27">
                  <c:v>87.190791480128411</c:v>
                </c:pt>
                <c:pt idx="28">
                  <c:v>86.979089917228976</c:v>
                </c:pt>
                <c:pt idx="29">
                  <c:v>86.766414678308394</c:v>
                </c:pt>
                <c:pt idx="30">
                  <c:v>86.552770471559725</c:v>
                </c:pt>
                <c:pt idx="31">
                  <c:v>86.338162041573042</c:v>
                </c:pt>
                <c:pt idx="32">
                  <c:v>86.122594168918994</c:v>
                </c:pt>
                <c:pt idx="33">
                  <c:v>85.906071669729812</c:v>
                </c:pt>
                <c:pt idx="34">
                  <c:v>85.688599395277066</c:v>
                </c:pt>
                <c:pt idx="35">
                  <c:v>85.471214126014232</c:v>
                </c:pt>
                <c:pt idx="36">
                  <c:v>85.252880076081695</c:v>
                </c:pt>
                <c:pt idx="37">
                  <c:v>85.033587758173368</c:v>
                </c:pt>
                <c:pt idx="38">
                  <c:v>84.813343359276558</c:v>
                </c:pt>
                <c:pt idx="39">
                  <c:v>84.592153003253316</c:v>
                </c:pt>
                <c:pt idx="40">
                  <c:v>84.370022760499012</c:v>
                </c:pt>
                <c:pt idx="41">
                  <c:v>84.146958656296761</c:v>
                </c:pt>
                <c:pt idx="42">
                  <c:v>83.922966678065208</c:v>
                </c:pt>
                <c:pt idx="43">
                  <c:v>83.698052781662895</c:v>
                </c:pt>
                <c:pt idx="44">
                  <c:v>83.47222289688483</c:v>
                </c:pt>
                <c:pt idx="45">
                  <c:v>83.245482932264864</c:v>
                </c:pt>
                <c:pt idx="46">
                  <c:v>83.017838779278947</c:v>
                </c:pt>
                <c:pt idx="47">
                  <c:v>82.789296316029009</c:v>
                </c:pt>
                <c:pt idx="48">
                  <c:v>82.559861410476117</c:v>
                </c:pt>
                <c:pt idx="49">
                  <c:v>82.329539923279739</c:v>
                </c:pt>
                <c:pt idx="50">
                  <c:v>82.098337710292839</c:v>
                </c:pt>
                <c:pt idx="51">
                  <c:v>81.92020125806971</c:v>
                </c:pt>
                <c:pt idx="52">
                  <c:v>81.795214933886911</c:v>
                </c:pt>
                <c:pt idx="53">
                  <c:v>81.669470669018992</c:v>
                </c:pt>
                <c:pt idx="54">
                  <c:v>81.542971366585377</c:v>
                </c:pt>
                <c:pt idx="55">
                  <c:v>81.415719936125555</c:v>
                </c:pt>
                <c:pt idx="56">
                  <c:v>81.287719294862612</c:v>
                </c:pt>
                <c:pt idx="57">
                  <c:v>81.15897236883734</c:v>
                </c:pt>
                <c:pt idx="58">
                  <c:v>81.029482093926021</c:v>
                </c:pt>
                <c:pt idx="59">
                  <c:v>80.899251416753813</c:v>
                </c:pt>
                <c:pt idx="60">
                  <c:v>80.768283295513982</c:v>
                </c:pt>
                <c:pt idx="61">
                  <c:v>80.636580700702069</c:v>
                </c:pt>
                <c:pt idx="62">
                  <c:v>80.504146615773195</c:v>
                </c:pt>
                <c:pt idx="63">
                  <c:v>80.3709840377295</c:v>
                </c:pt>
                <c:pt idx="64">
                  <c:v>80.237095977644287</c:v>
                </c:pt>
                <c:pt idx="65">
                  <c:v>80.102485461128595</c:v>
                </c:pt>
                <c:pt idx="66">
                  <c:v>79.96715552874501</c:v>
                </c:pt>
                <c:pt idx="67">
                  <c:v>79.831109236373777</c:v>
                </c:pt>
                <c:pt idx="68">
                  <c:v>79.694349655534779</c:v>
                </c:pt>
                <c:pt idx="69">
                  <c:v>79.556879873669573</c:v>
                </c:pt>
                <c:pt idx="70">
                  <c:v>79.418702994386209</c:v>
                </c:pt>
                <c:pt idx="71">
                  <c:v>79.279822137670536</c:v>
                </c:pt>
                <c:pt idx="72">
                  <c:v>79.140240440066137</c:v>
                </c:pt>
                <c:pt idx="73">
                  <c:v>78.99996105482542</c:v>
                </c:pt>
                <c:pt idx="74">
                  <c:v>78.858987152034459</c:v>
                </c:pt>
                <c:pt idx="75">
                  <c:v>78.71732191871304</c:v>
                </c:pt>
                <c:pt idx="76">
                  <c:v>78.574968558892351</c:v>
                </c:pt>
                <c:pt idx="77">
                  <c:v>78.431930293671286</c:v>
                </c:pt>
                <c:pt idx="78">
                  <c:v>78.288210361253576</c:v>
                </c:pt>
                <c:pt idx="79">
                  <c:v>78.143812016966635</c:v>
                </c:pt>
                <c:pt idx="80">
                  <c:v>77.998738533263662</c:v>
                </c:pt>
                <c:pt idx="81">
                  <c:v>77.852993199709971</c:v>
                </c:pt>
                <c:pt idx="82">
                  <c:v>77.706579322954823</c:v>
                </c:pt>
                <c:pt idx="83">
                  <c:v>77.559500226689622</c:v>
                </c:pt>
                <c:pt idx="84">
                  <c:v>77.411759251593111</c:v>
                </c:pt>
                <c:pt idx="85">
                  <c:v>77.26335975526527</c:v>
                </c:pt>
                <c:pt idx="86">
                  <c:v>77.114305112149339</c:v>
                </c:pt>
                <c:pt idx="87">
                  <c:v>76.96459871344392</c:v>
                </c:pt>
                <c:pt idx="88">
                  <c:v>76.814243967005154</c:v>
                </c:pt>
                <c:pt idx="89">
                  <c:v>76.663244297239714</c:v>
                </c:pt>
                <c:pt idx="90">
                  <c:v>76.511603144989081</c:v>
                </c:pt>
                <c:pt idx="91">
                  <c:v>76.359323967405913</c:v>
                </c:pt>
                <c:pt idx="92">
                  <c:v>76.206410237822666</c:v>
                </c:pt>
                <c:pt idx="93">
                  <c:v>76.05286544561298</c:v>
                </c:pt>
                <c:pt idx="94">
                  <c:v>75.898693096046586</c:v>
                </c:pt>
                <c:pt idx="95">
                  <c:v>75.743896710137506</c:v>
                </c:pt>
                <c:pt idx="96">
                  <c:v>75.588479824486484</c:v>
                </c:pt>
                <c:pt idx="97">
                  <c:v>75.432445991117632</c:v>
                </c:pt>
                <c:pt idx="98">
                  <c:v>75.275798777309873</c:v>
                </c:pt>
                <c:pt idx="99">
                  <c:v>75.118541765423132</c:v>
                </c:pt>
                <c:pt idx="100">
                  <c:v>74.960678552719912</c:v>
                </c:pt>
                <c:pt idx="101">
                  <c:v>74.777327509035658</c:v>
                </c:pt>
                <c:pt idx="102">
                  <c:v>74.56846812785767</c:v>
                </c:pt>
                <c:pt idx="103">
                  <c:v>74.358987801074107</c:v>
                </c:pt>
                <c:pt idx="104">
                  <c:v>74.1488914719109</c:v>
                </c:pt>
                <c:pt idx="105">
                  <c:v>73.938184094537519</c:v>
                </c:pt>
                <c:pt idx="106">
                  <c:v>73.726870633761607</c:v>
                </c:pt>
                <c:pt idx="107">
                  <c:v>73.514956064720934</c:v>
                </c:pt>
                <c:pt idx="108">
                  <c:v>73.302445372572436</c:v>
                </c:pt>
                <c:pt idx="109">
                  <c:v>73.089343552179244</c:v>
                </c:pt>
                <c:pt idx="110">
                  <c:v>72.875655607794897</c:v>
                </c:pt>
                <c:pt idx="111">
                  <c:v>72.661386552745967</c:v>
                </c:pt>
                <c:pt idx="112">
                  <c:v>72.44654140911247</c:v>
                </c:pt>
                <c:pt idx="113">
                  <c:v>72.231125207406762</c:v>
                </c:pt>
                <c:pt idx="114">
                  <c:v>72.015142986250652</c:v>
                </c:pt>
                <c:pt idx="115">
                  <c:v>71.798599792051277</c:v>
                </c:pt>
                <c:pt idx="116">
                  <c:v>71.581500678675525</c:v>
                </c:pt>
                <c:pt idx="117">
                  <c:v>71.363850707123476</c:v>
                </c:pt>
                <c:pt idx="118">
                  <c:v>71.145654945200519</c:v>
                </c:pt>
                <c:pt idx="119">
                  <c:v>70.92691846718904</c:v>
                </c:pt>
                <c:pt idx="120">
                  <c:v>70.707646353518882</c:v>
                </c:pt>
                <c:pt idx="121">
                  <c:v>70.487843690437344</c:v>
                </c:pt>
                <c:pt idx="122">
                  <c:v>70.267515569678764</c:v>
                </c:pt>
                <c:pt idx="123">
                  <c:v>70.046667088133248</c:v>
                </c:pt>
                <c:pt idx="124">
                  <c:v>69.8253033475156</c:v>
                </c:pt>
                <c:pt idx="125">
                  <c:v>69.60342945403346</c:v>
                </c:pt>
                <c:pt idx="126">
                  <c:v>69.381050518055702</c:v>
                </c:pt>
                <c:pt idx="127">
                  <c:v>69.158171653780627</c:v>
                </c:pt>
                <c:pt idx="128">
                  <c:v>68.934797978904115</c:v>
                </c:pt>
                <c:pt idx="129">
                  <c:v>68.710934614287922</c:v>
                </c:pt>
                <c:pt idx="130">
                  <c:v>68.486586683628317</c:v>
                </c:pt>
                <c:pt idx="131">
                  <c:v>68.261759313124827</c:v>
                </c:pt>
                <c:pt idx="132">
                  <c:v>68.036457631149389</c:v>
                </c:pt>
                <c:pt idx="133">
                  <c:v>67.810686767915968</c:v>
                </c:pt>
                <c:pt idx="134">
                  <c:v>67.584451855150604</c:v>
                </c:pt>
                <c:pt idx="135">
                  <c:v>67.357758025762024</c:v>
                </c:pt>
                <c:pt idx="136">
                  <c:v>67.130610413513125</c:v>
                </c:pt>
                <c:pt idx="137">
                  <c:v>66.903014152692748</c:v>
                </c:pt>
                <c:pt idx="138">
                  <c:v>66.674974377788601</c:v>
                </c:pt>
                <c:pt idx="139">
                  <c:v>66.446496223160779</c:v>
                </c:pt>
                <c:pt idx="140">
                  <c:v>66.217584822716262</c:v>
                </c:pt>
                <c:pt idx="141">
                  <c:v>65.988245309584443</c:v>
                </c:pt>
                <c:pt idx="142">
                  <c:v>65.758482815793442</c:v>
                </c:pt>
                <c:pt idx="143">
                  <c:v>65.528302471947768</c:v>
                </c:pt>
                <c:pt idx="144">
                  <c:v>65.297709406906847</c:v>
                </c:pt>
                <c:pt idx="145">
                  <c:v>65.066708747464801</c:v>
                </c:pt>
                <c:pt idx="146">
                  <c:v>64.835305618031583</c:v>
                </c:pt>
                <c:pt idx="147">
                  <c:v>64.603505140315207</c:v>
                </c:pt>
                <c:pt idx="148">
                  <c:v>64.371312433005315</c:v>
                </c:pt>
                <c:pt idx="149">
                  <c:v>64.138732611458295</c:v>
                </c:pt>
                <c:pt idx="150">
                  <c:v>63.905770787383474</c:v>
                </c:pt>
                <c:pt idx="151">
                  <c:v>63.680902259817657</c:v>
                </c:pt>
                <c:pt idx="152">
                  <c:v>63.464135952755214</c:v>
                </c:pt>
                <c:pt idx="153">
                  <c:v>63.247003577625875</c:v>
                </c:pt>
                <c:pt idx="154">
                  <c:v>63.029509823147883</c:v>
                </c:pt>
                <c:pt idx="155">
                  <c:v>62.811659374936255</c:v>
                </c:pt>
                <c:pt idx="156">
                  <c:v>62.593456915225914</c:v>
                </c:pt>
                <c:pt idx="157">
                  <c:v>62.374907122596028</c:v>
                </c:pt>
                <c:pt idx="158">
                  <c:v>62.156014671695829</c:v>
                </c:pt>
                <c:pt idx="159">
                  <c:v>61.936784232971618</c:v>
                </c:pt>
                <c:pt idx="160">
                  <c:v>61.717220472395496</c:v>
                </c:pt>
                <c:pt idx="161">
                  <c:v>61.497328051195353</c:v>
                </c:pt>
                <c:pt idx="162">
                  <c:v>61.277111625586393</c:v>
                </c:pt>
                <c:pt idx="163">
                  <c:v>61.056575846504174</c:v>
                </c:pt>
                <c:pt idx="164">
                  <c:v>60.835725359339364</c:v>
                </c:pt>
                <c:pt idx="165">
                  <c:v>60.614564803673737</c:v>
                </c:pt>
                <c:pt idx="166">
                  <c:v>60.393098813018177</c:v>
                </c:pt>
                <c:pt idx="167">
                  <c:v>60.171332014552107</c:v>
                </c:pt>
                <c:pt idx="168">
                  <c:v>59.949269028864549</c:v>
                </c:pt>
                <c:pt idx="169">
                  <c:v>59.726914469697057</c:v>
                </c:pt>
                <c:pt idx="170">
                  <c:v>59.5042729436882</c:v>
                </c:pt>
                <c:pt idx="171">
                  <c:v>59.28134905011995</c:v>
                </c:pt>
                <c:pt idx="172">
                  <c:v>59.058147380665687</c:v>
                </c:pt>
                <c:pt idx="173">
                  <c:v>58.834672519140099</c:v>
                </c:pt>
                <c:pt idx="174">
                  <c:v>58.610929041250955</c:v>
                </c:pt>
                <c:pt idx="175">
                  <c:v>58.386921514352565</c:v>
                </c:pt>
                <c:pt idx="176">
                  <c:v>58.162654497201181</c:v>
                </c:pt>
                <c:pt idx="177">
                  <c:v>57.938132539712406</c:v>
                </c:pt>
                <c:pt idx="178">
                  <c:v>57.713360182720265</c:v>
                </c:pt>
                <c:pt idx="179">
                  <c:v>57.488341957738427</c:v>
                </c:pt>
                <c:pt idx="180">
                  <c:v>57.263082386723312</c:v>
                </c:pt>
                <c:pt idx="181">
                  <c:v>57.037585981839037</c:v>
                </c:pt>
                <c:pt idx="182">
                  <c:v>56.811857245224566</c:v>
                </c:pt>
                <c:pt idx="183">
                  <c:v>56.585900668762768</c:v>
                </c:pt>
                <c:pt idx="184">
                  <c:v>56.359720733851404</c:v>
                </c:pt>
                <c:pt idx="185">
                  <c:v>56.133321911176274</c:v>
                </c:pt>
                <c:pt idx="186">
                  <c:v>55.90670866048643</c:v>
                </c:pt>
                <c:pt idx="187">
                  <c:v>55.679885430371371</c:v>
                </c:pt>
                <c:pt idx="188">
                  <c:v>55.452856658040353</c:v>
                </c:pt>
                <c:pt idx="189">
                  <c:v>55.225626769103968</c:v>
                </c:pt>
                <c:pt idx="190">
                  <c:v>54.998200177357489</c:v>
                </c:pt>
                <c:pt idx="191">
                  <c:v>54.770581284566717</c:v>
                </c:pt>
                <c:pt idx="192">
                  <c:v>54.542774480255702</c:v>
                </c:pt>
                <c:pt idx="193">
                  <c:v>54.314784141496894</c:v>
                </c:pt>
                <c:pt idx="194">
                  <c:v>54.086614632703096</c:v>
                </c:pt>
                <c:pt idx="195">
                  <c:v>53.858270305421982</c:v>
                </c:pt>
                <c:pt idx="196">
                  <c:v>53.629755498132539</c:v>
                </c:pt>
                <c:pt idx="197">
                  <c:v>53.401074536043851</c:v>
                </c:pt>
                <c:pt idx="198">
                  <c:v>53.172231730896016</c:v>
                </c:pt>
                <c:pt idx="199">
                  <c:v>52.94323138076345</c:v>
                </c:pt>
                <c:pt idx="200">
                  <c:v>52.71407776986014</c:v>
                </c:pt>
                <c:pt idx="201">
                  <c:v>52.484775168347426</c:v>
                </c:pt>
                <c:pt idx="202">
                  <c:v>52.255327832143891</c:v>
                </c:pt>
                <c:pt idx="203">
                  <c:v>52.025740002737592</c:v>
                </c:pt>
                <c:pt idx="204">
                  <c:v>51.796015907000374</c:v>
                </c:pt>
                <c:pt idx="205">
                  <c:v>51.566159757004812</c:v>
                </c:pt>
                <c:pt idx="206">
                  <c:v>51.336175749843022</c:v>
                </c:pt>
                <c:pt idx="207">
                  <c:v>51.106068067447993</c:v>
                </c:pt>
                <c:pt idx="208">
                  <c:v>50.875840876417385</c:v>
                </c:pt>
                <c:pt idx="209">
                  <c:v>50.645498327839135</c:v>
                </c:pt>
                <c:pt idx="210">
                  <c:v>50.415044557119906</c:v>
                </c:pt>
                <c:pt idx="211">
                  <c:v>50.184483683815429</c:v>
                </c:pt>
                <c:pt idx="212">
                  <c:v>49.953819811463482</c:v>
                </c:pt>
                <c:pt idx="213">
                  <c:v>49.723057027418939</c:v>
                </c:pt>
                <c:pt idx="214">
                  <c:v>49.492199402691284</c:v>
                </c:pt>
                <c:pt idx="215">
                  <c:v>49.261250991784443</c:v>
                </c:pt>
                <c:pt idx="216">
                  <c:v>49.030215832538815</c:v>
                </c:pt>
                <c:pt idx="217">
                  <c:v>48.799097945975873</c:v>
                </c:pt>
                <c:pt idx="218">
                  <c:v>48.567901336144871</c:v>
                </c:pt>
                <c:pt idx="219">
                  <c:v>48.336629989971954</c:v>
                </c:pt>
                <c:pt idx="220">
                  <c:v>48.105287877111728</c:v>
                </c:pt>
                <c:pt idx="221">
                  <c:v>47.873878949800911</c:v>
                </c:pt>
                <c:pt idx="222">
                  <c:v>47.642407142714653</c:v>
                </c:pt>
                <c:pt idx="223">
                  <c:v>47.410876372824831</c:v>
                </c:pt>
                <c:pt idx="224">
                  <c:v>47.179290539260982</c:v>
                </c:pt>
                <c:pt idx="225">
                  <c:v>46.947653523173429</c:v>
                </c:pt>
                <c:pt idx="226">
                  <c:v>46.715969187598702</c:v>
                </c:pt>
                <c:pt idx="227">
                  <c:v>46.484241377327436</c:v>
                </c:pt>
                <c:pt idx="228">
                  <c:v>46.252473918774442</c:v>
                </c:pt>
                <c:pt idx="229">
                  <c:v>46.020670619851231</c:v>
                </c:pt>
                <c:pt idx="230">
                  <c:v>45.788835269840817</c:v>
                </c:pt>
                <c:pt idx="231">
                  <c:v>45.556971639274757</c:v>
                </c:pt>
                <c:pt idx="232">
                  <c:v>45.325083479812797</c:v>
                </c:pt>
                <c:pt idx="233">
                  <c:v>45.093174524124393</c:v>
                </c:pt>
                <c:pt idx="234">
                  <c:v>44.861248485772954</c:v>
                </c:pt>
                <c:pt idx="235">
                  <c:v>44.629309059102148</c:v>
                </c:pt>
                <c:pt idx="236">
                  <c:v>44.397359919124646</c:v>
                </c:pt>
                <c:pt idx="237">
                  <c:v>44.165404721413069</c:v>
                </c:pt>
                <c:pt idx="238">
                  <c:v>43.933447101993288</c:v>
                </c:pt>
                <c:pt idx="239">
                  <c:v>43.701490677240017</c:v>
                </c:pt>
                <c:pt idx="240">
                  <c:v>43.46953904377466</c:v>
                </c:pt>
                <c:pt idx="241">
                  <c:v>43.237595778365431</c:v>
                </c:pt>
                <c:pt idx="242">
                  <c:v>43.005664437829807</c:v>
                </c:pt>
                <c:pt idx="243">
                  <c:v>42.773748558939161</c:v>
                </c:pt>
                <c:pt idx="244">
                  <c:v>42.541851658325683</c:v>
                </c:pt>
                <c:pt idx="245">
                  <c:v>42.309977232391688</c:v>
                </c:pt>
                <c:pt idx="246">
                  <c:v>42.078128757220846</c:v>
                </c:pt>
                <c:pt idx="247">
                  <c:v>41.846309688492049</c:v>
                </c:pt>
                <c:pt idx="248">
                  <c:v>41.61452346139513</c:v>
                </c:pt>
                <c:pt idx="249">
                  <c:v>41.382773490549098</c:v>
                </c:pt>
                <c:pt idx="250">
                  <c:v>41.151063169922416</c:v>
                </c:pt>
                <c:pt idx="251">
                  <c:v>40.882858157201447</c:v>
                </c:pt>
                <c:pt idx="252">
                  <c:v>40.578177635192304</c:v>
                </c:pt>
                <c:pt idx="253">
                  <c:v>40.273602800496903</c:v>
                </c:pt>
                <c:pt idx="254">
                  <c:v>39.969138256469513</c:v>
                </c:pt>
                <c:pt idx="255">
                  <c:v>39.664788571046401</c:v>
                </c:pt>
                <c:pt idx="256">
                  <c:v>39.360558276663085</c:v>
                </c:pt>
                <c:pt idx="257">
                  <c:v>39.056451870175621</c:v>
                </c:pt>
                <c:pt idx="258">
                  <c:v>38.752473812785766</c:v>
                </c:pt>
                <c:pt idx="259">
                  <c:v>38.448628529969824</c:v>
                </c:pt>
                <c:pt idx="260">
                  <c:v>38.144920411411668</c:v>
                </c:pt>
                <c:pt idx="261">
                  <c:v>37.841353810939239</c:v>
                </c:pt>
                <c:pt idx="262">
                  <c:v>37.537933046465049</c:v>
                </c:pt>
                <c:pt idx="263">
                  <c:v>37.234662399930336</c:v>
                </c:pt>
                <c:pt idx="264">
                  <c:v>36.931546117253063</c:v>
                </c:pt>
                <c:pt idx="265">
                  <c:v>36.628588408279455</c:v>
                </c:pt>
                <c:pt idx="266">
                  <c:v>36.325793446739397</c:v>
                </c:pt>
                <c:pt idx="267">
                  <c:v>36.023165370205298</c:v>
                </c:pt>
                <c:pt idx="268">
                  <c:v>35.720708280054751</c:v>
                </c:pt>
                <c:pt idx="269">
                  <c:v>35.41842624143667</c:v>
                </c:pt>
                <c:pt idx="270">
                  <c:v>35.116323283240988</c:v>
                </c:pt>
                <c:pt idx="271">
                  <c:v>34.814403398071917</c:v>
                </c:pt>
                <c:pt idx="272">
                  <c:v>34.51267054222474</c:v>
                </c:pt>
                <c:pt idx="273">
                  <c:v>34.211128635665986</c:v>
                </c:pt>
                <c:pt idx="274">
                  <c:v>33.909781562017137</c:v>
                </c:pt>
                <c:pt idx="275">
                  <c:v>33.608633168541665</c:v>
                </c:pt>
                <c:pt idx="276">
                  <c:v>33.307687266135495</c:v>
                </c:pt>
                <c:pt idx="277">
                  <c:v>33.006947629320813</c:v>
                </c:pt>
                <c:pt idx="278">
                  <c:v>32.706417996243147</c:v>
                </c:pt>
                <c:pt idx="279">
                  <c:v>32.406102068671757</c:v>
                </c:pt>
                <c:pt idx="280">
                  <c:v>32.106003512003326</c:v>
                </c:pt>
                <c:pt idx="281">
                  <c:v>31.806125955268755</c:v>
                </c:pt>
                <c:pt idx="282">
                  <c:v>31.506472991143248</c:v>
                </c:pt>
                <c:pt idx="283">
                  <c:v>31.207048175959518</c:v>
                </c:pt>
                <c:pt idx="284">
                  <c:v>30.907855029724061</c:v>
                </c:pt>
                <c:pt idx="285">
                  <c:v>30.608897036136629</c:v>
                </c:pt>
                <c:pt idx="286">
                  <c:v>30.310177642612636</c:v>
                </c:pt>
                <c:pt idx="287">
                  <c:v>30.011700260308693</c:v>
                </c:pt>
                <c:pt idx="288">
                  <c:v>29.713468264151047</c:v>
                </c:pt>
                <c:pt idx="289">
                  <c:v>29.415484992867004</c:v>
                </c:pt>
                <c:pt idx="290">
                  <c:v>29.117753749019322</c:v>
                </c:pt>
                <c:pt idx="291">
                  <c:v>28.820277799043453</c:v>
                </c:pt>
                <c:pt idx="292">
                  <c:v>28.523060373287578</c:v>
                </c:pt>
                <c:pt idx="293">
                  <c:v>28.226104666055562</c:v>
                </c:pt>
                <c:pt idx="294">
                  <c:v>27.92941383565271</c:v>
                </c:pt>
                <c:pt idx="295">
                  <c:v>27.63299100443411</c:v>
                </c:pt>
                <c:pt idx="296">
                  <c:v>27.336839258855878</c:v>
                </c:pt>
                <c:pt idx="297">
                  <c:v>27.040961649529056</c:v>
                </c:pt>
                <c:pt idx="298">
                  <c:v>26.344433192737654</c:v>
                </c:pt>
                <c:pt idx="299">
                  <c:v>25.247601334865806</c:v>
                </c:pt>
                <c:pt idx="300">
                  <c:v>24.151963641520631</c:v>
                </c:pt>
                <c:pt idx="301">
                  <c:v>23.057543387472283</c:v>
                </c:pt>
                <c:pt idx="302">
                  <c:v>21.964363415061001</c:v>
                </c:pt>
                <c:pt idx="303">
                  <c:v>20.872446134844488</c:v>
                </c:pt>
                <c:pt idx="304">
                  <c:v>19.781813526320725</c:v>
                </c:pt>
                <c:pt idx="305">
                  <c:v>18.69248713872474</c:v>
                </c:pt>
                <c:pt idx="306">
                  <c:v>17.604488091898276</c:v>
                </c:pt>
                <c:pt idx="307">
                  <c:v>16.517837077230467</c:v>
                </c:pt>
                <c:pt idx="308">
                  <c:v>15.432554358668517</c:v>
                </c:pt>
                <c:pt idx="309">
                  <c:v>14.348659773796777</c:v>
                </c:pt>
                <c:pt idx="310">
                  <c:v>13.266172734982829</c:v>
                </c:pt>
                <c:pt idx="311">
                  <c:v>12.185112230589219</c:v>
                </c:pt>
                <c:pt idx="312">
                  <c:v>11.105496826249347</c:v>
                </c:pt>
                <c:pt idx="313">
                  <c:v>10.02734466620611</c:v>
                </c:pt>
                <c:pt idx="314">
                  <c:v>8.9506734747120014</c:v>
                </c:pt>
                <c:pt idx="315">
                  <c:v>7.8755005574889836</c:v>
                </c:pt>
                <c:pt idx="316">
                  <c:v>6.8018428032469949</c:v>
                </c:pt>
                <c:pt idx="317">
                  <c:v>5.729716685259552</c:v>
                </c:pt>
                <c:pt idx="318">
                  <c:v>4.6591382629949525</c:v>
                </c:pt>
                <c:pt idx="319">
                  <c:v>3.590123183801877</c:v>
                </c:pt>
                <c:pt idx="320">
                  <c:v>2.5226866846477627</c:v>
                </c:pt>
                <c:pt idx="321">
                  <c:v>1.6162644755107269</c:v>
                </c:pt>
                <c:pt idx="322">
                  <c:v>0.87064924792096043</c:v>
                </c:pt>
                <c:pt idx="323">
                  <c:v>0.12616400457290311</c:v>
                </c:pt>
                <c:pt idx="324">
                  <c:v>-0.61718516363090181</c:v>
                </c:pt>
                <c:pt idx="325">
                  <c:v>-1.3593923613041046</c:v>
                </c:pt>
                <c:pt idx="326">
                  <c:v>-2.1004518874732501</c:v>
                </c:pt>
                <c:pt idx="327">
                  <c:v>-2.8403582344618075</c:v>
                </c:pt>
                <c:pt idx="328">
                  <c:v>-3.5791060867617723</c:v>
                </c:pt>
                <c:pt idx="329">
                  <c:v>-4.3166903198933477</c:v>
                </c:pt>
                <c:pt idx="330">
                  <c:v>-5.0531059992531322</c:v>
                </c:pt>
                <c:pt idx="331">
                  <c:v>-5.7883483789513406</c:v>
                </c:pt>
                <c:pt idx="332">
                  <c:v>-6.5224129006384519</c:v>
                </c:pt>
                <c:pt idx="333">
                  <c:v>-7.2552951923217286</c:v>
                </c:pt>
                <c:pt idx="334">
                  <c:v>-7.9869910671720934</c:v>
                </c:pt>
                <c:pt idx="335">
                  <c:v>-8.7174965223217491</c:v>
                </c:pt>
                <c:pt idx="336">
                  <c:v>-9.4468077376529802</c:v>
                </c:pt>
                <c:pt idx="337">
                  <c:v>-10.174921074578647</c:v>
                </c:pt>
                <c:pt idx="338">
                  <c:v>-10.901833074814673</c:v>
                </c:pt>
                <c:pt idx="339">
                  <c:v>-11.627540459145006</c:v>
                </c:pt>
                <c:pt idx="340">
                  <c:v>-12.352040126179485</c:v>
                </c:pt>
                <c:pt idx="341">
                  <c:v>-13.075329151105011</c:v>
                </c:pt>
                <c:pt idx="342">
                  <c:v>-13.797404784430427</c:v>
                </c:pt>
                <c:pt idx="343">
                  <c:v>-14.518264450725415</c:v>
                </c:pt>
                <c:pt idx="344">
                  <c:v>-15.237905747354038</c:v>
                </c:pt>
                <c:pt idx="345">
                  <c:v>-15.95632644320307</c:v>
                </c:pt>
                <c:pt idx="346">
                  <c:v>-16.673524477405604</c:v>
                </c:pt>
                <c:pt idx="347">
                  <c:v>-17.389497958060399</c:v>
                </c:pt>
                <c:pt idx="348">
                  <c:v>-18.08705454288819</c:v>
                </c:pt>
                <c:pt idx="349">
                  <c:v>-18.76622288072997</c:v>
                </c:pt>
                <c:pt idx="350">
                  <c:v>-19.444223927211432</c:v>
                </c:pt>
                <c:pt idx="351">
                  <c:v>-20.121056845103347</c:v>
                </c:pt>
                <c:pt idx="352">
                  <c:v>-20.796720943252971</c:v>
                </c:pt>
                <c:pt idx="353">
                  <c:v>-21.471215675404487</c:v>
                </c:pt>
                <c:pt idx="354">
                  <c:v>-22.144540639018203</c:v>
                </c:pt>
                <c:pt idx="355">
                  <c:v>-22.816695574089298</c:v>
                </c:pt>
                <c:pt idx="356">
                  <c:v>-23.48768036196612</c:v>
                </c:pt>
                <c:pt idx="357">
                  <c:v>-24.157495024168561</c:v>
                </c:pt>
                <c:pt idx="358">
                  <c:v>-24.826139721206431</c:v>
                </c:pt>
                <c:pt idx="359">
                  <c:v>-25.493614751398525</c:v>
                </c:pt>
                <c:pt idx="360">
                  <c:v>-25.802411104472633</c:v>
                </c:pt>
                <c:pt idx="361">
                  <c:v>-25.753201361437128</c:v>
                </c:pt>
                <c:pt idx="362">
                  <c:v>-25.704164671299647</c:v>
                </c:pt>
                <c:pt idx="363">
                  <c:v>-25.655300221479344</c:v>
                </c:pt>
                <c:pt idx="364">
                  <c:v>-25.606607204173358</c:v>
                </c:pt>
                <c:pt idx="365">
                  <c:v>-25.558084816322776</c:v>
                </c:pt>
                <c:pt idx="366">
                  <c:v>-25.509732259578975</c:v>
                </c:pt>
                <c:pt idx="367">
                  <c:v>-25.461548740270175</c:v>
                </c:pt>
                <c:pt idx="368">
                  <c:v>-25.413533469368257</c:v>
                </c:pt>
                <c:pt idx="369">
                  <c:v>-25.365685662455917</c:v>
                </c:pt>
                <c:pt idx="370">
                  <c:v>-25.318004539694019</c:v>
                </c:pt>
                <c:pt idx="371">
                  <c:v>-25.270489325789278</c:v>
                </c:pt>
                <c:pt idx="372">
                  <c:v>-25.22313924996217</c:v>
                </c:pt>
                <c:pt idx="373">
                  <c:v>-25.175953545915128</c:v>
                </c:pt>
                <c:pt idx="374">
                  <c:v>-25.12893145180098</c:v>
                </c:pt>
                <c:pt idx="375">
                  <c:v>-25.082072210191669</c:v>
                </c:pt>
                <c:pt idx="376">
                  <c:v>-25.035375068047188</c:v>
                </c:pt>
                <c:pt idx="377">
                  <c:v>-24.988839276684818</c:v>
                </c:pt>
                <c:pt idx="378">
                  <c:v>-24.942464091748601</c:v>
                </c:pt>
                <c:pt idx="379">
                  <c:v>-24.896248773179035</c:v>
                </c:pt>
                <c:pt idx="380">
                  <c:v>-24.850192585183052</c:v>
                </c:pt>
                <c:pt idx="381">
                  <c:v>-24.804294796204221</c:v>
                </c:pt>
                <c:pt idx="382">
                  <c:v>-24.758554678893198</c:v>
                </c:pt>
                <c:pt idx="383">
                  <c:v>-24.712971510078422</c:v>
                </c:pt>
                <c:pt idx="384">
                  <c:v>-24.667544570737022</c:v>
                </c:pt>
                <c:pt idx="385">
                  <c:v>-24.622273145966002</c:v>
                </c:pt>
                <c:pt idx="386">
                  <c:v>-24.577156524953633</c:v>
                </c:pt>
                <c:pt idx="387">
                  <c:v>-24.532194000951073</c:v>
                </c:pt>
                <c:pt idx="388">
                  <c:v>-24.487384871244188</c:v>
                </c:pt>
                <c:pt idx="389">
                  <c:v>-24.442728437125737</c:v>
                </c:pt>
                <c:pt idx="390">
                  <c:v>-24.398224003867561</c:v>
                </c:pt>
                <c:pt idx="391">
                  <c:v>-24.353870880693183</c:v>
                </c:pt>
                <c:pt idx="392">
                  <c:v>-24.309668380750526</c:v>
                </c:pt>
                <c:pt idx="393">
                  <c:v>-24.265615821084921</c:v>
                </c:pt>
                <c:pt idx="394">
                  <c:v>-24.221712522612233</c:v>
                </c:pt>
                <c:pt idx="395">
                  <c:v>-24.177957810092323</c:v>
                </c:pt>
                <c:pt idx="396">
                  <c:v>-24.134351012102613</c:v>
                </c:pt>
                <c:pt idx="397">
                  <c:v>-24.090891461011935</c:v>
                </c:pt>
                <c:pt idx="398">
                  <c:v>-24.04757849295456</c:v>
                </c:pt>
                <c:pt idx="399">
                  <c:v>-24.004411447804408</c:v>
                </c:pt>
                <c:pt idx="400">
                  <c:v>-23.961389669149533</c:v>
                </c:pt>
                <c:pt idx="401">
                  <c:v>-23.918512504266761</c:v>
                </c:pt>
                <c:pt idx="402">
                  <c:v>-23.494424879922427</c:v>
                </c:pt>
                <c:pt idx="403">
                  <c:v>-23.084357681136339</c:v>
                </c:pt>
                <c:pt idx="404">
                  <c:v>-22.687696707644573</c:v>
                </c:pt>
                <c:pt idx="405">
                  <c:v>-22.303861042487028</c:v>
                </c:pt>
                <c:pt idx="406">
                  <c:v>-21.932300877983344</c:v>
                </c:pt>
                <c:pt idx="407">
                  <c:v>-21.572495504971144</c:v>
                </c:pt>
                <c:pt idx="408">
                  <c:v>-21.223951451318527</c:v>
                </c:pt>
                <c:pt idx="409">
                  <c:v>-20.886200757053683</c:v>
                </c:pt>
                <c:pt idx="410">
                  <c:v>-20.558799374647037</c:v>
                </c:pt>
                <c:pt idx="411">
                  <c:v>-20.241325684048142</c:v>
                </c:pt>
                <c:pt idx="412">
                  <c:v>-19.933379113037439</c:v>
                </c:pt>
                <c:pt idx="413">
                  <c:v>-19.63457885431286</c:v>
                </c:pt>
                <c:pt idx="414">
                  <c:v>-19.344562671504058</c:v>
                </c:pt>
                <c:pt idx="415">
                  <c:v>-19.062985787002837</c:v>
                </c:pt>
                <c:pt idx="416">
                  <c:v>-18.789519845125021</c:v>
                </c:pt>
                <c:pt idx="417">
                  <c:v>-18.523851944684303</c:v>
                </c:pt>
                <c:pt idx="418">
                  <c:v>-18.265683735568466</c:v>
                </c:pt>
                <c:pt idx="419">
                  <c:v>-18.014730574369818</c:v>
                </c:pt>
                <c:pt idx="420">
                  <c:v>-17.770720734538088</c:v>
                </c:pt>
                <c:pt idx="421">
                  <c:v>-17.533394666901618</c:v>
                </c:pt>
                <c:pt idx="422">
                  <c:v>-17.302504306744382</c:v>
                </c:pt>
                <c:pt idx="423">
                  <c:v>-17.07781242393612</c:v>
                </c:pt>
                <c:pt idx="424">
                  <c:v>-16.85909201289407</c:v>
                </c:pt>
                <c:pt idx="425">
                  <c:v>-16.646125719409621</c:v>
                </c:pt>
                <c:pt idx="426">
                  <c:v>-16.438705301605111</c:v>
                </c:pt>
                <c:pt idx="427">
                  <c:v>-16.236631122496327</c:v>
                </c:pt>
                <c:pt idx="428">
                  <c:v>-16.039711671827646</c:v>
                </c:pt>
                <c:pt idx="429">
                  <c:v>-15.847763115020555</c:v>
                </c:pt>
                <c:pt idx="430">
                  <c:v>-15.660608867234513</c:v>
                </c:pt>
                <c:pt idx="431">
                  <c:v>-15.478079190682852</c:v>
                </c:pt>
                <c:pt idx="432">
                  <c:v>-15.300010813476991</c:v>
                </c:pt>
                <c:pt idx="433">
                  <c:v>-15.126246568391068</c:v>
                </c:pt>
                <c:pt idx="434">
                  <c:v>-14.956635050046749</c:v>
                </c:pt>
                <c:pt idx="435">
                  <c:v>-14.791030289115879</c:v>
                </c:pt>
                <c:pt idx="436">
                  <c:v>-14.629291442226968</c:v>
                </c:pt>
                <c:pt idx="437">
                  <c:v>-14.471282496341772</c:v>
                </c:pt>
                <c:pt idx="438">
                  <c:v>-14.316871986440249</c:v>
                </c:pt>
                <c:pt idx="439">
                  <c:v>-14.165932725417212</c:v>
                </c:pt>
                <c:pt idx="440">
                  <c:v>-14.018341545152062</c:v>
                </c:pt>
                <c:pt idx="441">
                  <c:v>-13.87397904776482</c:v>
                </c:pt>
                <c:pt idx="442">
                  <c:v>-13.732729366117638</c:v>
                </c:pt>
                <c:pt idx="443">
                  <c:v>-13.59447993266115</c:v>
                </c:pt>
                <c:pt idx="444">
                  <c:v>-13.45912125576006</c:v>
                </c:pt>
                <c:pt idx="445">
                  <c:v>-13.32654670266238</c:v>
                </c:pt>
                <c:pt idx="446">
                  <c:v>-13.196652288301767</c:v>
                </c:pt>
                <c:pt idx="447">
                  <c:v>-13.069336469142993</c:v>
                </c:pt>
                <c:pt idx="448">
                  <c:v>-12.944499941296495</c:v>
                </c:pt>
                <c:pt idx="449">
                  <c:v>-12.822045442139665</c:v>
                </c:pt>
                <c:pt idx="450">
                  <c:v>-12.701877554689819</c:v>
                </c:pt>
                <c:pt idx="451">
                  <c:v>-12.583902513976987</c:v>
                </c:pt>
                <c:pt idx="452">
                  <c:v>-12.468028014663565</c:v>
                </c:pt>
                <c:pt idx="453">
                  <c:v>-12.354163019152828</c:v>
                </c:pt>
                <c:pt idx="454">
                  <c:v>-12.24221756541885</c:v>
                </c:pt>
                <c:pt idx="455">
                  <c:v>-12.132102573777184</c:v>
                </c:pt>
                <c:pt idx="456">
                  <c:v>-12.023729651797959</c:v>
                </c:pt>
                <c:pt idx="457">
                  <c:v>-11.917010896541537</c:v>
                </c:pt>
                <c:pt idx="458">
                  <c:v>-11.811858693271034</c:v>
                </c:pt>
                <c:pt idx="459">
                  <c:v>-11.708185509766173</c:v>
                </c:pt>
                <c:pt idx="460">
                  <c:v>-11.605903685329068</c:v>
                </c:pt>
                <c:pt idx="461">
                  <c:v>-11.504925213534577</c:v>
                </c:pt>
                <c:pt idx="462">
                  <c:v>-11.405161517736188</c:v>
                </c:pt>
                <c:pt idx="463">
                  <c:v>-11.306523218293107</c:v>
                </c:pt>
                <c:pt idx="464">
                  <c:v>-11.208919890435471</c:v>
                </c:pt>
                <c:pt idx="465">
                  <c:v>-11.112259811633301</c:v>
                </c:pt>
                <c:pt idx="466">
                  <c:v>-11.016449697280851</c:v>
                </c:pt>
                <c:pt idx="467">
                  <c:v>-10.921394423453133</c:v>
                </c:pt>
                <c:pt idx="468">
                  <c:v>-10.826996735435655</c:v>
                </c:pt>
                <c:pt idx="469">
                  <c:v>-10.733156940674267</c:v>
                </c:pt>
                <c:pt idx="470">
                  <c:v>-10.6397725847405</c:v>
                </c:pt>
                <c:pt idx="471">
                  <c:v>-10.546738108861799</c:v>
                </c:pt>
                <c:pt idx="472">
                  <c:v>-10.453944487528304</c:v>
                </c:pt>
                <c:pt idx="473">
                  <c:v>-10.361278844662429</c:v>
                </c:pt>
                <c:pt idx="474">
                  <c:v>-10.268624046828789</c:v>
                </c:pt>
                <c:pt idx="475">
                  <c:v>-10.175858271976571</c:v>
                </c:pt>
                <c:pt idx="476">
                  <c:v>-10.082854552250941</c:v>
                </c:pt>
                <c:pt idx="477">
                  <c:v>-9.9894802894943098</c:v>
                </c:pt>
                <c:pt idx="478">
                  <c:v>-9.8955967421928914</c:v>
                </c:pt>
                <c:pt idx="479">
                  <c:v>-9.8010584828230307</c:v>
                </c:pt>
                <c:pt idx="480">
                  <c:v>-9.7057128248316022</c:v>
                </c:pt>
                <c:pt idx="481">
                  <c:v>-9.6093992188656134</c:v>
                </c:pt>
                <c:pt idx="482">
                  <c:v>-9.5119486183721307</c:v>
                </c:pt>
                <c:pt idx="483">
                  <c:v>-9.4131828153494652</c:v>
                </c:pt>
                <c:pt idx="484">
                  <c:v>-9.3129137478786657</c:v>
                </c:pt>
                <c:pt idx="485">
                  <c:v>-9.2109427821409398</c:v>
                </c:pt>
                <c:pt idx="486">
                  <c:v>-9.1070599729790267</c:v>
                </c:pt>
                <c:pt idx="487">
                  <c:v>-9.0010433087427675</c:v>
                </c:pt>
                <c:pt idx="488">
                  <c:v>-8.8926579482341079</c:v>
                </c:pt>
                <c:pt idx="489">
                  <c:v>-8.7816554601038757</c:v>
                </c:pt>
                <c:pt idx="490">
                  <c:v>-8.6677730781297022</c:v>
                </c:pt>
                <c:pt idx="491">
                  <c:v>-8.5507329895046187</c:v>
                </c:pt>
                <c:pt idx="492">
                  <c:v>-8.4302416776760474</c:v>
                </c:pt>
                <c:pt idx="493">
                  <c:v>-8.3059893464816312</c:v>
                </c:pt>
                <c:pt idx="494">
                  <c:v>-8.1776494584110697</c:v>
                </c:pt>
                <c:pt idx="495">
                  <c:v>-8.0448784268449991</c:v>
                </c:pt>
                <c:pt idx="496">
                  <c:v>-7.9073155101172716</c:v>
                </c:pt>
                <c:pt idx="497">
                  <c:v>-7.7645829642019919</c:v>
                </c:pt>
                <c:pt idx="498">
                  <c:v>-7.6162865206576544</c:v>
                </c:pt>
                <c:pt idx="499">
                  <c:v>-7.4620162669819932</c:v>
                </c:pt>
                <c:pt idx="500">
                  <c:v>-7.3013480174187961</c:v>
                </c:pt>
                <c:pt idx="501">
                  <c:v>-7.1338452730050905</c:v>
                </c:pt>
                <c:pt idx="502">
                  <c:v>-6.9590618795135226</c:v>
                </c:pt>
                <c:pt idx="503">
                  <c:v>-6.7765454999051329</c:v>
                </c:pt>
                <c:pt idx="504">
                  <c:v>-6.5858420226019714</c:v>
                </c:pt>
                <c:pt idx="505">
                  <c:v>-6.3865010265872657</c:v>
                </c:pt>
                <c:pt idx="506">
                  <c:v>-6.1780824169341777</c:v>
                </c:pt>
                <c:pt idx="507">
                  <c:v>-5.9601643274030582</c:v>
                </c:pt>
                <c:pt idx="508">
                  <c:v>-5.732352357549038</c:v>
                </c:pt>
                <c:pt idx="509">
                  <c:v>-5.4942901676370592</c:v>
                </c:pt>
                <c:pt idx="510">
                  <c:v>-5.2456713931615111</c:v>
                </c:pt>
                <c:pt idx="511">
                  <c:v>-4.9862527602741933</c:v>
                </c:pt>
                <c:pt idx="512">
                  <c:v>-4.715868183678432</c:v>
                </c:pt>
                <c:pt idx="513">
                  <c:v>-4.4344435113838028</c:v>
                </c:pt>
                <c:pt idx="514">
                  <c:v>-4.1420114508056303</c:v>
                </c:pt>
                <c:pt idx="515">
                  <c:v>-3.8387260761716844</c:v>
                </c:pt>
                <c:pt idx="516">
                  <c:v>-3.5248761899899934</c:v>
                </c:pt>
                <c:pt idx="517">
                  <c:v>-3.2008967069326619</c:v>
                </c:pt>
                <c:pt idx="518">
                  <c:v>-2.8673771649814985</c:v>
                </c:pt>
                <c:pt idx="519">
                  <c:v>-2.525066464814655</c:v>
                </c:pt>
                <c:pt idx="520">
                  <c:v>-2.1748730107918353</c:v>
                </c:pt>
                <c:pt idx="521">
                  <c:v>-1.817859586502522</c:v>
                </c:pt>
                <c:pt idx="522">
                  <c:v>-1.4552325464866622</c:v>
                </c:pt>
                <c:pt idx="523">
                  <c:v>-1.0883252332245954</c:v>
                </c:pt>
                <c:pt idx="524">
                  <c:v>-0.71857591142399946</c:v>
                </c:pt>
                <c:pt idx="525">
                  <c:v>-0.34750091459926308</c:v>
                </c:pt>
                <c:pt idx="526">
                  <c:v>2.333592157702391E-2</c:v>
                </c:pt>
                <c:pt idx="527">
                  <c:v>0.39235615406618202</c:v>
                </c:pt>
                <c:pt idx="528">
                  <c:v>0.75800036836721585</c:v>
                </c:pt>
                <c:pt idx="529">
                  <c:v>1.118760902214025</c:v>
                </c:pt>
                <c:pt idx="530">
                  <c:v>1.4732120822442869</c:v>
                </c:pt>
                <c:pt idx="531">
                  <c:v>1.8200366115584685</c:v>
                </c:pt>
                <c:pt idx="532">
                  <c:v>2.1580470648903995</c:v>
                </c:pt>
                <c:pt idx="533">
                  <c:v>2.486201832448911</c:v>
                </c:pt>
                <c:pt idx="534">
                  <c:v>2.8036152577323046</c:v>
                </c:pt>
                <c:pt idx="535">
                  <c:v>3.1095620955085046</c:v>
                </c:pt>
                <c:pt idx="536">
                  <c:v>3.4034767389429965</c:v>
                </c:pt>
                <c:pt idx="537">
                  <c:v>3.6849479070327664</c:v>
                </c:pt>
                <c:pt idx="538">
                  <c:v>3.9537096358170656</c:v>
                </c:pt>
                <c:pt idx="539">
                  <c:v>4.2096294819516302</c:v>
                </c:pt>
                <c:pt idx="540">
                  <c:v>4.4526948368046506</c:v>
                </c:pt>
                <c:pt idx="541">
                  <c:v>4.6829981802997667</c:v>
                </c:pt>
                <c:pt idx="542">
                  <c:v>4.9007219952535559</c:v>
                </c:pt>
                <c:pt idx="543">
                  <c:v>5.1061239330273285</c:v>
                </c:pt>
                <c:pt idx="544">
                  <c:v>5.2995226853062984</c:v>
                </c:pt>
                <c:pt idx="545">
                  <c:v>5.481284886448746</c:v>
                </c:pt>
                <c:pt idx="546">
                  <c:v>5.651813254005468</c:v>
                </c:pt>
                <c:pt idx="547">
                  <c:v>5.8115360761251971</c:v>
                </c:pt>
                <c:pt idx="548">
                  <c:v>5.9608980752555389</c:v>
                </c:pt>
                <c:pt idx="549">
                  <c:v>6.1003526173882445</c:v>
                </c:pt>
                <c:pt idx="550">
                  <c:v>6.2303551933122634</c:v>
                </c:pt>
                <c:pt idx="551">
                  <c:v>6.3513580704287307</c:v>
                </c:pt>
                <c:pt idx="552">
                  <c:v>6.4638059978828668</c:v>
                </c:pt>
                <c:pt idx="553">
                  <c:v>6.5681328413673468</c:v>
                </c:pt>
                <c:pt idx="554">
                  <c:v>6.6647590244917811</c:v>
                </c:pt>
                <c:pt idx="555">
                  <c:v>6.7540896589896668</c:v>
                </c:pt>
                <c:pt idx="556">
                  <c:v>6.8365132545310843</c:v>
                </c:pt>
                <c:pt idx="557">
                  <c:v>6.9124009091843899</c:v>
                </c:pt>
                <c:pt idx="558">
                  <c:v>6.9821058926172856</c:v>
                </c:pt>
                <c:pt idx="559">
                  <c:v>7.0459635452262397</c:v>
                </c:pt>
                <c:pt idx="560">
                  <c:v>7.1042914270435684</c:v>
                </c:pt>
                <c:pt idx="561">
                  <c:v>7.157389660185971</c:v>
                </c:pt>
                <c:pt idx="562">
                  <c:v>7.2055414176040715</c:v>
                </c:pt>
                <c:pt idx="563">
                  <c:v>7.2490135188972076</c:v>
                </c:pt>
                <c:pt idx="564">
                  <c:v>7.2880571009663768</c:v>
                </c:pt>
                <c:pt idx="565">
                  <c:v>7.3229083373324304</c:v>
                </c:pt>
                <c:pt idx="566">
                  <c:v>7.3537891851146124</c:v>
                </c:pt>
                <c:pt idx="567">
                  <c:v>7.3809081430303838</c:v>
                </c:pt>
                <c:pt idx="568">
                  <c:v>7.4044610074305428</c:v>
                </c:pt>
                <c:pt idx="569">
                  <c:v>7.4246316164127206</c:v>
                </c:pt>
                <c:pt idx="570">
                  <c:v>7.4415925745469522</c:v>
                </c:pt>
                <c:pt idx="571">
                  <c:v>7.4555059527770204</c:v>
                </c:pt>
                <c:pt idx="572">
                  <c:v>7.4665239597014548</c:v>
                </c:pt>
                <c:pt idx="573">
                  <c:v>7.474789581751228</c:v>
                </c:pt>
                <c:pt idx="574">
                  <c:v>7.480437190821605</c:v>
                </c:pt>
                <c:pt idx="575">
                  <c:v>7.4835931187305222</c:v>
                </c:pt>
                <c:pt idx="576">
                  <c:v>7.4843761985056796</c:v>
                </c:pt>
                <c:pt idx="577">
                  <c:v>7.4828982729808837</c:v>
                </c:pt>
                <c:pt idx="578">
                  <c:v>7.4792646715381572</c:v>
                </c:pt>
                <c:pt idx="579">
                  <c:v>7.4735746560892951</c:v>
                </c:pt>
                <c:pt idx="580">
                  <c:v>7.4659218375688319</c:v>
                </c:pt>
                <c:pt idx="581">
                  <c:v>7.4563945643263061</c:v>
                </c:pt>
                <c:pt idx="582">
                  <c:v>7.4450762838723143</c:v>
                </c:pt>
                <c:pt idx="583">
                  <c:v>7.4320458794616053</c:v>
                </c:pt>
                <c:pt idx="584">
                  <c:v>7.4173779829957773</c:v>
                </c:pt>
                <c:pt idx="585">
                  <c:v>7.4011432657056222</c:v>
                </c:pt>
                <c:pt idx="586">
                  <c:v>7.3834087080342687</c:v>
                </c:pt>
                <c:pt idx="587">
                  <c:v>7.3642378500918539</c:v>
                </c:pt>
                <c:pt idx="588">
                  <c:v>7.3436910239939657</c:v>
                </c:pt>
                <c:pt idx="589">
                  <c:v>7.3218255693326331</c:v>
                </c:pt>
                <c:pt idx="590">
                  <c:v>7.2986960329622361</c:v>
                </c:pt>
                <c:pt idx="591">
                  <c:v>7.2743543542152231</c:v>
                </c:pt>
                <c:pt idx="592">
                  <c:v>7.2488500365952122</c:v>
                </c:pt>
                <c:pt idx="593">
                  <c:v>7.2222303069289939</c:v>
                </c:pt>
                <c:pt idx="594">
                  <c:v>7.1945402628946775</c:v>
                </c:pt>
                <c:pt idx="595">
                  <c:v>7.1658230097815041</c:v>
                </c:pt>
                <c:pt idx="596">
                  <c:v>7.1361197872777336</c:v>
                </c:pt>
                <c:pt idx="597">
                  <c:v>7.1054700870269754</c:v>
                </c:pt>
                <c:pt idx="598">
                  <c:v>7.0739117616404208</c:v>
                </c:pt>
                <c:pt idx="599">
                  <c:v>7.0414811258023651</c:v>
                </c:pt>
                <c:pt idx="600">
                  <c:v>7.0082130500598829</c:v>
                </c:pt>
                <c:pt idx="601">
                  <c:v>6.9741410478435739</c:v>
                </c:pt>
                <c:pt idx="602">
                  <c:v>6.9392973562256151</c:v>
                </c:pt>
                <c:pt idx="603">
                  <c:v>6.9037130108833136</c:v>
                </c:pt>
                <c:pt idx="604">
                  <c:v>6.8674179157010924</c:v>
                </c:pt>
                <c:pt idx="605">
                  <c:v>6.8304409074109866</c:v>
                </c:pt>
                <c:pt idx="606">
                  <c:v>6.7928098156415633</c:v>
                </c:pt>
                <c:pt idx="607">
                  <c:v>6.7545515187168164</c:v>
                </c:pt>
                <c:pt idx="608">
                  <c:v>6.7156919955208441</c:v>
                </c:pt>
                <c:pt idx="609">
                  <c:v>6.6762563737199061</c:v>
                </c:pt>
                <c:pt idx="610">
                  <c:v>6.6362689746113812</c:v>
                </c:pt>
                <c:pt idx="611">
                  <c:v>6.5957533548485623</c:v>
                </c:pt>
                <c:pt idx="612">
                  <c:v>6.5547323452714199</c:v>
                </c:pt>
                <c:pt idx="613">
                  <c:v>6.5132280870559303</c:v>
                </c:pt>
                <c:pt idx="614">
                  <c:v>6.4712620653784949</c:v>
                </c:pt>
                <c:pt idx="615">
                  <c:v>6.4288551407771886</c:v>
                </c:pt>
                <c:pt idx="616">
                  <c:v>6.3860275783778029</c:v>
                </c:pt>
                <c:pt idx="617">
                  <c:v>6.3427990751400882</c:v>
                </c:pt>
                <c:pt idx="618">
                  <c:v>6.299188785267928</c:v>
                </c:pt>
                <c:pt idx="619">
                  <c:v>6.2552153439164853</c:v>
                </c:pt>
                <c:pt idx="620">
                  <c:v>6.2108968893193692</c:v>
                </c:pt>
                <c:pt idx="621">
                  <c:v>6.1662510834498558</c:v>
                </c:pt>
                <c:pt idx="622">
                  <c:v>6.1212951313216619</c:v>
                </c:pt>
                <c:pt idx="623">
                  <c:v>6.0760457990270513</c:v>
                </c:pt>
                <c:pt idx="624">
                  <c:v>6.0305194306028849</c:v>
                </c:pt>
                <c:pt idx="625">
                  <c:v>5.9847319638085068</c:v>
                </c:pt>
                <c:pt idx="626">
                  <c:v>5.9386989448933658</c:v>
                </c:pt>
                <c:pt idx="627">
                  <c:v>5.8924355424265098</c:v>
                </c:pt>
                <c:pt idx="628">
                  <c:v>5.8459565602549279</c:v>
                </c:pt>
                <c:pt idx="629">
                  <c:v>5.7992764496528091</c:v>
                </c:pt>
                <c:pt idx="630">
                  <c:v>5.7524093207194547</c:v>
                </c:pt>
                <c:pt idx="631">
                  <c:v>5.7053689530792564</c:v>
                </c:pt>
                <c:pt idx="632">
                  <c:v>5.6581688059335242</c:v>
                </c:pt>
                <c:pt idx="633">
                  <c:v>5.6108220275102312</c:v>
                </c:pt>
                <c:pt idx="634">
                  <c:v>5.5633414639546279</c:v>
                </c:pt>
                <c:pt idx="635">
                  <c:v>5.5157396677004877</c:v>
                </c:pt>
                <c:pt idx="636">
                  <c:v>5.468028905359029</c:v>
                </c:pt>
                <c:pt idx="637">
                  <c:v>5.4202211651599708</c:v>
                </c:pt>
                <c:pt idx="638">
                  <c:v>5.3723281639765812</c:v>
                </c:pt>
                <c:pt idx="639">
                  <c:v>5.3243613539646004</c:v>
                </c:pt>
                <c:pt idx="640">
                  <c:v>5.2763319288426276</c:v>
                </c:pt>
                <c:pt idx="641">
                  <c:v>5.2282508298396531</c:v>
                </c:pt>
                <c:pt idx="642">
                  <c:v>5.1801287513337462</c:v>
                </c:pt>
                <c:pt idx="643">
                  <c:v>5.1319761462040834</c:v>
                </c:pt>
                <c:pt idx="644">
                  <c:v>5.0838032309170247</c:v>
                </c:pt>
                <c:pt idx="645">
                  <c:v>5.0356199903655288</c:v>
                </c:pt>
                <c:pt idx="646">
                  <c:v>4.9874361824797715</c:v>
                </c:pt>
                <c:pt idx="647">
                  <c:v>4.9392613426256453</c:v>
                </c:pt>
                <c:pt idx="648">
                  <c:v>4.8911047878066478</c:v>
                </c:pt>
                <c:pt idx="649">
                  <c:v>4.842975620683557</c:v>
                </c:pt>
                <c:pt idx="650">
                  <c:v>4.7948827334253039</c:v>
                </c:pt>
                <c:pt idx="651">
                  <c:v>4.7468348114035086</c:v>
                </c:pt>
                <c:pt idx="652">
                  <c:v>4.6988403367422409</c:v>
                </c:pt>
                <c:pt idx="653">
                  <c:v>4.6509075917338256</c:v>
                </c:pt>
                <c:pt idx="654">
                  <c:v>4.6030446621306735</c:v>
                </c:pt>
                <c:pt idx="655">
                  <c:v>4.5552594403223949</c:v>
                </c:pt>
                <c:pt idx="656">
                  <c:v>4.5075596284069235</c:v>
                </c:pt>
                <c:pt idx="657">
                  <c:v>4.4599527411635815</c:v>
                </c:pt>
                <c:pt idx="658">
                  <c:v>4.4124461089355593</c:v>
                </c:pt>
                <c:pt idx="659">
                  <c:v>4.365046880428733</c:v>
                </c:pt>
                <c:pt idx="660">
                  <c:v>4.3177620254331686</c:v>
                </c:pt>
                <c:pt idx="661">
                  <c:v>4.270598337473273</c:v>
                </c:pt>
                <c:pt idx="662">
                  <c:v>4.2235624363920632</c:v>
                </c:pt>
                <c:pt idx="663">
                  <c:v>4.1766607708746903</c:v>
                </c:pt>
                <c:pt idx="664">
                  <c:v>4.1298996209157792</c:v>
                </c:pt>
                <c:pt idx="665">
                  <c:v>4.08328510023511</c:v>
                </c:pt>
                <c:pt idx="666">
                  <c:v>4.0368231586454648</c:v>
                </c:pt>
                <c:pt idx="667">
                  <c:v>3.9905195843764805</c:v>
                </c:pt>
                <c:pt idx="668">
                  <c:v>3.9443800063578154</c:v>
                </c:pt>
                <c:pt idx="669">
                  <c:v>3.8984098964647993</c:v>
                </c:pt>
                <c:pt idx="670">
                  <c:v>3.8526145717294442</c:v>
                </c:pt>
                <c:pt idx="671">
                  <c:v>3.8069991965194525</c:v>
                </c:pt>
                <c:pt idx="672">
                  <c:v>3.7615687846876353</c:v>
                </c:pt>
                <c:pt idx="673">
                  <c:v>3.7163282016939627</c:v>
                </c:pt>
                <c:pt idx="674">
                  <c:v>3.6712821667022721</c:v>
                </c:pt>
                <c:pt idx="675">
                  <c:v>3.6264352546534546</c:v>
                </c:pt>
                <c:pt idx="676">
                  <c:v>3.5817918983168155</c:v>
                </c:pt>
                <c:pt idx="677">
                  <c:v>3.5373563903211211</c:v>
                </c:pt>
                <c:pt idx="678">
                  <c:v>3.493132885166693</c:v>
                </c:pt>
                <c:pt idx="679">
                  <c:v>3.4491254012198134</c:v>
                </c:pt>
                <c:pt idx="680">
                  <c:v>3.4053378226905151</c:v>
                </c:pt>
                <c:pt idx="681">
                  <c:v>3.3617739015947805</c:v>
                </c:pt>
                <c:pt idx="682">
                  <c:v>3.3184372597020531</c:v>
                </c:pt>
                <c:pt idx="683">
                  <c:v>3.2753313904687715</c:v>
                </c:pt>
                <c:pt idx="684">
                  <c:v>3.2324596609587211</c:v>
                </c:pt>
                <c:pt idx="685">
                  <c:v>3.1898253137507124</c:v>
                </c:pt>
                <c:pt idx="686">
                  <c:v>3.1474314688341858</c:v>
                </c:pt>
                <c:pt idx="687">
                  <c:v>3.1052811254931338</c:v>
                </c:pt>
                <c:pt idx="688">
                  <c:v>3.0633771641787861</c:v>
                </c:pt>
                <c:pt idx="689">
                  <c:v>3.0217223483712825</c:v>
                </c:pt>
                <c:pt idx="690">
                  <c:v>2.980319326430716</c:v>
                </c:pt>
                <c:pt idx="691">
                  <c:v>2.9391706334376444</c:v>
                </c:pt>
                <c:pt idx="692">
                  <c:v>2.8982786930232942</c:v>
                </c:pt>
                <c:pt idx="693">
                  <c:v>2.8576458191895222</c:v>
                </c:pt>
                <c:pt idx="694">
                  <c:v>2.8172742181186736</c:v>
                </c:pt>
                <c:pt idx="695">
                  <c:v>2.7771659899732839</c:v>
                </c:pt>
                <c:pt idx="696">
                  <c:v>2.7373231306856951</c:v>
                </c:pt>
                <c:pt idx="697">
                  <c:v>2.6977475337375285</c:v>
                </c:pt>
                <c:pt idx="698">
                  <c:v>2.6584409919289493</c:v>
                </c:pt>
                <c:pt idx="699">
                  <c:v>2.6194051991376561</c:v>
                </c:pt>
                <c:pt idx="700">
                  <c:v>2.5806417520674714</c:v>
                </c:pt>
                <c:pt idx="701">
                  <c:v>2.542152151986425</c:v>
                </c:pt>
                <c:pt idx="702">
                  <c:v>2.5039378064541733</c:v>
                </c:pt>
                <c:pt idx="703">
                  <c:v>2.4660000310386136</c:v>
                </c:pt>
                <c:pt idx="704">
                  <c:v>2.4283400510214861</c:v>
                </c:pt>
                <c:pt idx="705">
                  <c:v>2.3909590030928261</c:v>
                </c:pt>
                <c:pt idx="706">
                  <c:v>2.3538579370340447</c:v>
                </c:pt>
                <c:pt idx="707">
                  <c:v>2.3170378173894255</c:v>
                </c:pt>
                <c:pt idx="708">
                  <c:v>2.2804995251258786</c:v>
                </c:pt>
                <c:pt idx="709">
                  <c:v>2.2442438592806635</c:v>
                </c:pt>
                <c:pt idx="710">
                  <c:v>2.20827153859695</c:v>
                </c:pt>
                <c:pt idx="711">
                  <c:v>2.1725832031469396</c:v>
                </c:pt>
                <c:pt idx="712">
                  <c:v>2.1371794159423052</c:v>
                </c:pt>
                <c:pt idx="713">
                  <c:v>2.1371443776523318</c:v>
                </c:pt>
                <c:pt idx="714">
                  <c:v>2.1371093396443221</c:v>
                </c:pt>
                <c:pt idx="715">
                  <c:v>2.1370743019182807</c:v>
                </c:pt>
                <c:pt idx="716">
                  <c:v>2.1370392644742005</c:v>
                </c:pt>
                <c:pt idx="717">
                  <c:v>2.1370042273120857</c:v>
                </c:pt>
                <c:pt idx="718">
                  <c:v>2.1369691904319374</c:v>
                </c:pt>
                <c:pt idx="719">
                  <c:v>2.1369341538337476</c:v>
                </c:pt>
                <c:pt idx="720">
                  <c:v>2.1368991175175331</c:v>
                </c:pt>
                <c:pt idx="721">
                  <c:v>2.1368640814832807</c:v>
                </c:pt>
                <c:pt idx="722">
                  <c:v>2.1368290457310017</c:v>
                </c:pt>
                <c:pt idx="723">
                  <c:v>2.1367940102606857</c:v>
                </c:pt>
                <c:pt idx="724">
                  <c:v>2.1367589750723388</c:v>
                </c:pt>
                <c:pt idx="725">
                  <c:v>2.136723940165961</c:v>
                </c:pt>
                <c:pt idx="726">
                  <c:v>2.1366889055415497</c:v>
                </c:pt>
                <c:pt idx="727">
                  <c:v>2.1366538711991119</c:v>
                </c:pt>
                <c:pt idx="728">
                  <c:v>2.1366188371386396</c:v>
                </c:pt>
                <c:pt idx="729">
                  <c:v>2.1365838033601392</c:v>
                </c:pt>
                <c:pt idx="730">
                  <c:v>2.1365487698636061</c:v>
                </c:pt>
                <c:pt idx="731">
                  <c:v>2.1365137366490492</c:v>
                </c:pt>
                <c:pt idx="732">
                  <c:v>2.136478703716457</c:v>
                </c:pt>
                <c:pt idx="733">
                  <c:v>2.1364436710658428</c:v>
                </c:pt>
                <c:pt idx="734">
                  <c:v>2.136408638697195</c:v>
                </c:pt>
                <c:pt idx="735">
                  <c:v>2.136373606610527</c:v>
                </c:pt>
                <c:pt idx="736">
                  <c:v>2.1363385748058255</c:v>
                </c:pt>
                <c:pt idx="737">
                  <c:v>2.1363035432831055</c:v>
                </c:pt>
                <c:pt idx="738">
                  <c:v>2.1362685120423519</c:v>
                </c:pt>
                <c:pt idx="739">
                  <c:v>2.1362334810835737</c:v>
                </c:pt>
                <c:pt idx="740">
                  <c:v>2.1361984504067699</c:v>
                </c:pt>
                <c:pt idx="741">
                  <c:v>2.136163420011945</c:v>
                </c:pt>
                <c:pt idx="742">
                  <c:v>2.1361283898990955</c:v>
                </c:pt>
                <c:pt idx="743">
                  <c:v>2.1360933600682221</c:v>
                </c:pt>
                <c:pt idx="744">
                  <c:v>2.1360583305193233</c:v>
                </c:pt>
                <c:pt idx="745">
                  <c:v>2.1360233012523988</c:v>
                </c:pt>
                <c:pt idx="746">
                  <c:v>2.1359882722674604</c:v>
                </c:pt>
                <c:pt idx="747">
                  <c:v>2.135953243564491</c:v>
                </c:pt>
                <c:pt idx="748">
                  <c:v>2.1359182151435041</c:v>
                </c:pt>
                <c:pt idx="749">
                  <c:v>2.1358831870044943</c:v>
                </c:pt>
                <c:pt idx="750">
                  <c:v>2.1358481591474652</c:v>
                </c:pt>
                <c:pt idx="751">
                  <c:v>2.1358131315724114</c:v>
                </c:pt>
                <c:pt idx="752">
                  <c:v>2.1357781042793444</c:v>
                </c:pt>
                <c:pt idx="753">
                  <c:v>2.1357430772682511</c:v>
                </c:pt>
                <c:pt idx="754">
                  <c:v>2.1357080505391375</c:v>
                </c:pt>
                <c:pt idx="755">
                  <c:v>2.1356730240920099</c:v>
                </c:pt>
                <c:pt idx="756">
                  <c:v>2.1356379979268647</c:v>
                </c:pt>
                <c:pt idx="757">
                  <c:v>2.135602972043702</c:v>
                </c:pt>
                <c:pt idx="758">
                  <c:v>2.1355679464425172</c:v>
                </c:pt>
                <c:pt idx="759">
                  <c:v>2.1355329211233194</c:v>
                </c:pt>
                <c:pt idx="760">
                  <c:v>2.135497896086104</c:v>
                </c:pt>
                <c:pt idx="761">
                  <c:v>2.1354628713308692</c:v>
                </c:pt>
                <c:pt idx="762">
                  <c:v>2.135427846857624</c:v>
                </c:pt>
                <c:pt idx="763">
                  <c:v>2.1353928226663612</c:v>
                </c:pt>
                <c:pt idx="764">
                  <c:v>2.1353577987570826</c:v>
                </c:pt>
                <c:pt idx="765">
                  <c:v>2.1353227751297874</c:v>
                </c:pt>
                <c:pt idx="766">
                  <c:v>2.1352877517844817</c:v>
                </c:pt>
                <c:pt idx="767">
                  <c:v>2.1352527287211602</c:v>
                </c:pt>
                <c:pt idx="768">
                  <c:v>2.1352177059398265</c:v>
                </c:pt>
                <c:pt idx="769">
                  <c:v>2.1351826834404832</c:v>
                </c:pt>
                <c:pt idx="770">
                  <c:v>2.1351476612231242</c:v>
                </c:pt>
                <c:pt idx="771">
                  <c:v>2.135112639287752</c:v>
                </c:pt>
                <c:pt idx="772">
                  <c:v>2.1350776176343684</c:v>
                </c:pt>
                <c:pt idx="773">
                  <c:v>2.1350425962629735</c:v>
                </c:pt>
                <c:pt idx="774">
                  <c:v>2.1350075751735682</c:v>
                </c:pt>
                <c:pt idx="775">
                  <c:v>2.1349725543661542</c:v>
                </c:pt>
                <c:pt idx="776">
                  <c:v>2.1349375338407288</c:v>
                </c:pt>
                <c:pt idx="777">
                  <c:v>2.1349025135972921</c:v>
                </c:pt>
                <c:pt idx="778">
                  <c:v>2.1348674936358467</c:v>
                </c:pt>
                <c:pt idx="779">
                  <c:v>2.1348324739564006</c:v>
                </c:pt>
                <c:pt idx="780">
                  <c:v>2.1347974545589388</c:v>
                </c:pt>
                <c:pt idx="781">
                  <c:v>2.1347624354434691</c:v>
                </c:pt>
                <c:pt idx="782">
                  <c:v>2.1347274166099934</c:v>
                </c:pt>
                <c:pt idx="783">
                  <c:v>2.1346923980585091</c:v>
                </c:pt>
                <c:pt idx="784">
                  <c:v>2.1346573797890214</c:v>
                </c:pt>
                <c:pt idx="785">
                  <c:v>2.1346223618015276</c:v>
                </c:pt>
                <c:pt idx="786">
                  <c:v>2.1345873440960252</c:v>
                </c:pt>
                <c:pt idx="787">
                  <c:v>2.1345523266725213</c:v>
                </c:pt>
                <c:pt idx="788">
                  <c:v>2.1345173095310095</c:v>
                </c:pt>
                <c:pt idx="789">
                  <c:v>2.1344822926714935</c:v>
                </c:pt>
                <c:pt idx="790">
                  <c:v>2.1344472760939714</c:v>
                </c:pt>
                <c:pt idx="791">
                  <c:v>2.1344122597984541</c:v>
                </c:pt>
                <c:pt idx="792">
                  <c:v>2.134377243784928</c:v>
                </c:pt>
                <c:pt idx="793">
                  <c:v>2.134342228053403</c:v>
                </c:pt>
                <c:pt idx="794">
                  <c:v>2.1343072126038702</c:v>
                </c:pt>
                <c:pt idx="795">
                  <c:v>2.1342721974363394</c:v>
                </c:pt>
                <c:pt idx="796">
                  <c:v>2.1342371825508071</c:v>
                </c:pt>
                <c:pt idx="797">
                  <c:v>2.1342021679472687</c:v>
                </c:pt>
                <c:pt idx="798">
                  <c:v>2.1341671536257332</c:v>
                </c:pt>
                <c:pt idx="799">
                  <c:v>2.1341321395862014</c:v>
                </c:pt>
                <c:pt idx="800">
                  <c:v>2.1340971258286636</c:v>
                </c:pt>
                <c:pt idx="801">
                  <c:v>2.1340621123531305</c:v>
                </c:pt>
                <c:pt idx="802">
                  <c:v>2.1340270991595949</c:v>
                </c:pt>
                <c:pt idx="803">
                  <c:v>2.1339920862480639</c:v>
                </c:pt>
                <c:pt idx="804">
                  <c:v>2.1339570736185358</c:v>
                </c:pt>
                <c:pt idx="805">
                  <c:v>2.133922061271007</c:v>
                </c:pt>
                <c:pt idx="806">
                  <c:v>2.1338870492054829</c:v>
                </c:pt>
                <c:pt idx="807">
                  <c:v>2.1338520374219598</c:v>
                </c:pt>
                <c:pt idx="808">
                  <c:v>2.133817025920445</c:v>
                </c:pt>
                <c:pt idx="809">
                  <c:v>2.1337820147009312</c:v>
                </c:pt>
                <c:pt idx="810">
                  <c:v>2.1337470037634194</c:v>
                </c:pt>
                <c:pt idx="811">
                  <c:v>2.1337119931079132</c:v>
                </c:pt>
                <c:pt idx="812">
                  <c:v>2.1336769827344142</c:v>
                </c:pt>
                <c:pt idx="813">
                  <c:v>2.1336419726429234</c:v>
                </c:pt>
                <c:pt idx="814">
                  <c:v>2.1336069628334347</c:v>
                </c:pt>
                <c:pt idx="815">
                  <c:v>2.1335719533059558</c:v>
                </c:pt>
                <c:pt idx="816">
                  <c:v>2.1335369440604808</c:v>
                </c:pt>
                <c:pt idx="817">
                  <c:v>2.1335019350970148</c:v>
                </c:pt>
                <c:pt idx="818">
                  <c:v>2.1334669264155561</c:v>
                </c:pt>
                <c:pt idx="819">
                  <c:v>2.1334319180161083</c:v>
                </c:pt>
                <c:pt idx="820">
                  <c:v>2.133396909898666</c:v>
                </c:pt>
                <c:pt idx="821">
                  <c:v>2.1333619020632337</c:v>
                </c:pt>
                <c:pt idx="822">
                  <c:v>2.1333268945098069</c:v>
                </c:pt>
                <c:pt idx="823">
                  <c:v>2.1332918872383981</c:v>
                </c:pt>
                <c:pt idx="824">
                  <c:v>2.1332568802489931</c:v>
                </c:pt>
                <c:pt idx="825">
                  <c:v>2.1332218735416024</c:v>
                </c:pt>
                <c:pt idx="826">
                  <c:v>2.1331868671162244</c:v>
                </c:pt>
                <c:pt idx="827">
                  <c:v>2.1331518609728519</c:v>
                </c:pt>
                <c:pt idx="828">
                  <c:v>2.1331168551114974</c:v>
                </c:pt>
                <c:pt idx="829">
                  <c:v>2.133081849532152</c:v>
                </c:pt>
                <c:pt idx="830">
                  <c:v>2.1330468442348209</c:v>
                </c:pt>
                <c:pt idx="831">
                  <c:v>2.133011839219499</c:v>
                </c:pt>
                <c:pt idx="832">
                  <c:v>2.1329768344861924</c:v>
                </c:pt>
                <c:pt idx="833">
                  <c:v>2.1329418300349055</c:v>
                </c:pt>
                <c:pt idx="834">
                  <c:v>2.1329068258656285</c:v>
                </c:pt>
                <c:pt idx="835">
                  <c:v>2.1328718219783687</c:v>
                </c:pt>
                <c:pt idx="836">
                  <c:v>2.1328368183731206</c:v>
                </c:pt>
                <c:pt idx="837">
                  <c:v>2.1328018150498922</c:v>
                </c:pt>
                <c:pt idx="838">
                  <c:v>2.1327668120086791</c:v>
                </c:pt>
                <c:pt idx="839">
                  <c:v>2.132731809249484</c:v>
                </c:pt>
                <c:pt idx="840">
                  <c:v>2.1326968067723078</c:v>
                </c:pt>
                <c:pt idx="841">
                  <c:v>2.1326618045771442</c:v>
                </c:pt>
                <c:pt idx="842">
                  <c:v>2.1326268026640021</c:v>
                </c:pt>
                <c:pt idx="843">
                  <c:v>2.1325918010328717</c:v>
                </c:pt>
                <c:pt idx="844">
                  <c:v>2.1325567996837655</c:v>
                </c:pt>
                <c:pt idx="845">
                  <c:v>2.1325217986166782</c:v>
                </c:pt>
                <c:pt idx="846">
                  <c:v>2.1324867978316107</c:v>
                </c:pt>
                <c:pt idx="847">
                  <c:v>2.132451797328561</c:v>
                </c:pt>
                <c:pt idx="848">
                  <c:v>2.1324167971075321</c:v>
                </c:pt>
                <c:pt idx="849">
                  <c:v>2.1323817971685246</c:v>
                </c:pt>
                <c:pt idx="850">
                  <c:v>2.1323467975115431</c:v>
                </c:pt>
                <c:pt idx="851">
                  <c:v>2.132311798136576</c:v>
                </c:pt>
                <c:pt idx="852">
                  <c:v>2.1322767990436331</c:v>
                </c:pt>
                <c:pt idx="853">
                  <c:v>2.1322418002327135</c:v>
                </c:pt>
                <c:pt idx="854">
                  <c:v>2.1322068017038172</c:v>
                </c:pt>
                <c:pt idx="855">
                  <c:v>2.1321718034569432</c:v>
                </c:pt>
                <c:pt idx="856">
                  <c:v>2.1321368054920926</c:v>
                </c:pt>
                <c:pt idx="857">
                  <c:v>2.1321018078092688</c:v>
                </c:pt>
                <c:pt idx="858">
                  <c:v>2.1320668104084701</c:v>
                </c:pt>
                <c:pt idx="859">
                  <c:v>2.1320318132896912</c:v>
                </c:pt>
                <c:pt idx="860">
                  <c:v>2.1319968164529426</c:v>
                </c:pt>
                <c:pt idx="861">
                  <c:v>2.1319618198982182</c:v>
                </c:pt>
                <c:pt idx="862">
                  <c:v>2.1319268236255224</c:v>
                </c:pt>
                <c:pt idx="863">
                  <c:v>2.1318918276348455</c:v>
                </c:pt>
                <c:pt idx="864">
                  <c:v>2.1318568319262043</c:v>
                </c:pt>
                <c:pt idx="865">
                  <c:v>2.13182183649959</c:v>
                </c:pt>
                <c:pt idx="866">
                  <c:v>2.131786841354999</c:v>
                </c:pt>
                <c:pt idx="867">
                  <c:v>2.1317518464924383</c:v>
                </c:pt>
                <c:pt idx="868">
                  <c:v>2.131716851911909</c:v>
                </c:pt>
                <c:pt idx="869">
                  <c:v>2.1316818576134056</c:v>
                </c:pt>
                <c:pt idx="870">
                  <c:v>2.1316468635969317</c:v>
                </c:pt>
                <c:pt idx="871">
                  <c:v>2.1316118698624917</c:v>
                </c:pt>
                <c:pt idx="872">
                  <c:v>2.1315768764100804</c:v>
                </c:pt>
                <c:pt idx="873">
                  <c:v>2.1315418832396951</c:v>
                </c:pt>
                <c:pt idx="874">
                  <c:v>2.1315068903513463</c:v>
                </c:pt>
                <c:pt idx="875">
                  <c:v>2.1314718977450289</c:v>
                </c:pt>
                <c:pt idx="876">
                  <c:v>2.1314369054207427</c:v>
                </c:pt>
                <c:pt idx="877">
                  <c:v>2.1314019133784869</c:v>
                </c:pt>
                <c:pt idx="878">
                  <c:v>2.1313669216182642</c:v>
                </c:pt>
                <c:pt idx="879">
                  <c:v>2.1313319301400799</c:v>
                </c:pt>
                <c:pt idx="880">
                  <c:v>2.1312969389439234</c:v>
                </c:pt>
                <c:pt idx="881">
                  <c:v>2.1312619480298052</c:v>
                </c:pt>
                <c:pt idx="882">
                  <c:v>2.1312269573977165</c:v>
                </c:pt>
                <c:pt idx="883">
                  <c:v>2.1311919670476698</c:v>
                </c:pt>
                <c:pt idx="884">
                  <c:v>2.1311569769796552</c:v>
                </c:pt>
                <c:pt idx="885">
                  <c:v>2.1311219871936773</c:v>
                </c:pt>
                <c:pt idx="886">
                  <c:v>2.1310869976897333</c:v>
                </c:pt>
                <c:pt idx="887">
                  <c:v>2.1310520084678268</c:v>
                </c:pt>
                <c:pt idx="888">
                  <c:v>2.1310170195279579</c:v>
                </c:pt>
                <c:pt idx="889">
                  <c:v>2.1309820308701264</c:v>
                </c:pt>
                <c:pt idx="890">
                  <c:v>2.1309470424943351</c:v>
                </c:pt>
                <c:pt idx="891">
                  <c:v>2.1309120544005786</c:v>
                </c:pt>
                <c:pt idx="892">
                  <c:v>2.1308770665888623</c:v>
                </c:pt>
                <c:pt idx="893">
                  <c:v>2.1308420790591853</c:v>
                </c:pt>
                <c:pt idx="894">
                  <c:v>2.1308070918115476</c:v>
                </c:pt>
                <c:pt idx="895">
                  <c:v>2.1307721048459536</c:v>
                </c:pt>
                <c:pt idx="896">
                  <c:v>2.1307371181623971</c:v>
                </c:pt>
                <c:pt idx="897">
                  <c:v>2.1307021317608763</c:v>
                </c:pt>
                <c:pt idx="898">
                  <c:v>2.1306671456414072</c:v>
                </c:pt>
                <c:pt idx="899">
                  <c:v>2.1306321598039748</c:v>
                </c:pt>
                <c:pt idx="900">
                  <c:v>2.1305971742485834</c:v>
                </c:pt>
                <c:pt idx="901">
                  <c:v>2.130562188975234</c:v>
                </c:pt>
                <c:pt idx="902">
                  <c:v>2.1305272039839283</c:v>
                </c:pt>
                <c:pt idx="903">
                  <c:v>2.1304922192746671</c:v>
                </c:pt>
                <c:pt idx="904">
                  <c:v>2.1304572348474471</c:v>
                </c:pt>
                <c:pt idx="905">
                  <c:v>2.1304222507022725</c:v>
                </c:pt>
                <c:pt idx="906">
                  <c:v>2.1303872668391435</c:v>
                </c:pt>
                <c:pt idx="907">
                  <c:v>2.1303522832580564</c:v>
                </c:pt>
                <c:pt idx="908">
                  <c:v>2.130317299959021</c:v>
                </c:pt>
                <c:pt idx="909">
                  <c:v>2.1302823169420257</c:v>
                </c:pt>
                <c:pt idx="910">
                  <c:v>2.1302473342070796</c:v>
                </c:pt>
                <c:pt idx="911">
                  <c:v>2.1302123517541771</c:v>
                </c:pt>
                <c:pt idx="912">
                  <c:v>2.1301773695833264</c:v>
                </c:pt>
                <c:pt idx="913">
                  <c:v>2.1301423876945149</c:v>
                </c:pt>
                <c:pt idx="914">
                  <c:v>2.1301074060877578</c:v>
                </c:pt>
                <c:pt idx="915">
                  <c:v>2.1300724247630498</c:v>
                </c:pt>
                <c:pt idx="916">
                  <c:v>2.1300374437203873</c:v>
                </c:pt>
                <c:pt idx="917">
                  <c:v>2.1300024629597729</c:v>
                </c:pt>
                <c:pt idx="918">
                  <c:v>2.1299674824812129</c:v>
                </c:pt>
                <c:pt idx="919">
                  <c:v>2.1299325022846993</c:v>
                </c:pt>
                <c:pt idx="920">
                  <c:v>2.1298975223702401</c:v>
                </c:pt>
                <c:pt idx="921">
                  <c:v>2.1298625427378273</c:v>
                </c:pt>
                <c:pt idx="922">
                  <c:v>2.1298275633874679</c:v>
                </c:pt>
                <c:pt idx="923">
                  <c:v>2.1297925843191559</c:v>
                </c:pt>
                <c:pt idx="924">
                  <c:v>2.1297576055329026</c:v>
                </c:pt>
                <c:pt idx="925">
                  <c:v>2.1297226270287002</c:v>
                </c:pt>
                <c:pt idx="926">
                  <c:v>2.1296876488065477</c:v>
                </c:pt>
                <c:pt idx="927">
                  <c:v>2.1296526708664461</c:v>
                </c:pt>
                <c:pt idx="928">
                  <c:v>2.129617693208405</c:v>
                </c:pt>
                <c:pt idx="929">
                  <c:v>2.1295827158324112</c:v>
                </c:pt>
                <c:pt idx="930">
                  <c:v>2.1295477387384754</c:v>
                </c:pt>
                <c:pt idx="931">
                  <c:v>2.1295127619265974</c:v>
                </c:pt>
                <c:pt idx="932">
                  <c:v>2.129477785396773</c:v>
                </c:pt>
                <c:pt idx="933">
                  <c:v>2.1294428091489985</c:v>
                </c:pt>
                <c:pt idx="934">
                  <c:v>2.1294078331832891</c:v>
                </c:pt>
                <c:pt idx="935">
                  <c:v>2.1293728574996296</c:v>
                </c:pt>
                <c:pt idx="936">
                  <c:v>2.129337882098028</c:v>
                </c:pt>
                <c:pt idx="937">
                  <c:v>2.1293029069784852</c:v>
                </c:pt>
                <c:pt idx="938">
                  <c:v>2.1292679321410013</c:v>
                </c:pt>
                <c:pt idx="939">
                  <c:v>2.1292329575855735</c:v>
                </c:pt>
                <c:pt idx="940">
                  <c:v>2.1291979833122072</c:v>
                </c:pt>
                <c:pt idx="941">
                  <c:v>2.1291630093208909</c:v>
                </c:pt>
                <c:pt idx="942">
                  <c:v>2.1291280356116449</c:v>
                </c:pt>
                <c:pt idx="943">
                  <c:v>2.129093062184455</c:v>
                </c:pt>
                <c:pt idx="944">
                  <c:v>2.1290580890393249</c:v>
                </c:pt>
                <c:pt idx="945">
                  <c:v>2.1290231161762554</c:v>
                </c:pt>
                <c:pt idx="946">
                  <c:v>2.1289881435952518</c:v>
                </c:pt>
                <c:pt idx="947">
                  <c:v>2.1289531712963035</c:v>
                </c:pt>
                <c:pt idx="948">
                  <c:v>2.1289181992794175</c:v>
                </c:pt>
                <c:pt idx="949">
                  <c:v>2.1288832275445939</c:v>
                </c:pt>
                <c:pt idx="950">
                  <c:v>2.1288482560918327</c:v>
                </c:pt>
                <c:pt idx="951">
                  <c:v>2.1288132849211365</c:v>
                </c:pt>
                <c:pt idx="952">
                  <c:v>2.1287783140325054</c:v>
                </c:pt>
                <c:pt idx="953">
                  <c:v>2.1287433434259357</c:v>
                </c:pt>
                <c:pt idx="954">
                  <c:v>2.1287083731014294</c:v>
                </c:pt>
                <c:pt idx="955">
                  <c:v>2.1286734030589933</c:v>
                </c:pt>
                <c:pt idx="956">
                  <c:v>2.1286384332986188</c:v>
                </c:pt>
                <c:pt idx="957">
                  <c:v>2.1286034638203111</c:v>
                </c:pt>
                <c:pt idx="958">
                  <c:v>2.1285684946240675</c:v>
                </c:pt>
                <c:pt idx="959">
                  <c:v>2.1285335257098907</c:v>
                </c:pt>
                <c:pt idx="960">
                  <c:v>2.1284985570777799</c:v>
                </c:pt>
                <c:pt idx="961">
                  <c:v>2.1284635887277368</c:v>
                </c:pt>
                <c:pt idx="962">
                  <c:v>2.1284286206597587</c:v>
                </c:pt>
                <c:pt idx="963">
                  <c:v>2.1283936528738563</c:v>
                </c:pt>
                <c:pt idx="964">
                  <c:v>2.1283586853700172</c:v>
                </c:pt>
                <c:pt idx="965">
                  <c:v>2.1283237181482484</c:v>
                </c:pt>
                <c:pt idx="966">
                  <c:v>2.1282887512085473</c:v>
                </c:pt>
                <c:pt idx="967">
                  <c:v>2.1282537845509149</c:v>
                </c:pt>
                <c:pt idx="968">
                  <c:v>2.1282188181753563</c:v>
                </c:pt>
                <c:pt idx="969">
                  <c:v>2.1281838520818663</c:v>
                </c:pt>
                <c:pt idx="970">
                  <c:v>2.1281488862704485</c:v>
                </c:pt>
                <c:pt idx="971">
                  <c:v>2.1281139207411002</c:v>
                </c:pt>
                <c:pt idx="972">
                  <c:v>2.1280789554938213</c:v>
                </c:pt>
                <c:pt idx="973">
                  <c:v>2.1280439905286181</c:v>
                </c:pt>
                <c:pt idx="974">
                  <c:v>2.1280090258454889</c:v>
                </c:pt>
                <c:pt idx="975">
                  <c:v>2.1279740614444327</c:v>
                </c:pt>
                <c:pt idx="976">
                  <c:v>2.1279390973254468</c:v>
                </c:pt>
                <c:pt idx="977">
                  <c:v>2.1279041334885394</c:v>
                </c:pt>
                <c:pt idx="978">
                  <c:v>2.1278691699337005</c:v>
                </c:pt>
                <c:pt idx="979">
                  <c:v>2.127834206660939</c:v>
                </c:pt>
                <c:pt idx="980">
                  <c:v>2.1277992436702524</c:v>
                </c:pt>
                <c:pt idx="981">
                  <c:v>2.1277642809616406</c:v>
                </c:pt>
                <c:pt idx="982">
                  <c:v>2.1277293185351054</c:v>
                </c:pt>
                <c:pt idx="983">
                  <c:v>2.1276943563906467</c:v>
                </c:pt>
                <c:pt idx="984">
                  <c:v>2.1276593945282638</c:v>
                </c:pt>
                <c:pt idx="985">
                  <c:v>2.1276244329479574</c:v>
                </c:pt>
                <c:pt idx="986">
                  <c:v>2.1275894716497286</c:v>
                </c:pt>
                <c:pt idx="987">
                  <c:v>2.1275545106335763</c:v>
                </c:pt>
                <c:pt idx="988">
                  <c:v>2.1275195498995041</c:v>
                </c:pt>
                <c:pt idx="989">
                  <c:v>2.1274845894475112</c:v>
                </c:pt>
                <c:pt idx="990">
                  <c:v>2.1274496292775984</c:v>
                </c:pt>
                <c:pt idx="991">
                  <c:v>2.127414669389764</c:v>
                </c:pt>
                <c:pt idx="992">
                  <c:v>2.1273797097840088</c:v>
                </c:pt>
                <c:pt idx="993">
                  <c:v>2.1273447504603364</c:v>
                </c:pt>
                <c:pt idx="994">
                  <c:v>2.1273097914187424</c:v>
                </c:pt>
                <c:pt idx="995">
                  <c:v>2.1272748326592295</c:v>
                </c:pt>
                <c:pt idx="996">
                  <c:v>2.1272398741817975</c:v>
                </c:pt>
                <c:pt idx="997">
                  <c:v>2.1272049159864492</c:v>
                </c:pt>
                <c:pt idx="998">
                  <c:v>2.1271699580731802</c:v>
                </c:pt>
                <c:pt idx="999">
                  <c:v>2.1271350004419975</c:v>
                </c:pt>
                <c:pt idx="1000">
                  <c:v>2.1271000430929012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Calculs!$AH$4:$AH$1004</c:f>
              <c:numCache>
                <c:formatCode>0.00</c:formatCode>
                <c:ptCount val="1001"/>
                <c:pt idx="0">
                  <c:v>0</c:v>
                </c:pt>
                <c:pt idx="1">
                  <c:v>10.101179379593969</c:v>
                </c:pt>
                <c:pt idx="2">
                  <c:v>30.308147373051266</c:v>
                </c:pt>
                <c:pt idx="3">
                  <c:v>50.526367533438702</c:v>
                </c:pt>
                <c:pt idx="4">
                  <c:v>70.761889487454638</c:v>
                </c:pt>
                <c:pt idx="5">
                  <c:v>91.020669714599521</c:v>
                </c:pt>
                <c:pt idx="6">
                  <c:v>101.06463910480595</c:v>
                </c:pt>
                <c:pt idx="7">
                  <c:v>100.8744036238233</c:v>
                </c:pt>
                <c:pt idx="8">
                  <c:v>100.68310470423663</c:v>
                </c:pt>
                <c:pt idx="9">
                  <c:v>100.49074619975445</c:v>
                </c:pt>
                <c:pt idx="10">
                  <c:v>100.29733200841729</c:v>
                </c:pt>
                <c:pt idx="11">
                  <c:v>100.10286607225889</c:v>
                </c:pt>
                <c:pt idx="12">
                  <c:v>99.907352376963161</c:v>
                </c:pt>
                <c:pt idx="13">
                  <c:v>99.710794951516803</c:v>
                </c:pt>
                <c:pt idx="14">
                  <c:v>99.51319786785794</c:v>
                </c:pt>
                <c:pt idx="15">
                  <c:v>99.314565240520508</c:v>
                </c:pt>
                <c:pt idx="16">
                  <c:v>99.114901226274654</c:v>
                </c:pt>
                <c:pt idx="17">
                  <c:v>98.914210023763118</c:v>
                </c:pt>
                <c:pt idx="18">
                  <c:v>98.712495873133847</c:v>
                </c:pt>
                <c:pt idx="19">
                  <c:v>98.509763055668373</c:v>
                </c:pt>
                <c:pt idx="20">
                  <c:v>98.306015893406837</c:v>
                </c:pt>
                <c:pt idx="21">
                  <c:v>98.101258748768927</c:v>
                </c:pt>
                <c:pt idx="22">
                  <c:v>97.89549602417118</c:v>
                </c:pt>
                <c:pt idx="23">
                  <c:v>97.688732161640829</c:v>
                </c:pt>
                <c:pt idx="24">
                  <c:v>97.480971642425743</c:v>
                </c:pt>
                <c:pt idx="25">
                  <c:v>97.272218986601317</c:v>
                </c:pt>
                <c:pt idx="26">
                  <c:v>97.062478752673357</c:v>
                </c:pt>
                <c:pt idx="27">
                  <c:v>96.851755537178164</c:v>
                </c:pt>
                <c:pt idx="28">
                  <c:v>96.640053974278729</c:v>
                </c:pt>
                <c:pt idx="29">
                  <c:v>96.427378735358147</c:v>
                </c:pt>
                <c:pt idx="30">
                  <c:v>96.213734528609493</c:v>
                </c:pt>
                <c:pt idx="31">
                  <c:v>95.99912609862281</c:v>
                </c:pt>
                <c:pt idx="32">
                  <c:v>95.783558225968761</c:v>
                </c:pt>
                <c:pt idx="33">
                  <c:v>95.567035726779565</c:v>
                </c:pt>
                <c:pt idx="34">
                  <c:v>95.349563452326819</c:v>
                </c:pt>
                <c:pt idx="35">
                  <c:v>95.131146159032184</c:v>
                </c:pt>
                <c:pt idx="36">
                  <c:v>94.911788615769794</c:v>
                </c:pt>
                <c:pt idx="37">
                  <c:v>94.691495758224903</c:v>
                </c:pt>
                <c:pt idx="38">
                  <c:v>94.470272555978895</c:v>
                </c:pt>
                <c:pt idx="39">
                  <c:v>94.248124012052514</c:v>
                </c:pt>
                <c:pt idx="40">
                  <c:v>94.025055162446947</c:v>
                </c:pt>
                <c:pt idx="41">
                  <c:v>93.801071075683993</c:v>
                </c:pt>
                <c:pt idx="42">
                  <c:v>93.576176852345569</c:v>
                </c:pt>
                <c:pt idx="43">
                  <c:v>93.35037762461198</c:v>
                </c:pt>
                <c:pt idx="44">
                  <c:v>93.123678555799202</c:v>
                </c:pt>
                <c:pt idx="45">
                  <c:v>92.896084839895011</c:v>
                </c:pt>
                <c:pt idx="46">
                  <c:v>92.667601701094128</c:v>
                </c:pt>
                <c:pt idx="47">
                  <c:v>92.438234393331882</c:v>
                </c:pt>
                <c:pt idx="48">
                  <c:v>92.207988199817066</c:v>
                </c:pt>
                <c:pt idx="49">
                  <c:v>91.976868432563307</c:v>
                </c:pt>
                <c:pt idx="50">
                  <c:v>91.744880431919441</c:v>
                </c:pt>
                <c:pt idx="51">
                  <c:v>91.565970199413542</c:v>
                </c:pt>
                <c:pt idx="52">
                  <c:v>91.440221655183009</c:v>
                </c:pt>
                <c:pt idx="53">
                  <c:v>91.313726317830969</c:v>
                </c:pt>
                <c:pt idx="54">
                  <c:v>91.186486700046473</c:v>
                </c:pt>
                <c:pt idx="55">
                  <c:v>91.058505341579988</c:v>
                </c:pt>
                <c:pt idx="56">
                  <c:v>90.929784809049892</c:v>
                </c:pt>
                <c:pt idx="57">
                  <c:v>90.8003276957472</c:v>
                </c:pt>
                <c:pt idx="58">
                  <c:v>90.670136621438402</c:v>
                </c:pt>
                <c:pt idx="59">
                  <c:v>90.539214232166572</c:v>
                </c:pt>
                <c:pt idx="60">
                  <c:v>90.407563200050703</c:v>
                </c:pt>
                <c:pt idx="61">
                  <c:v>90.275186223083139</c:v>
                </c:pt>
                <c:pt idx="62">
                  <c:v>90.142086024925547</c:v>
                </c:pt>
                <c:pt idx="63">
                  <c:v>90.008265354702772</c:v>
                </c:pt>
                <c:pt idx="64">
                  <c:v>89.873726986795191</c:v>
                </c:pt>
                <c:pt idx="65">
                  <c:v>89.738473720629344</c:v>
                </c:pt>
                <c:pt idx="66">
                  <c:v>89.602508380466602</c:v>
                </c:pt>
                <c:pt idx="67">
                  <c:v>89.465833815190564</c:v>
                </c:pt>
                <c:pt idx="68">
                  <c:v>89.328452898092394</c:v>
                </c:pt>
                <c:pt idx="69">
                  <c:v>89.190368526654737</c:v>
                </c:pt>
                <c:pt idx="70">
                  <c:v>89.051583622333823</c:v>
                </c:pt>
                <c:pt idx="71">
                  <c:v>88.912101130340147</c:v>
                </c:pt>
                <c:pt idx="72">
                  <c:v>88.771924019417483</c:v>
                </c:pt>
                <c:pt idx="73">
                  <c:v>88.631055281620164</c:v>
                </c:pt>
                <c:pt idx="74">
                  <c:v>88.489497932089108</c:v>
                </c:pt>
                <c:pt idx="75">
                  <c:v>88.347255008826011</c:v>
                </c:pt>
                <c:pt idx="76">
                  <c:v>88.204329572466378</c:v>
                </c:pt>
                <c:pt idx="77">
                  <c:v>88.060724706050706</c:v>
                </c:pt>
                <c:pt idx="78">
                  <c:v>87.916443514794508</c:v>
                </c:pt>
                <c:pt idx="79">
                  <c:v>87.771489125856732</c:v>
                </c:pt>
                <c:pt idx="80">
                  <c:v>87.62586468810693</c:v>
                </c:pt>
                <c:pt idx="81">
                  <c:v>87.479573371890837</c:v>
                </c:pt>
                <c:pt idx="82">
                  <c:v>87.332618368794854</c:v>
                </c:pt>
                <c:pt idx="83">
                  <c:v>87.185002891409056</c:v>
                </c:pt>
                <c:pt idx="84">
                  <c:v>87.036730173088813</c:v>
                </c:pt>
                <c:pt idx="85">
                  <c:v>86.887803467715514</c:v>
                </c:pt>
                <c:pt idx="86">
                  <c:v>86.738226049455577</c:v>
                </c:pt>
                <c:pt idx="87">
                  <c:v>86.588001212518577</c:v>
                </c:pt>
                <c:pt idx="88">
                  <c:v>86.437132270914063</c:v>
                </c:pt>
                <c:pt idx="89">
                  <c:v>86.285622558207336</c:v>
                </c:pt>
                <c:pt idx="90">
                  <c:v>86.133475427273879</c:v>
                </c:pt>
                <c:pt idx="91">
                  <c:v>85.980694250052977</c:v>
                </c:pt>
                <c:pt idx="92">
                  <c:v>85.82728241730004</c:v>
                </c:pt>
                <c:pt idx="93">
                  <c:v>85.673243338337954</c:v>
                </c:pt>
                <c:pt idx="94">
                  <c:v>85.518580440807597</c:v>
                </c:pt>
                <c:pt idx="95">
                  <c:v>85.363297170417098</c:v>
                </c:pt>
                <c:pt idx="96">
                  <c:v>85.207396990690356</c:v>
                </c:pt>
                <c:pt idx="97">
                  <c:v>85.050883382714517</c:v>
                </c:pt>
                <c:pt idx="98">
                  <c:v>84.893759844886731</c:v>
                </c:pt>
                <c:pt idx="99">
                  <c:v>84.736029892659857</c:v>
                </c:pt>
                <c:pt idx="100">
                  <c:v>84.577697058287455</c:v>
                </c:pt>
                <c:pt idx="101">
                  <c:v>84.39387964842129</c:v>
                </c:pt>
                <c:pt idx="102">
                  <c:v>84.184557093700377</c:v>
                </c:pt>
                <c:pt idx="103">
                  <c:v>83.974616723518992</c:v>
                </c:pt>
                <c:pt idx="104">
                  <c:v>83.764063420357729</c:v>
                </c:pt>
                <c:pt idx="105">
                  <c:v>83.552902079322834</c:v>
                </c:pt>
                <c:pt idx="106">
                  <c:v>83.341137607777682</c:v>
                </c:pt>
                <c:pt idx="107">
                  <c:v>83.128774924974394</c:v>
                </c:pt>
                <c:pt idx="108">
                  <c:v>82.915818961685503</c:v>
                </c:pt>
                <c:pt idx="109">
                  <c:v>82.702274659836121</c:v>
                </c:pt>
                <c:pt idx="110">
                  <c:v>82.488146972135908</c:v>
                </c:pt>
                <c:pt idx="111">
                  <c:v>82.27344086171172</c:v>
                </c:pt>
                <c:pt idx="112">
                  <c:v>82.058161301740327</c:v>
                </c:pt>
                <c:pt idx="113">
                  <c:v>81.842313275081708</c:v>
                </c:pt>
                <c:pt idx="114">
                  <c:v>81.625901773912616</c:v>
                </c:pt>
                <c:pt idx="115">
                  <c:v>81.40893179936073</c:v>
                </c:pt>
                <c:pt idx="116">
                  <c:v>81.19140836113921</c:v>
                </c:pt>
                <c:pt idx="117">
                  <c:v>80.973336477181959</c:v>
                </c:pt>
                <c:pt idx="118">
                  <c:v>80.754721173279179</c:v>
                </c:pt>
                <c:pt idx="119">
                  <c:v>80.535567482714001</c:v>
                </c:pt>
                <c:pt idx="120">
                  <c:v>80.315880445899424</c:v>
                </c:pt>
                <c:pt idx="121">
                  <c:v>80.095665110016142</c:v>
                </c:pt>
                <c:pt idx="122">
                  <c:v>79.874926528651173</c:v>
                </c:pt>
                <c:pt idx="123">
                  <c:v>79.653669761437115</c:v>
                </c:pt>
                <c:pt idx="124">
                  <c:v>79.431899873692515</c:v>
                </c:pt>
                <c:pt idx="125">
                  <c:v>79.20962193606286</c:v>
                </c:pt>
                <c:pt idx="126">
                  <c:v>78.986841024162644</c:v>
                </c:pt>
                <c:pt idx="127">
                  <c:v>78.763562218218496</c:v>
                </c:pt>
                <c:pt idx="128">
                  <c:v>78.53979060271304</c:v>
                </c:pt>
                <c:pt idx="129">
                  <c:v>78.315531266030021</c:v>
                </c:pt>
                <c:pt idx="130">
                  <c:v>78.090789300100511</c:v>
                </c:pt>
                <c:pt idx="131">
                  <c:v>77.865569800050139</c:v>
                </c:pt>
                <c:pt idx="132">
                  <c:v>77.639877863847602</c:v>
                </c:pt>
                <c:pt idx="133">
                  <c:v>77.413718591954265</c:v>
                </c:pt>
                <c:pt idx="134">
                  <c:v>77.187097086975044</c:v>
                </c:pt>
                <c:pt idx="135">
                  <c:v>76.960018453310582</c:v>
                </c:pt>
                <c:pt idx="136">
                  <c:v>76.73248779681083</c:v>
                </c:pt>
                <c:pt idx="137">
                  <c:v>76.504510224429737</c:v>
                </c:pt>
                <c:pt idx="138">
                  <c:v>76.276090843881619</c:v>
                </c:pt>
                <c:pt idx="139">
                  <c:v>76.047234763298661</c:v>
                </c:pt>
                <c:pt idx="140">
                  <c:v>75.817947090890101</c:v>
                </c:pt>
                <c:pt idx="141">
                  <c:v>75.588232934602885</c:v>
                </c:pt>
                <c:pt idx="142">
                  <c:v>75.358097401783638</c:v>
                </c:pt>
                <c:pt idx="143">
                  <c:v>75.127545598842502</c:v>
                </c:pt>
                <c:pt idx="144">
                  <c:v>74.896582630918331</c:v>
                </c:pt>
                <c:pt idx="145">
                  <c:v>74.665213601545545</c:v>
                </c:pt>
                <c:pt idx="146">
                  <c:v>74.433443612322819</c:v>
                </c:pt>
                <c:pt idx="147">
                  <c:v>74.201277762583288</c:v>
                </c:pt>
                <c:pt idx="148">
                  <c:v>73.968721149066454</c:v>
                </c:pt>
                <c:pt idx="149">
                  <c:v>73.735778865592053</c:v>
                </c:pt>
                <c:pt idx="150">
                  <c:v>73.502456002735386</c:v>
                </c:pt>
                <c:pt idx="151">
                  <c:v>73.277227838791333</c:v>
                </c:pt>
                <c:pt idx="152">
                  <c:v>73.06010327765641</c:v>
                </c:pt>
                <c:pt idx="153">
                  <c:v>72.842614011287623</c:v>
                </c:pt>
                <c:pt idx="154">
                  <c:v>72.624764709279745</c:v>
                </c:pt>
                <c:pt idx="155">
                  <c:v>72.406560038464832</c:v>
                </c:pt>
                <c:pt idx="156">
                  <c:v>72.188004662626881</c:v>
                </c:pt>
                <c:pt idx="157">
                  <c:v>71.969103242217955</c:v>
                </c:pt>
                <c:pt idx="158">
                  <c:v>71.749860434076012</c:v>
                </c:pt>
                <c:pt idx="159">
                  <c:v>71.530280891144216</c:v>
                </c:pt>
                <c:pt idx="160">
                  <c:v>71.310369262192168</c:v>
                </c:pt>
                <c:pt idx="161">
                  <c:v>71.090130191538634</c:v>
                </c:pt>
                <c:pt idx="162">
                  <c:v>70.869568318776018</c:v>
                </c:pt>
                <c:pt idx="163">
                  <c:v>70.648688278496607</c:v>
                </c:pt>
                <c:pt idx="164">
                  <c:v>70.427494700020674</c:v>
                </c:pt>
                <c:pt idx="165">
                  <c:v>70.20599220712603</c:v>
                </c:pt>
                <c:pt idx="166">
                  <c:v>69.984185417779813</c:v>
                </c:pt>
                <c:pt idx="167">
                  <c:v>69.762078943871828</c:v>
                </c:pt>
                <c:pt idx="168">
                  <c:v>69.539677390949748</c:v>
                </c:pt>
                <c:pt idx="169">
                  <c:v>69.316985357956312</c:v>
                </c:pt>
                <c:pt idx="170">
                  <c:v>69.094007436968255</c:v>
                </c:pt>
                <c:pt idx="171">
                  <c:v>68.870748212937315</c:v>
                </c:pt>
                <c:pt idx="172">
                  <c:v>68.647212263432976</c:v>
                </c:pt>
                <c:pt idx="173">
                  <c:v>68.423404158387299</c:v>
                </c:pt>
                <c:pt idx="174">
                  <c:v>68.199328459841709</c:v>
                </c:pt>
                <c:pt idx="175">
                  <c:v>67.974989721695678</c:v>
                </c:pt>
                <c:pt idx="176">
                  <c:v>67.750392489457397</c:v>
                </c:pt>
                <c:pt idx="177">
                  <c:v>67.525541299996689</c:v>
                </c:pt>
                <c:pt idx="178">
                  <c:v>67.300440681299605</c:v>
                </c:pt>
                <c:pt idx="179">
                  <c:v>67.075095152225344</c:v>
                </c:pt>
                <c:pt idx="180">
                  <c:v>66.849509222265198</c:v>
                </c:pt>
                <c:pt idx="181">
                  <c:v>66.623687391303363</c:v>
                </c:pt>
                <c:pt idx="182">
                  <c:v>66.397634149380181</c:v>
                </c:pt>
                <c:pt idx="183">
                  <c:v>66.171353976457283</c:v>
                </c:pt>
                <c:pt idx="184">
                  <c:v>65.944851342184833</c:v>
                </c:pt>
                <c:pt idx="185">
                  <c:v>65.718130705671001</c:v>
                </c:pt>
                <c:pt idx="186">
                  <c:v>65.49119651525362</c:v>
                </c:pt>
                <c:pt idx="187">
                  <c:v>65.264053208273879</c:v>
                </c:pt>
                <c:pt idx="188">
                  <c:v>65.036705210852276</c:v>
                </c:pt>
                <c:pt idx="189">
                  <c:v>64.80915693766687</c:v>
                </c:pt>
                <c:pt idx="190">
                  <c:v>64.581412791733428</c:v>
                </c:pt>
                <c:pt idx="191">
                  <c:v>64.353477164188106</c:v>
                </c:pt>
                <c:pt idx="192">
                  <c:v>64.125354434072179</c:v>
                </c:pt>
                <c:pt idx="193">
                  <c:v>63.89704896811913</c:v>
                </c:pt>
                <c:pt idx="194">
                  <c:v>63.668565120543747</c:v>
                </c:pt>
                <c:pt idx="195">
                  <c:v>63.439907232833818</c:v>
                </c:pt>
                <c:pt idx="196">
                  <c:v>63.211079633543768</c:v>
                </c:pt>
                <c:pt idx="197">
                  <c:v>62.982086638090792</c:v>
                </c:pt>
                <c:pt idx="198">
                  <c:v>62.752932548553112</c:v>
                </c:pt>
                <c:pt idx="199">
                  <c:v>62.523621653470705</c:v>
                </c:pt>
                <c:pt idx="200">
                  <c:v>62.294158227648118</c:v>
                </c:pt>
                <c:pt idx="201">
                  <c:v>62.064546531959721</c:v>
                </c:pt>
                <c:pt idx="202">
                  <c:v>61.834790813157277</c:v>
                </c:pt>
                <c:pt idx="203">
                  <c:v>61.604895303679804</c:v>
                </c:pt>
                <c:pt idx="204">
                  <c:v>61.37486422146565</c:v>
                </c:pt>
                <c:pt idx="205">
                  <c:v>61.144701769767188</c:v>
                </c:pt>
                <c:pt idx="206">
                  <c:v>60.914412136967464</c:v>
                </c:pt>
                <c:pt idx="207">
                  <c:v>60.683999496399444</c:v>
                </c:pt>
                <c:pt idx="208">
                  <c:v>60.453468006167682</c:v>
                </c:pt>
                <c:pt idx="209">
                  <c:v>60.222821808971965</c:v>
                </c:pt>
                <c:pt idx="210">
                  <c:v>59.992065031933762</c:v>
                </c:pt>
                <c:pt idx="211">
                  <c:v>59.761201786424643</c:v>
                </c:pt>
                <c:pt idx="212">
                  <c:v>59.53023616789735</c:v>
                </c:pt>
                <c:pt idx="213">
                  <c:v>59.29917225571905</c:v>
                </c:pt>
                <c:pt idx="214">
                  <c:v>59.068014113007017</c:v>
                </c:pt>
                <c:pt idx="215">
                  <c:v>58.836765786466685</c:v>
                </c:pt>
                <c:pt idx="216">
                  <c:v>58.605431306232013</c:v>
                </c:pt>
                <c:pt idx="217">
                  <c:v>58.374014685708346</c:v>
                </c:pt>
                <c:pt idx="218">
                  <c:v>58.142519921417509</c:v>
                </c:pt>
                <c:pt idx="219">
                  <c:v>57.910950992845308</c:v>
                </c:pt>
                <c:pt idx="220">
                  <c:v>57.679311862291492</c:v>
                </c:pt>
                <c:pt idx="221">
                  <c:v>57.447606474721901</c:v>
                </c:pt>
                <c:pt idx="222">
                  <c:v>57.215838757623267</c:v>
                </c:pt>
                <c:pt idx="223">
                  <c:v>56.984012620860021</c:v>
                </c:pt>
                <c:pt idx="224">
                  <c:v>56.752131956533795</c:v>
                </c:pt>
                <c:pt idx="225">
                  <c:v>56.520200638845132</c:v>
                </c:pt>
                <c:pt idx="226">
                  <c:v>56.288222523957529</c:v>
                </c:pt>
                <c:pt idx="227">
                  <c:v>56.056201449863956</c:v>
                </c:pt>
                <c:pt idx="228">
                  <c:v>55.824141236255663</c:v>
                </c:pt>
                <c:pt idx="229">
                  <c:v>55.592045684393312</c:v>
                </c:pt>
                <c:pt idx="230">
                  <c:v>55.359918576980611</c:v>
                </c:pt>
                <c:pt idx="231">
                  <c:v>55.127763678040033</c:v>
                </c:pt>
                <c:pt idx="232">
                  <c:v>54.895584732791278</c:v>
                </c:pt>
                <c:pt idx="233">
                  <c:v>54.663385467531597</c:v>
                </c:pt>
                <c:pt idx="234">
                  <c:v>54.431169589518845</c:v>
                </c:pt>
                <c:pt idx="235">
                  <c:v>54.198940786856689</c:v>
                </c:pt>
                <c:pt idx="236">
                  <c:v>53.966702728382167</c:v>
                </c:pt>
                <c:pt idx="237">
                  <c:v>53.734459063555583</c:v>
                </c:pt>
                <c:pt idx="238">
                  <c:v>53.502213422352717</c:v>
                </c:pt>
                <c:pt idx="239">
                  <c:v>53.269969415159331</c:v>
                </c:pt>
                <c:pt idx="240">
                  <c:v>53.03773063266803</c:v>
                </c:pt>
                <c:pt idx="241">
                  <c:v>52.805500645777329</c:v>
                </c:pt>
                <c:pt idx="242">
                  <c:v>52.573283005493124</c:v>
                </c:pt>
                <c:pt idx="243">
                  <c:v>52.34108124283236</c:v>
                </c:pt>
                <c:pt idx="244">
                  <c:v>52.108898868728957</c:v>
                </c:pt>
                <c:pt idx="245">
                  <c:v>51.876739373942229</c:v>
                </c:pt>
                <c:pt idx="246">
                  <c:v>51.644606228967163</c:v>
                </c:pt>
                <c:pt idx="247">
                  <c:v>51.412502883947383</c:v>
                </c:pt>
                <c:pt idx="248">
                  <c:v>51.180432768589995</c:v>
                </c:pt>
                <c:pt idx="249">
                  <c:v>50.948399292082939</c:v>
                </c:pt>
                <c:pt idx="250">
                  <c:v>50.716405843014442</c:v>
                </c:pt>
                <c:pt idx="251">
                  <c:v>50.447918073740588</c:v>
                </c:pt>
                <c:pt idx="252">
                  <c:v>50.142955161172416</c:v>
                </c:pt>
                <c:pt idx="253">
                  <c:v>49.838098295459787</c:v>
                </c:pt>
                <c:pt idx="254">
                  <c:v>49.533352073565311</c:v>
                </c:pt>
                <c:pt idx="255">
                  <c:v>49.228721057092827</c:v>
                </c:pt>
                <c:pt idx="256">
                  <c:v>48.924209772203618</c:v>
                </c:pt>
                <c:pt idx="257">
                  <c:v>48.619822709536557</c:v>
                </c:pt>
                <c:pt idx="258">
                  <c:v>48.315564324132204</c:v>
                </c:pt>
                <c:pt idx="259">
                  <c:v>48.011439035360652</c:v>
                </c:pt>
                <c:pt idx="260">
                  <c:v>47.707451226853479</c:v>
                </c:pt>
                <c:pt idx="261">
                  <c:v>47.403605246439248</c:v>
                </c:pt>
                <c:pt idx="262">
                  <c:v>47.099905406083046</c:v>
                </c:pt>
                <c:pt idx="263">
                  <c:v>46.796355981829656</c:v>
                </c:pt>
                <c:pt idx="264">
                  <c:v>46.492961213750597</c:v>
                </c:pt>
                <c:pt idx="265">
                  <c:v>46.189725305894747</c:v>
                </c:pt>
                <c:pt idx="266">
                  <c:v>45.886652426242804</c:v>
                </c:pt>
                <c:pt idx="267">
                  <c:v>45.583746706665288</c:v>
                </c:pt>
                <c:pt idx="268">
                  <c:v>45.281012242884259</c:v>
                </c:pt>
                <c:pt idx="269">
                  <c:v>44.978453094438649</c:v>
                </c:pt>
                <c:pt idx="270">
                  <c:v>44.676073284653071</c:v>
                </c:pt>
                <c:pt idx="271">
                  <c:v>44.373876800610255</c:v>
                </c:pt>
                <c:pt idx="272">
                  <c:v>44.071867593127017</c:v>
                </c:pt>
                <c:pt idx="273">
                  <c:v>43.770049576733641</c:v>
                </c:pt>
                <c:pt idx="274">
                  <c:v>43.468426629656747</c:v>
                </c:pt>
                <c:pt idx="275">
                  <c:v>43.167002593805613</c:v>
                </c:pt>
                <c:pt idx="276">
                  <c:v>42.865781274761829</c:v>
                </c:pt>
                <c:pt idx="277">
                  <c:v>42.564766441772363</c:v>
                </c:pt>
                <c:pt idx="278">
                  <c:v>42.263961827745909</c:v>
                </c:pt>
                <c:pt idx="279">
                  <c:v>41.963371129252543</c:v>
                </c:pt>
                <c:pt idx="280">
                  <c:v>41.662998006526685</c:v>
                </c:pt>
                <c:pt idx="281">
                  <c:v>41.362846083473215</c:v>
                </c:pt>
                <c:pt idx="282">
                  <c:v>41.06291894767687</c:v>
                </c:pt>
                <c:pt idx="283">
                  <c:v>40.763220150414725</c:v>
                </c:pt>
                <c:pt idx="284">
                  <c:v>40.463753206671853</c:v>
                </c:pt>
                <c:pt idx="285">
                  <c:v>40.164521595160096</c:v>
                </c:pt>
                <c:pt idx="286">
                  <c:v>39.865528758339849</c:v>
                </c:pt>
                <c:pt idx="287">
                  <c:v>39.566778102444943</c:v>
                </c:pt>
                <c:pt idx="288">
                  <c:v>39.268272997510458</c:v>
                </c:pt>
                <c:pt idx="289">
                  <c:v>38.970016777403536</c:v>
                </c:pt>
                <c:pt idx="290">
                  <c:v>38.672012739857152</c:v>
                </c:pt>
                <c:pt idx="291">
                  <c:v>38.374264146506761</c:v>
                </c:pt>
                <c:pt idx="292">
                  <c:v>38.07677422292975</c:v>
                </c:pt>
                <c:pt idx="293">
                  <c:v>37.779546158687801</c:v>
                </c:pt>
                <c:pt idx="294">
                  <c:v>37.482583107372072</c:v>
                </c:pt>
                <c:pt idx="295">
                  <c:v>37.185888186650999</c:v>
                </c:pt>
                <c:pt idx="296">
                  <c:v>36.889464478320946</c:v>
                </c:pt>
                <c:pt idx="297">
                  <c:v>36.593315028359584</c:v>
                </c:pt>
                <c:pt idx="298">
                  <c:v>35.896514848443388</c:v>
                </c:pt>
                <c:pt idx="299">
                  <c:v>34.79941137445136</c:v>
                </c:pt>
                <c:pt idx="300">
                  <c:v>33.703502155628236</c:v>
                </c:pt>
                <c:pt idx="301">
                  <c:v>32.608810450465803</c:v>
                </c:pt>
                <c:pt idx="302">
                  <c:v>31.515359085104137</c:v>
                </c:pt>
                <c:pt idx="303">
                  <c:v>30.423170453973206</c:v>
                </c:pt>
                <c:pt idx="304">
                  <c:v>29.332266520509997</c:v>
                </c:pt>
                <c:pt idx="305">
                  <c:v>28.242668817949713</c:v>
                </c:pt>
                <c:pt idx="306">
                  <c:v>27.154398450189863</c:v>
                </c:pt>
                <c:pt idx="307">
                  <c:v>26.067476092725492</c:v>
                </c:pt>
                <c:pt idx="308">
                  <c:v>24.981921993654399</c:v>
                </c:pt>
                <c:pt idx="309">
                  <c:v>23.89775597475089</c:v>
                </c:pt>
                <c:pt idx="310">
                  <c:v>22.814997432606489</c:v>
                </c:pt>
                <c:pt idx="311">
                  <c:v>21.733665339836438</c:v>
                </c:pt>
                <c:pt idx="312">
                  <c:v>20.653778246350299</c:v>
                </c:pt>
                <c:pt idx="313">
                  <c:v>19.575354280685417</c:v>
                </c:pt>
                <c:pt idx="314">
                  <c:v>18.498411151401825</c:v>
                </c:pt>
                <c:pt idx="315">
                  <c:v>17.422966148536954</c:v>
                </c:pt>
                <c:pt idx="316">
                  <c:v>16.349036145119019</c:v>
                </c:pt>
                <c:pt idx="317">
                  <c:v>15.276637598737489</c:v>
                </c:pt>
                <c:pt idx="318">
                  <c:v>14.205786553169171</c:v>
                </c:pt>
                <c:pt idx="319">
                  <c:v>13.136498640058734</c:v>
                </c:pt>
                <c:pt idx="320">
                  <c:v>12.068789080651959</c:v>
                </c:pt>
                <c:pt idx="321">
                  <c:v>11.162093569182572</c:v>
                </c:pt>
                <c:pt idx="322">
                  <c:v>10.416204783741732</c:v>
                </c:pt>
                <c:pt idx="323">
                  <c:v>9.6714457158931193</c:v>
                </c:pt>
                <c:pt idx="324">
                  <c:v>8.9278224453833808</c:v>
                </c:pt>
                <c:pt idx="325">
                  <c:v>8.1853408564153227</c:v>
                </c:pt>
                <c:pt idx="326">
                  <c:v>7.4440066387486432</c:v>
                </c:pt>
                <c:pt idx="327">
                  <c:v>6.7038252888133707</c:v>
                </c:pt>
                <c:pt idx="328">
                  <c:v>5.9648021108356826</c:v>
                </c:pt>
                <c:pt idx="329">
                  <c:v>5.2269422179756555</c:v>
                </c:pt>
                <c:pt idx="330">
                  <c:v>4.490250533476484</c:v>
                </c:pt>
                <c:pt idx="331">
                  <c:v>3.7547317918246446</c:v>
                </c:pt>
                <c:pt idx="332">
                  <c:v>3.0203905399206281</c:v>
                </c:pt>
                <c:pt idx="333">
                  <c:v>2.2872311382597768</c:v>
                </c:pt>
                <c:pt idx="334">
                  <c:v>1.555257762122727</c:v>
                </c:pt>
                <c:pt idx="335">
                  <c:v>0.82447440277511508</c:v>
                </c:pt>
                <c:pt idx="336">
                  <c:v>9.4884868676043066E-2</c:v>
                </c:pt>
                <c:pt idx="337">
                  <c:v>-0.63350721330512449</c:v>
                </c:pt>
                <c:pt idx="338">
                  <c:v>-1.3606983966640518</c:v>
                </c:pt>
                <c:pt idx="339">
                  <c:v>-2.0866854140291529</c:v>
                </c:pt>
                <c:pt idx="340">
                  <c:v>-2.811465175922315</c:v>
                </c:pt>
                <c:pt idx="341">
                  <c:v>-3.5350347695128987</c:v>
                </c:pt>
                <c:pt idx="342">
                  <c:v>-4.2573914573655349</c:v>
                </c:pt>
                <c:pt idx="343">
                  <c:v>-4.9785326761819402</c:v>
                </c:pt>
                <c:pt idx="344">
                  <c:v>-5.698456035537407</c:v>
                </c:pt>
                <c:pt idx="345">
                  <c:v>-6.4171593166121692</c:v>
                </c:pt>
                <c:pt idx="346">
                  <c:v>-7.1346404709180291</c:v>
                </c:pt>
                <c:pt idx="347">
                  <c:v>-7.8508976190208069</c:v>
                </c:pt>
                <c:pt idx="348">
                  <c:v>-8.5487384311997747</c:v>
                </c:pt>
                <c:pt idx="349">
                  <c:v>-9.2281915686838722</c:v>
                </c:pt>
                <c:pt idx="350">
                  <c:v>-9.9064779993163103</c:v>
                </c:pt>
                <c:pt idx="351">
                  <c:v>-10.583596898181831</c:v>
                </c:pt>
                <c:pt idx="352">
                  <c:v>-11.259547586541228</c:v>
                </c:pt>
                <c:pt idx="353">
                  <c:v>-11.934329530654839</c:v>
                </c:pt>
                <c:pt idx="354">
                  <c:v>-12.607942340604952</c:v>
                </c:pt>
                <c:pt idx="355">
                  <c:v>-13.280385769117736</c:v>
                </c:pt>
                <c:pt idx="356">
                  <c:v>-13.951659710384829</c:v>
                </c:pt>
                <c:pt idx="357">
                  <c:v>-14.621764198885026</c:v>
                </c:pt>
                <c:pt idx="358">
                  <c:v>-15.290699408206072</c:v>
                </c:pt>
                <c:pt idx="359">
                  <c:v>-15.958465649867158</c:v>
                </c:pt>
                <c:pt idx="360">
                  <c:v>-16.267553926922456</c:v>
                </c:pt>
                <c:pt idx="361">
                  <c:v>-16.218636828083856</c:v>
                </c:pt>
                <c:pt idx="362">
                  <c:v>-16.169893504357276</c:v>
                </c:pt>
                <c:pt idx="363">
                  <c:v>-16.121323145167608</c:v>
                </c:pt>
                <c:pt idx="364">
                  <c:v>-16.072924944725234</c:v>
                </c:pt>
                <c:pt idx="365">
                  <c:v>-16.024698101992033</c:v>
                </c:pt>
                <c:pt idx="366">
                  <c:v>-15.976641820647723</c:v>
                </c:pt>
                <c:pt idx="367">
                  <c:v>-15.928755309056466</c:v>
                </c:pt>
                <c:pt idx="368">
                  <c:v>-15.881037780233722</c:v>
                </c:pt>
                <c:pt idx="369">
                  <c:v>-15.833488451813432</c:v>
                </c:pt>
                <c:pt idx="370">
                  <c:v>-15.786106546015391</c:v>
                </c:pt>
                <c:pt idx="371">
                  <c:v>-15.73889128961298</c:v>
                </c:pt>
                <c:pt idx="372">
                  <c:v>-15.691841913901108</c:v>
                </c:pt>
                <c:pt idx="373">
                  <c:v>-15.644957654664429</c:v>
                </c:pt>
                <c:pt idx="374">
                  <c:v>-15.598237752145815</c:v>
                </c:pt>
                <c:pt idx="375">
                  <c:v>-15.551681451015131</c:v>
                </c:pt>
                <c:pt idx="376">
                  <c:v>-15.505288000338178</c:v>
                </c:pt>
                <c:pt idx="377">
                  <c:v>-15.459056653545977</c:v>
                </c:pt>
                <c:pt idx="378">
                  <c:v>-15.412986668404274</c:v>
                </c:pt>
                <c:pt idx="379">
                  <c:v>-15.367077306983264</c:v>
                </c:pt>
                <c:pt idx="380">
                  <c:v>-15.321327835627617</c:v>
                </c:pt>
                <c:pt idx="381">
                  <c:v>-15.275737524926697</c:v>
                </c:pt>
                <c:pt idx="382">
                  <c:v>-15.230305649685068</c:v>
                </c:pt>
                <c:pt idx="383">
                  <c:v>-15.185031488893202</c:v>
                </c:pt>
                <c:pt idx="384">
                  <c:v>-15.139914325698442</c:v>
                </c:pt>
                <c:pt idx="385">
                  <c:v>-15.094953447376211</c:v>
                </c:pt>
                <c:pt idx="386">
                  <c:v>-15.050148145301433</c:v>
                </c:pt>
                <c:pt idx="387">
                  <c:v>-15.005497714920205</c:v>
                </c:pt>
                <c:pt idx="388">
                  <c:v>-14.961001455721652</c:v>
                </c:pt>
                <c:pt idx="389">
                  <c:v>-14.916658671210122</c:v>
                </c:pt>
                <c:pt idx="390">
                  <c:v>-14.872468668877453</c:v>
                </c:pt>
                <c:pt idx="391">
                  <c:v>-14.82843076017557</c:v>
                </c:pt>
                <c:pt idx="392">
                  <c:v>-14.784544260489268</c:v>
                </c:pt>
                <c:pt idx="393">
                  <c:v>-14.740808489109238</c:v>
                </c:pt>
                <c:pt idx="394">
                  <c:v>-14.697222769205242</c:v>
                </c:pt>
                <c:pt idx="395">
                  <c:v>-14.653786427799607</c:v>
                </c:pt>
                <c:pt idx="396">
                  <c:v>-14.610498795740831</c:v>
                </c:pt>
                <c:pt idx="397">
                  <c:v>-14.567359207677457</c:v>
                </c:pt>
                <c:pt idx="398">
                  <c:v>-14.524367002032156</c:v>
                </c:pt>
                <c:pt idx="399">
                  <c:v>-14.481521520975965</c:v>
                </c:pt>
                <c:pt idx="400">
                  <c:v>-14.438822110402825</c:v>
                </c:pt>
                <c:pt idx="401">
                  <c:v>-14.396268119904224</c:v>
                </c:pt>
                <c:pt idx="402">
                  <c:v>-13.975469743008841</c:v>
                </c:pt>
                <c:pt idx="403">
                  <c:v>-13.56877567555328</c:v>
                </c:pt>
                <c:pt idx="404">
                  <c:v>-13.175574208868548</c:v>
                </c:pt>
                <c:pt idx="405">
                  <c:v>-12.795287015928729</c:v>
                </c:pt>
                <c:pt idx="406">
                  <c:v>-12.427366981815805</c:v>
                </c:pt>
                <c:pt idx="407">
                  <c:v>-12.071296197688698</c:v>
                </c:pt>
                <c:pt idx="408">
                  <c:v>-11.726584104282894</c:v>
                </c:pt>
                <c:pt idx="409">
                  <c:v>-11.392765772299281</c:v>
                </c:pt>
                <c:pt idx="410">
                  <c:v>-11.069400308234172</c:v>
                </c:pt>
                <c:pt idx="411">
                  <c:v>-10.756069375270526</c:v>
                </c:pt>
                <c:pt idx="412">
                  <c:v>-10.452375819809598</c:v>
                </c:pt>
                <c:pt idx="413">
                  <c:v>-10.157942395083223</c:v>
                </c:pt>
                <c:pt idx="414">
                  <c:v>-9.8724105740613979</c:v>
                </c:pt>
                <c:pt idx="415">
                  <c:v>-9.5954394445669262</c:v>
                </c:pt>
                <c:pt idx="416">
                  <c:v>-9.3267046801373894</c:v>
                </c:pt>
                <c:pt idx="417">
                  <c:v>-9.0658975807415967</c:v>
                </c:pt>
                <c:pt idx="418">
                  <c:v>-8.8127241779696348</c:v>
                </c:pt>
                <c:pt idx="419">
                  <c:v>-8.5669043997789078</c:v>
                </c:pt>
                <c:pt idx="420">
                  <c:v>-8.3281712902973855</c:v>
                </c:pt>
                <c:pt idx="421">
                  <c:v>-8.0962702805651219</c:v>
                </c:pt>
                <c:pt idx="422">
                  <c:v>-7.8709585064394352</c:v>
                </c:pt>
                <c:pt idx="423">
                  <c:v>-7.6520041702017059</c:v>
                </c:pt>
                <c:pt idx="424">
                  <c:v>-7.4391859426878328</c:v>
                </c:pt>
                <c:pt idx="425">
                  <c:v>-7.2322924030226519</c:v>
                </c:pt>
                <c:pt idx="426">
                  <c:v>-7.0311215132738427</c:v>
                </c:pt>
                <c:pt idx="427">
                  <c:v>-6.8354801255551356</c:v>
                </c:pt>
                <c:pt idx="428">
                  <c:v>-6.6451835193039575</c:v>
                </c:pt>
                <c:pt idx="429">
                  <c:v>-6.4600549666370135</c:v>
                </c:pt>
                <c:pt idx="430">
                  <c:v>-6.2799253238502768</c:v>
                </c:pt>
                <c:pt idx="431">
                  <c:v>-6.1046326472787138</c:v>
                </c:pt>
                <c:pt idx="432">
                  <c:v>-5.9340218318673701</c:v>
                </c:pt>
                <c:pt idx="433">
                  <c:v>-5.7679442709303173</c:v>
                </c:pt>
                <c:pt idx="434">
                  <c:v>-5.6062575356881474</c:v>
                </c:pt>
                <c:pt idx="435">
                  <c:v>-5.4488250732798207</c:v>
                </c:pt>
                <c:pt idx="436">
                  <c:v>-5.2955159220407024</c:v>
                </c:pt>
                <c:pt idx="437">
                  <c:v>-5.1462044429272371</c:v>
                </c:pt>
                <c:pt idx="438">
                  <c:v>-5.0007700660498617</c:v>
                </c:pt>
                <c:pt idx="439">
                  <c:v>-4.8590970513506253</c:v>
                </c:pt>
                <c:pt idx="440">
                  <c:v>-4.7210742625306885</c:v>
                </c:pt>
                <c:pt idx="441">
                  <c:v>-4.5865949533963528</c:v>
                </c:pt>
                <c:pt idx="442">
                  <c:v>-4.4555565658507037</c:v>
                </c:pt>
                <c:pt idx="443">
                  <c:v>-4.3278605388117626</c:v>
                </c:pt>
                <c:pt idx="444">
                  <c:v>-4.203412127387895</c:v>
                </c:pt>
                <c:pt idx="445">
                  <c:v>-4.0821202316870684</c:v>
                </c:pt>
                <c:pt idx="446">
                  <c:v>-3.9638972346791088</c:v>
                </c:pt>
                <c:pt idx="447">
                  <c:v>-3.8486588485692836</c:v>
                </c:pt>
                <c:pt idx="448">
                  <c:v>-3.7363239691779127</c:v>
                </c:pt>
                <c:pt idx="449">
                  <c:v>-3.6268145378543526</c:v>
                </c:pt>
                <c:pt idx="450">
                  <c:v>-3.5200554104848516</c:v>
                </c:pt>
                <c:pt idx="451">
                  <c:v>-3.4159742331826379</c:v>
                </c:pt>
                <c:pt idx="452">
                  <c:v>-3.3145013242754469</c:v>
                </c:pt>
                <c:pt idx="453">
                  <c:v>-3.2155695622305274</c:v>
                </c:pt>
                <c:pt idx="454">
                  <c:v>-3.1191142791802022</c:v>
                </c:pt>
                <c:pt idx="455">
                  <c:v>-3.0250731597326528</c:v>
                </c:pt>
                <c:pt idx="456">
                  <c:v>-2.9333861447723346</c:v>
                </c:pt>
                <c:pt idx="457">
                  <c:v>-2.8439953399731506</c:v>
                </c:pt>
                <c:pt idx="458">
                  <c:v>-2.7568449287646386</c:v>
                </c:pt>
                <c:pt idx="459">
                  <c:v>-2.6718810895075467</c:v>
                </c:pt>
                <c:pt idx="460">
                  <c:v>-2.5890519166500918</c:v>
                </c:pt>
                <c:pt idx="461">
                  <c:v>-2.5083073456501763</c:v>
                </c:pt>
                <c:pt idx="462">
                  <c:v>-2.4295990814617507</c:v>
                </c:pt>
                <c:pt idx="463">
                  <c:v>-2.3528805303957188</c:v>
                </c:pt>
                <c:pt idx="464">
                  <c:v>-2.2781067351769826</c:v>
                </c:pt>
                <c:pt idx="465">
                  <c:v>-2.2052343130298566</c:v>
                </c:pt>
                <c:pt idx="466">
                  <c:v>-2.1342213966338512</c:v>
                </c:pt>
                <c:pt idx="467">
                  <c:v>-2.0650275778010743</c:v>
                </c:pt>
                <c:pt idx="468">
                  <c:v>-1.9976138537350649</c:v>
                </c:pt>
                <c:pt idx="469">
                  <c:v>-1.9319425757388697</c:v>
                </c:pt>
                <c:pt idx="470">
                  <c:v>-1.8679774002477245</c:v>
                </c:pt>
                <c:pt idx="471">
                  <c:v>-1.8056832420686588</c:v>
                </c:pt>
                <c:pt idx="472">
                  <c:v>-1.7450262297159103</c:v>
                </c:pt>
                <c:pt idx="473">
                  <c:v>-1.6859736627371544</c:v>
                </c:pt>
                <c:pt idx="474">
                  <c:v>-1.6284939709312671</c:v>
                </c:pt>
                <c:pt idx="475">
                  <c:v>-1.5725566753636759</c:v>
                </c:pt>
                <c:pt idx="476">
                  <c:v>-1.5181323510903433</c:v>
                </c:pt>
                <c:pt idx="477">
                  <c:v>-1.4651925915060806</c:v>
                </c:pt>
                <c:pt idx="478">
                  <c:v>-1.413709974237231</c:v>
                </c:pt>
                <c:pt idx="479">
                  <c:v>-1.3636580285027837</c:v>
                </c:pt>
                <c:pt idx="480">
                  <c:v>-1.3150112038717772</c:v>
                </c:pt>
                <c:pt idx="481">
                  <c:v>-1.2677448403482885</c:v>
                </c:pt>
                <c:pt idx="482">
                  <c:v>-1.2218351397185989</c:v>
                </c:pt>
                <c:pt idx="483">
                  <c:v>-1.177259138098063</c:v>
                </c:pt>
                <c:pt idx="484">
                  <c:v>-1.1339946796180052</c:v>
                </c:pt>
                <c:pt idx="485">
                  <c:v>-1.0920203911954589</c:v>
                </c:pt>
                <c:pt idx="486">
                  <c:v>-1.0513156583309045</c:v>
                </c:pt>
                <c:pt idx="487">
                  <c:v>-1.0118606018812153</c:v>
                </c:pt>
                <c:pt idx="488">
                  <c:v>-0.97363605575693224</c:v>
                </c:pt>
                <c:pt idx="489">
                  <c:v>-0.93662354549464444</c:v>
                </c:pt>
                <c:pt idx="490">
                  <c:v>-0.90080526765671132</c:v>
                </c:pt>
                <c:pt idx="491">
                  <c:v>-0.86616407001184204</c:v>
                </c:pt>
                <c:pt idx="492">
                  <c:v>-0.83268343245109078</c:v>
                </c:pt>
                <c:pt idx="493">
                  <c:v>-0.80034744859468587</c:v>
                </c:pt>
                <c:pt idx="494">
                  <c:v>-0.76914080804576246</c:v>
                </c:pt>
                <c:pt idx="495">
                  <c:v>-0.73904877924750945</c:v>
                </c:pt>
                <c:pt idx="496">
                  <c:v>-0.71005719290048874</c:v>
                </c:pt>
                <c:pt idx="497">
                  <c:v>-0.68215242589691838</c:v>
                </c:pt>
                <c:pt idx="498">
                  <c:v>-0.65532138572855703</c:v>
                </c:pt>
                <c:pt idx="499">
                  <c:v>-0.62955149532446608</c:v>
                </c:pt>
                <c:pt idx="500">
                  <c:v>-0.6048306782743903</c:v>
                </c:pt>
                <c:pt idx="501">
                  <c:v>-0.58114734439278171</c:v>
                </c:pt>
                <c:pt idx="502">
                  <c:v>-0.55849037557762882</c:v>
                </c:pt>
                <c:pt idx="503">
                  <c:v>-0.53684911191727835</c:v>
                </c:pt>
                <c:pt idx="504">
                  <c:v>-0.51621333799734415</c:v>
                </c:pt>
                <c:pt idx="505">
                  <c:v>-0.49657326935872359</c:v>
                </c:pt>
                <c:pt idx="506">
                  <c:v>-0.47791953905664197</c:v>
                </c:pt>
                <c:pt idx="507">
                  <c:v>-0.46024318426970989</c:v>
                </c:pt>
                <c:pt idx="508">
                  <c:v>-0.44353563290722181</c:v>
                </c:pt>
                <c:pt idx="509">
                  <c:v>-0.42778869016251475</c:v>
                </c:pt>
                <c:pt idx="510">
                  <c:v>-0.41299452496027461</c:v>
                </c:pt>
                <c:pt idx="511">
                  <c:v>-0.39914565624637249</c:v>
                </c:pt>
                <c:pt idx="512">
                  <c:v>-0.38623493907031847</c:v>
                </c:pt>
                <c:pt idx="513">
                  <c:v>-0.37425555041291964</c:v>
                </c:pt>
                <c:pt idx="514">
                  <c:v>-0.36320097471541546</c:v>
                </c:pt>
                <c:pt idx="515">
                  <c:v>-0.35306498907138978</c:v>
                </c:pt>
                <c:pt idx="516">
                  <c:v>-0.34384164804930711</c:v>
                </c:pt>
                <c:pt idx="517">
                  <c:v>-0.33552526812165306</c:v>
                </c:pt>
                <c:pt idx="518">
                  <c:v>-0.32811041168644994</c:v>
                </c:pt>
                <c:pt idx="519">
                  <c:v>-0.32159187067826744</c:v>
                </c:pt>
                <c:pt idx="520">
                  <c:v>-0.31596464977863675</c:v>
                </c:pt>
                <c:pt idx="521">
                  <c:v>-0.31122394924967839</c:v>
                </c:pt>
                <c:pt idx="522">
                  <c:v>-0.3073651474293902</c:v>
                </c:pt>
                <c:pt idx="523">
                  <c:v>-0.30438378294185958</c:v>
                </c:pt>
                <c:pt idx="524">
                  <c:v>-0.30227553669005991</c:v>
                </c:pt>
                <c:pt idx="525">
                  <c:v>-0.30103621371216854</c:v>
                </c:pt>
                <c:pt idx="526">
                  <c:v>-0.30066172499382671</c:v>
                </c:pt>
                <c:pt idx="527">
                  <c:v>-0.30114806933781296</c:v>
                </c:pt>
                <c:pt idx="528">
                  <c:v>-0.30249131539868079</c:v>
                </c:pt>
                <c:pt idx="529">
                  <c:v>-0.30468758399267215</c:v>
                </c:pt>
                <c:pt idx="530">
                  <c:v>-0.30773303079248659</c:v>
                </c:pt>
                <c:pt idx="531">
                  <c:v>-0.31162382951231099</c:v>
                </c:pt>
                <c:pt idx="532">
                  <c:v>-0.31635615568117648</c:v>
                </c:pt>
                <c:pt idx="533">
                  <c:v>-0.32192617109264687</c:v>
                </c:pt>
                <c:pt idx="534">
                  <c:v>-0.32833000900665538</c:v>
                </c:pt>
                <c:pt idx="535">
                  <c:v>-0.33556376016567413</c:v>
                </c:pt>
                <c:pt idx="536">
                  <c:v>-0.34362345967301006</c:v>
                </c:pt>
                <c:pt idx="537">
                  <c:v>-0.35250507476654946</c:v>
                </c:pt>
                <c:pt idx="538">
                  <c:v>-0.36220449350730344</c:v>
                </c:pt>
                <c:pt idx="539">
                  <c:v>-0.37271751438912776</c:v>
                </c:pt>
                <c:pt idx="540">
                  <c:v>-0.38403983686434018</c:v>
                </c:pt>
                <c:pt idx="541">
                  <c:v>-0.39616705276988218</c:v>
                </c:pt>
                <c:pt idx="542">
                  <c:v>-0.40909463863027945</c:v>
                </c:pt>
                <c:pt idx="543">
                  <c:v>-0.42281794880692647</c:v>
                </c:pt>
                <c:pt idx="544">
                  <c:v>-0.43733220945813595</c:v>
                </c:pt>
                <c:pt idx="545">
                  <c:v>-0.45263251327076265</c:v>
                </c:pt>
                <c:pt idx="546">
                  <c:v>-0.46871381492191755</c:v>
                </c:pt>
                <c:pt idx="547">
                  <c:v>-0.48557092722810941</c:v>
                </c:pt>
                <c:pt idx="548">
                  <c:v>-0.50319851793892345</c:v>
                </c:pt>
                <c:pt idx="549">
                  <c:v>-0.52159110713285672</c:v>
                </c:pt>
                <c:pt idx="550">
                  <c:v>-0.54074306517404891</c:v>
                </c:pt>
                <c:pt idx="551">
                  <c:v>-0.56064861119017195</c:v>
                </c:pt>
                <c:pt idx="552">
                  <c:v>-0.58130181203359554</c:v>
                </c:pt>
                <c:pt idx="553">
                  <c:v>-0.60269658168998119</c:v>
                </c:pt>
                <c:pt idx="554">
                  <c:v>-0.62482668110059336</c:v>
                </c:pt>
                <c:pt idx="555">
                  <c:v>-0.64768571836681099</c:v>
                </c:pt>
                <c:pt idx="556">
                  <c:v>-0.67126714930746856</c:v>
                </c:pt>
                <c:pt idx="557">
                  <c:v>-0.69556427834176437</c:v>
                </c:pt>
                <c:pt idx="558">
                  <c:v>-0.72057025967249022</c:v>
                </c:pt>
                <c:pt idx="559">
                  <c:v>-0.74627809874623308</c:v>
                </c:pt>
                <c:pt idx="560">
                  <c:v>-0.77268065396900365</c:v>
                </c:pt>
                <c:pt idx="561">
                  <c:v>-0.79977063865739129</c:v>
                </c:pt>
                <c:pt idx="562">
                  <c:v>-0.82754062320689414</c:v>
                </c:pt>
                <c:pt idx="563">
                  <c:v>-0.85598303746048454</c:v>
                </c:pt>
                <c:pt idx="564">
                  <c:v>-0.88509017326175887</c:v>
                </c:pt>
                <c:pt idx="565">
                  <c:v>-0.91485418717820322</c:v>
                </c:pt>
                <c:pt idx="566">
                  <c:v>-0.94526710338117648</c:v>
                </c:pt>
                <c:pt idx="567">
                  <c:v>-0.976320816670189</c:v>
                </c:pt>
                <c:pt idx="568">
                  <c:v>-1.0080070956299267</c:v>
                </c:pt>
                <c:pt idx="569">
                  <c:v>-1.0403175859092775</c:v>
                </c:pt>
                <c:pt idx="570">
                  <c:v>-1.0732438136123323</c:v>
                </c:pt>
                <c:pt idx="571">
                  <c:v>-1.1067771887919768</c:v>
                </c:pt>
                <c:pt idx="572">
                  <c:v>-1.1409090090372893</c:v>
                </c:pt>
                <c:pt idx="573">
                  <c:v>-1.1756304631464793</c:v>
                </c:pt>
                <c:pt idx="574">
                  <c:v>-1.2109326348775948</c:v>
                </c:pt>
                <c:pt idx="575">
                  <c:v>-1.2468065067696383</c:v>
                </c:pt>
                <c:pt idx="576">
                  <c:v>-1.2832429640271574</c:v>
                </c:pt>
                <c:pt idx="577">
                  <c:v>-1.3202327984617019</c:v>
                </c:pt>
                <c:pt idx="578">
                  <c:v>-1.3577667124838937</c:v>
                </c:pt>
                <c:pt idx="579">
                  <c:v>-1.3958353231401202</c:v>
                </c:pt>
                <c:pt idx="580">
                  <c:v>-1.434429166188179</c:v>
                </c:pt>
                <c:pt idx="581">
                  <c:v>-1.4735387002064022</c:v>
                </c:pt>
                <c:pt idx="582">
                  <c:v>-1.5131543107310585</c:v>
                </c:pt>
                <c:pt idx="583">
                  <c:v>-1.5532663144170236</c:v>
                </c:pt>
                <c:pt idx="584">
                  <c:v>-1.5938649632169126</c:v>
                </c:pt>
                <c:pt idx="585">
                  <c:v>-1.6349404485740529</c:v>
                </c:pt>
                <c:pt idx="586">
                  <c:v>-1.676482905624846</c:v>
                </c:pt>
                <c:pt idx="587">
                  <c:v>-1.7184824174062325</c:v>
                </c:pt>
                <c:pt idx="588">
                  <c:v>-1.7609290190641358</c:v>
                </c:pt>
                <c:pt idx="589">
                  <c:v>-1.8038127020588668</c:v>
                </c:pt>
                <c:pt idx="590">
                  <c:v>-1.8471234183636784</c:v>
                </c:pt>
                <c:pt idx="591">
                  <c:v>-1.8908510846527165</c:v>
                </c:pt>
                <c:pt idx="592">
                  <c:v>-1.9349855864747998</c:v>
                </c:pt>
                <c:pt idx="593">
                  <c:v>-1.9795167824095441</c:v>
                </c:pt>
                <c:pt idx="594">
                  <c:v>-2.0244345082024902</c:v>
                </c:pt>
                <c:pt idx="595">
                  <c:v>-2.0697285808759949</c:v>
                </c:pt>
                <c:pt idx="596">
                  <c:v>-2.115388802812761</c:v>
                </c:pt>
                <c:pt idx="597">
                  <c:v>-2.1614049658090044</c:v>
                </c:pt>
                <c:pt idx="598">
                  <c:v>-2.2077668550943161</c:v>
                </c:pt>
                <c:pt idx="599">
                  <c:v>-2.2544642533154682</c:v>
                </c:pt>
                <c:pt idx="600">
                  <c:v>-2.3014869444814168</c:v>
                </c:pt>
                <c:pt idx="601">
                  <c:v>-2.3488247178669268</c:v>
                </c:pt>
                <c:pt idx="602">
                  <c:v>-2.3964673718723342</c:v>
                </c:pt>
                <c:pt idx="603">
                  <c:v>-2.4444047178370059</c:v>
                </c:pt>
                <c:pt idx="604">
                  <c:v>-2.4926265838042374</c:v>
                </c:pt>
                <c:pt idx="605">
                  <c:v>-2.5411228182353667</c:v>
                </c:pt>
                <c:pt idx="606">
                  <c:v>-2.5898832936709941</c:v>
                </c:pt>
                <c:pt idx="607">
                  <c:v>-2.6388979103373038</c:v>
                </c:pt>
                <c:pt idx="608">
                  <c:v>-2.6881565996955525</c:v>
                </c:pt>
                <c:pt idx="609">
                  <c:v>-2.7376493279329273</c:v>
                </c:pt>
                <c:pt idx="610">
                  <c:v>-2.7873660993930081</c:v>
                </c:pt>
                <c:pt idx="611">
                  <c:v>-2.8372969599442124</c:v>
                </c:pt>
                <c:pt idx="612">
                  <c:v>-2.8874320002846634</c:v>
                </c:pt>
                <c:pt idx="613">
                  <c:v>-2.9377613591820317</c:v>
                </c:pt>
                <c:pt idx="614">
                  <c:v>-2.9882752266469588</c:v>
                </c:pt>
                <c:pt idx="615">
                  <c:v>-3.0389638470388052</c:v>
                </c:pt>
                <c:pt idx="616">
                  <c:v>-3.0898175221024986</c:v>
                </c:pt>
                <c:pt idx="617">
                  <c:v>-3.1408266139353964</c:v>
                </c:pt>
                <c:pt idx="618">
                  <c:v>-3.1919815478831293</c:v>
                </c:pt>
                <c:pt idx="619">
                  <c:v>-3.2432728153634764</c:v>
                </c:pt>
                <c:pt idx="620">
                  <c:v>-3.2946909766174395</c:v>
                </c:pt>
                <c:pt idx="621">
                  <c:v>-3.3462266633867066</c:v>
                </c:pt>
                <c:pt idx="622">
                  <c:v>-3.3978705815168597</c:v>
                </c:pt>
                <c:pt idx="623">
                  <c:v>-3.4496135134856623</c:v>
                </c:pt>
                <c:pt idx="624">
                  <c:v>-3.5014463208559263</c:v>
                </c:pt>
                <c:pt idx="625">
                  <c:v>-3.5533599466524897</c:v>
                </c:pt>
                <c:pt idx="626">
                  <c:v>-3.6053454176629267</c:v>
                </c:pt>
                <c:pt idx="627">
                  <c:v>-3.6573938466616815</c:v>
                </c:pt>
                <c:pt idx="628">
                  <c:v>-3.7094964345573787</c:v>
                </c:pt>
                <c:pt idx="629">
                  <c:v>-3.7616444724631846</c:v>
                </c:pt>
                <c:pt idx="630">
                  <c:v>-3.813829343690097</c:v>
                </c:pt>
                <c:pt idx="631">
                  <c:v>-3.8660425256631306</c:v>
                </c:pt>
                <c:pt idx="632">
                  <c:v>-3.9182755917604872</c:v>
                </c:pt>
                <c:pt idx="633">
                  <c:v>-3.9705202130757855</c:v>
                </c:pt>
                <c:pt idx="634">
                  <c:v>-4.0227681601035163</c:v>
                </c:pt>
                <c:pt idx="635">
                  <c:v>-4.0750113043479947</c:v>
                </c:pt>
                <c:pt idx="636">
                  <c:v>-4.127241619856088</c:v>
                </c:pt>
                <c:pt idx="637">
                  <c:v>-4.1794511846740274</c:v>
                </c:pt>
                <c:pt idx="638">
                  <c:v>-4.2316321822288394</c:v>
                </c:pt>
                <c:pt idx="639">
                  <c:v>-4.2837769026347035</c:v>
                </c:pt>
                <c:pt idx="640">
                  <c:v>-4.3358777439248799</c:v>
                </c:pt>
                <c:pt idx="641">
                  <c:v>-4.3879272132097329</c:v>
                </c:pt>
                <c:pt idx="642">
                  <c:v>-4.439917927761468</c:v>
                </c:pt>
                <c:pt idx="643">
                  <c:v>-4.4918426160262559</c:v>
                </c:pt>
                <c:pt idx="644">
                  <c:v>-4.5436941185644786</c:v>
                </c:pt>
                <c:pt idx="645">
                  <c:v>-4.5954653889198251</c:v>
                </c:pt>
                <c:pt idx="646">
                  <c:v>-4.6471494944180689</c:v>
                </c:pt>
                <c:pt idx="647">
                  <c:v>-4.6987396168963524</c:v>
                </c:pt>
                <c:pt idx="648">
                  <c:v>-4.7502290533638645</c:v>
                </c:pt>
                <c:pt idx="649">
                  <c:v>-4.8016112165948392</c:v>
                </c:pt>
                <c:pt idx="650">
                  <c:v>-4.8528796356548192</c:v>
                </c:pt>
                <c:pt idx="651">
                  <c:v>-4.9040279563611557</c:v>
                </c:pt>
                <c:pt idx="652">
                  <c:v>-4.9550499416788218</c:v>
                </c:pt>
                <c:pt idx="653">
                  <c:v>-5.0059394720525043</c:v>
                </c:pt>
                <c:pt idx="654">
                  <c:v>-5.0566905456761164</c:v>
                </c:pt>
                <c:pt idx="655">
                  <c:v>-5.1072972787008108</c:v>
                </c:pt>
                <c:pt idx="656">
                  <c:v>-5.1577539053826023</c:v>
                </c:pt>
                <c:pt idx="657">
                  <c:v>-5.2080547781707871</c:v>
                </c:pt>
                <c:pt idx="658">
                  <c:v>-5.2581943677382901</c:v>
                </c:pt>
                <c:pt idx="659">
                  <c:v>-5.3081672629551511</c:v>
                </c:pt>
                <c:pt idx="660">
                  <c:v>-5.3579681708063536</c:v>
                </c:pt>
                <c:pt idx="661">
                  <c:v>-5.4075919162552148</c:v>
                </c:pt>
                <c:pt idx="662">
                  <c:v>-5.4570334420535875</c:v>
                </c:pt>
                <c:pt idx="663">
                  <c:v>-5.5062878085000655</c:v>
                </c:pt>
                <c:pt idx="664">
                  <c:v>-5.5553501931475768</c:v>
                </c:pt>
                <c:pt idx="665">
                  <c:v>-5.6042158904614761</c:v>
                </c:pt>
                <c:pt idx="666">
                  <c:v>-5.6528803114295538</c:v>
                </c:pt>
                <c:pt idx="667">
                  <c:v>-5.7013389831251615</c:v>
                </c:pt>
                <c:pt idx="668">
                  <c:v>-5.749587548224766</c:v>
                </c:pt>
                <c:pt idx="669">
                  <c:v>-5.7976217644812573</c:v>
                </c:pt>
                <c:pt idx="670">
                  <c:v>-5.845437504154261</c:v>
                </c:pt>
                <c:pt idx="671">
                  <c:v>-5.893030753398774</c:v>
                </c:pt>
                <c:pt idx="672">
                  <c:v>-5.9403976116134336</c:v>
                </c:pt>
                <c:pt idx="673">
                  <c:v>-5.9875342907497027</c:v>
                </c:pt>
                <c:pt idx="674">
                  <c:v>-6.0344371145832456</c:v>
                </c:pt>
                <c:pt idx="675">
                  <c:v>-6.081102517948846</c:v>
                </c:pt>
                <c:pt idx="676">
                  <c:v>-6.1275270459400843</c:v>
                </c:pt>
                <c:pt idx="677">
                  <c:v>-6.1737073530750974</c:v>
                </c:pt>
                <c:pt idx="678">
                  <c:v>-6.219640202429682</c:v>
                </c:pt>
                <c:pt idx="679">
                  <c:v>-6.2653224647389969</c:v>
                </c:pt>
                <c:pt idx="680">
                  <c:v>-6.3107511174691586</c:v>
                </c:pt>
                <c:pt idx="681">
                  <c:v>-6.3559232438599231</c:v>
                </c:pt>
                <c:pt idx="682">
                  <c:v>-6.4008360319397255</c:v>
                </c:pt>
                <c:pt idx="683">
                  <c:v>-6.4454867735143164</c:v>
                </c:pt>
                <c:pt idx="684">
                  <c:v>-6.4898728631301577</c:v>
                </c:pt>
                <c:pt idx="685">
                  <c:v>-6.5339917970138233</c:v>
                </c:pt>
                <c:pt idx="686">
                  <c:v>-6.5778411719885908</c:v>
                </c:pt>
                <c:pt idx="687">
                  <c:v>-6.621418684369349</c:v>
                </c:pt>
                <c:pt idx="688">
                  <c:v>-6.6647221288370302</c:v>
                </c:pt>
                <c:pt idx="689">
                  <c:v>-6.7077493972937052</c:v>
                </c:pt>
                <c:pt idx="690">
                  <c:v>-6.7504984776994137</c:v>
                </c:pt>
                <c:pt idx="691">
                  <c:v>-6.7929674528919133</c:v>
                </c:pt>
                <c:pt idx="692">
                  <c:v>-6.8351544993903603</c:v>
                </c:pt>
                <c:pt idx="693">
                  <c:v>-6.8770578861840859</c:v>
                </c:pt>
                <c:pt idx="694">
                  <c:v>-6.9186759735074235</c:v>
                </c:pt>
                <c:pt idx="695">
                  <c:v>-6.9600072116017149</c:v>
                </c:pt>
                <c:pt idx="696">
                  <c:v>-7.0010501394654394</c:v>
                </c:pt>
                <c:pt idx="697">
                  <c:v>-7.0418033835935177</c:v>
                </c:pt>
                <c:pt idx="698">
                  <c:v>-7.0822656567067463</c:v>
                </c:pt>
                <c:pt idx="699">
                  <c:v>-7.12243575647231</c:v>
                </c:pt>
                <c:pt idx="700">
                  <c:v>-7.1623125642163501</c:v>
                </c:pt>
                <c:pt idx="701">
                  <c:v>-7.201895043629456</c:v>
                </c:pt>
                <c:pt idx="702">
                  <c:v>-7.2411822394660277</c:v>
                </c:pt>
                <c:pt idx="703">
                  <c:v>-7.2801732762383429</c:v>
                </c:pt>
                <c:pt idx="704">
                  <c:v>-7.3188673569062246</c:v>
                </c:pt>
                <c:pt idx="705">
                  <c:v>-7.3572637615631269</c:v>
                </c:pt>
                <c:pt idx="706">
                  <c:v>-7.3953618461194282</c:v>
                </c:pt>
                <c:pt idx="707">
                  <c:v>-7.4331610409837952</c:v>
                </c:pt>
                <c:pt idx="708">
                  <c:v>-7.4706608497432958</c:v>
                </c:pt>
                <c:pt idx="709">
                  <c:v>-7.5078608478431228</c:v>
                </c:pt>
                <c:pt idx="710">
                  <c:v>-7.5447606812665384</c:v>
                </c:pt>
                <c:pt idx="711">
                  <c:v>-7.581360065215855</c:v>
                </c:pt>
                <c:pt idx="712">
                  <c:v>-7.6176587827950906</c:v>
                </c:pt>
                <c:pt idx="713">
                  <c:v>-7.6176947052963975</c:v>
                </c:pt>
                <c:pt idx="714">
                  <c:v>-7.6177306275000571</c:v>
                </c:pt>
                <c:pt idx="715">
                  <c:v>-7.6177665494060687</c:v>
                </c:pt>
                <c:pt idx="716">
                  <c:v>-7.6178024710144374</c:v>
                </c:pt>
                <c:pt idx="717">
                  <c:v>-7.6178383923251607</c:v>
                </c:pt>
                <c:pt idx="718">
                  <c:v>-7.6178743133382358</c:v>
                </c:pt>
                <c:pt idx="719">
                  <c:v>-7.6179102340536726</c:v>
                </c:pt>
                <c:pt idx="720">
                  <c:v>-7.6179461544714577</c:v>
                </c:pt>
                <c:pt idx="721">
                  <c:v>-7.6179820745915974</c:v>
                </c:pt>
                <c:pt idx="722">
                  <c:v>-7.6180179944140871</c:v>
                </c:pt>
                <c:pt idx="723">
                  <c:v>-7.6180539139389341</c:v>
                </c:pt>
                <c:pt idx="724">
                  <c:v>-7.6180898331661338</c:v>
                </c:pt>
                <c:pt idx="725">
                  <c:v>-7.618125752095688</c:v>
                </c:pt>
                <c:pt idx="726">
                  <c:v>-7.6181616707275959</c:v>
                </c:pt>
                <c:pt idx="727">
                  <c:v>-7.6181975890618538</c:v>
                </c:pt>
                <c:pt idx="728">
                  <c:v>-7.6182335070984699</c:v>
                </c:pt>
                <c:pt idx="729">
                  <c:v>-7.6182694248374379</c:v>
                </c:pt>
                <c:pt idx="730">
                  <c:v>-7.6183053422787586</c:v>
                </c:pt>
                <c:pt idx="731">
                  <c:v>-7.618341259422432</c:v>
                </c:pt>
                <c:pt idx="732">
                  <c:v>-7.6183771762684609</c:v>
                </c:pt>
                <c:pt idx="733">
                  <c:v>-7.6184130928168372</c:v>
                </c:pt>
                <c:pt idx="734">
                  <c:v>-7.6184490090675725</c:v>
                </c:pt>
                <c:pt idx="735">
                  <c:v>-7.6184849250206552</c:v>
                </c:pt>
                <c:pt idx="736">
                  <c:v>-7.6185208406760951</c:v>
                </c:pt>
                <c:pt idx="737">
                  <c:v>-7.6185567560338807</c:v>
                </c:pt>
                <c:pt idx="738">
                  <c:v>-7.6185926710940253</c:v>
                </c:pt>
                <c:pt idx="739">
                  <c:v>-7.6186285858565199</c:v>
                </c:pt>
                <c:pt idx="740">
                  <c:v>-7.6186645003213691</c:v>
                </c:pt>
                <c:pt idx="741">
                  <c:v>-7.6187004144885666</c:v>
                </c:pt>
                <c:pt idx="742">
                  <c:v>-7.618736328358116</c:v>
                </c:pt>
                <c:pt idx="743">
                  <c:v>-7.6187722419300163</c:v>
                </c:pt>
                <c:pt idx="744">
                  <c:v>-7.6188081552042712</c:v>
                </c:pt>
                <c:pt idx="745">
                  <c:v>-7.6188440681808789</c:v>
                </c:pt>
                <c:pt idx="746">
                  <c:v>-7.6188799808598331</c:v>
                </c:pt>
                <c:pt idx="747">
                  <c:v>-7.6189158932411436</c:v>
                </c:pt>
                <c:pt idx="748">
                  <c:v>-7.6189518053248042</c:v>
                </c:pt>
                <c:pt idx="749">
                  <c:v>-7.6189877171108149</c:v>
                </c:pt>
                <c:pt idx="750">
                  <c:v>-7.6190236285991775</c:v>
                </c:pt>
                <c:pt idx="751">
                  <c:v>-7.6190595397898937</c:v>
                </c:pt>
                <c:pt idx="752">
                  <c:v>-7.6190954506829556</c:v>
                </c:pt>
                <c:pt idx="753">
                  <c:v>-7.6191313612783729</c:v>
                </c:pt>
                <c:pt idx="754">
                  <c:v>-7.6191672715761412</c:v>
                </c:pt>
                <c:pt idx="755">
                  <c:v>-7.6192031815762578</c:v>
                </c:pt>
                <c:pt idx="756">
                  <c:v>-7.6192390912787245</c:v>
                </c:pt>
                <c:pt idx="757">
                  <c:v>-7.6192750006835412</c:v>
                </c:pt>
                <c:pt idx="758">
                  <c:v>-7.6193109097907108</c:v>
                </c:pt>
                <c:pt idx="759">
                  <c:v>-7.6193468186002296</c:v>
                </c:pt>
                <c:pt idx="760">
                  <c:v>-7.6193827271120984</c:v>
                </c:pt>
                <c:pt idx="761">
                  <c:v>-7.6194186353263191</c:v>
                </c:pt>
                <c:pt idx="762">
                  <c:v>-7.6194545432428846</c:v>
                </c:pt>
                <c:pt idx="763">
                  <c:v>-7.6194904508618038</c:v>
                </c:pt>
                <c:pt idx="764">
                  <c:v>-7.619526358183073</c:v>
                </c:pt>
                <c:pt idx="765">
                  <c:v>-7.619562265206695</c:v>
                </c:pt>
                <c:pt idx="766">
                  <c:v>-7.61959817193266</c:v>
                </c:pt>
                <c:pt idx="767">
                  <c:v>-7.6196340783609786</c:v>
                </c:pt>
                <c:pt idx="768">
                  <c:v>-7.6196699844916456</c:v>
                </c:pt>
                <c:pt idx="769">
                  <c:v>-7.6197058903246599</c:v>
                </c:pt>
                <c:pt idx="770">
                  <c:v>-7.6197417958600244</c:v>
                </c:pt>
                <c:pt idx="771">
                  <c:v>-7.6197777010977399</c:v>
                </c:pt>
                <c:pt idx="772">
                  <c:v>-7.6198136060378063</c:v>
                </c:pt>
                <c:pt idx="773">
                  <c:v>-7.6198495106802184</c:v>
                </c:pt>
                <c:pt idx="774">
                  <c:v>-7.6198854150249806</c:v>
                </c:pt>
                <c:pt idx="775">
                  <c:v>-7.6199213190720911</c:v>
                </c:pt>
                <c:pt idx="776">
                  <c:v>-7.6199572228215491</c:v>
                </c:pt>
                <c:pt idx="777">
                  <c:v>-7.6199931262733598</c:v>
                </c:pt>
                <c:pt idx="778">
                  <c:v>-7.620029029427517</c:v>
                </c:pt>
                <c:pt idx="779">
                  <c:v>-7.6200649322840182</c:v>
                </c:pt>
                <c:pt idx="780">
                  <c:v>-7.6201008348428729</c:v>
                </c:pt>
                <c:pt idx="781">
                  <c:v>-7.6201367371040751</c:v>
                </c:pt>
                <c:pt idx="782">
                  <c:v>-7.6201726390676248</c:v>
                </c:pt>
                <c:pt idx="783">
                  <c:v>-7.6202085407335245</c:v>
                </c:pt>
                <c:pt idx="784">
                  <c:v>-7.620244442101769</c:v>
                </c:pt>
                <c:pt idx="785">
                  <c:v>-7.6202803431723609</c:v>
                </c:pt>
                <c:pt idx="786">
                  <c:v>-7.6203162439453047</c:v>
                </c:pt>
                <c:pt idx="787">
                  <c:v>-7.6203521444205915</c:v>
                </c:pt>
                <c:pt idx="788">
                  <c:v>-7.6203880445982275</c:v>
                </c:pt>
                <c:pt idx="789">
                  <c:v>-7.6204239444782127</c:v>
                </c:pt>
                <c:pt idx="790">
                  <c:v>-7.6204598440605453</c:v>
                </c:pt>
                <c:pt idx="791">
                  <c:v>-7.6204957433452201</c:v>
                </c:pt>
                <c:pt idx="792">
                  <c:v>-7.6205316423322467</c:v>
                </c:pt>
                <c:pt idx="793">
                  <c:v>-7.6205675410216172</c:v>
                </c:pt>
                <c:pt idx="794">
                  <c:v>-7.6206034394133368</c:v>
                </c:pt>
                <c:pt idx="795">
                  <c:v>-7.6206393375074031</c:v>
                </c:pt>
                <c:pt idx="796">
                  <c:v>-7.6206752353038141</c:v>
                </c:pt>
                <c:pt idx="797">
                  <c:v>-7.6207111328025778</c:v>
                </c:pt>
                <c:pt idx="798">
                  <c:v>-7.6207470300036837</c:v>
                </c:pt>
                <c:pt idx="799">
                  <c:v>-7.6207829269071343</c:v>
                </c:pt>
                <c:pt idx="800">
                  <c:v>-7.6208188235129359</c:v>
                </c:pt>
                <c:pt idx="801">
                  <c:v>-7.6208547198210814</c:v>
                </c:pt>
                <c:pt idx="802">
                  <c:v>-7.6208906158315761</c:v>
                </c:pt>
                <c:pt idx="803">
                  <c:v>-7.6209265115444147</c:v>
                </c:pt>
                <c:pt idx="804">
                  <c:v>-7.6209624069595954</c:v>
                </c:pt>
                <c:pt idx="805">
                  <c:v>-7.620998302077127</c:v>
                </c:pt>
                <c:pt idx="806">
                  <c:v>-7.6210341968970043</c:v>
                </c:pt>
                <c:pt idx="807">
                  <c:v>-7.6210700914192273</c:v>
                </c:pt>
                <c:pt idx="808">
                  <c:v>-7.6211059856437924</c:v>
                </c:pt>
                <c:pt idx="809">
                  <c:v>-7.6211418795707049</c:v>
                </c:pt>
                <c:pt idx="810">
                  <c:v>-7.6211777731999657</c:v>
                </c:pt>
                <c:pt idx="811">
                  <c:v>-7.6212136665315713</c:v>
                </c:pt>
                <c:pt idx="812">
                  <c:v>-7.6212495595655216</c:v>
                </c:pt>
                <c:pt idx="813">
                  <c:v>-7.6212854523018159</c:v>
                </c:pt>
                <c:pt idx="814">
                  <c:v>-7.6213213447404549</c:v>
                </c:pt>
                <c:pt idx="815">
                  <c:v>-7.6213572368814395</c:v>
                </c:pt>
                <c:pt idx="816">
                  <c:v>-7.6213931287247707</c:v>
                </c:pt>
                <c:pt idx="817">
                  <c:v>-7.6214290202704449</c:v>
                </c:pt>
                <c:pt idx="818">
                  <c:v>-7.6214649115184638</c:v>
                </c:pt>
                <c:pt idx="819">
                  <c:v>-7.6215008024688276</c:v>
                </c:pt>
                <c:pt idx="820">
                  <c:v>-7.6215366931215378</c:v>
                </c:pt>
                <c:pt idx="821">
                  <c:v>-7.6215725834765919</c:v>
                </c:pt>
                <c:pt idx="822">
                  <c:v>-7.6216084735339908</c:v>
                </c:pt>
                <c:pt idx="823">
                  <c:v>-7.621644363293731</c:v>
                </c:pt>
                <c:pt idx="824">
                  <c:v>-7.6216802527558212</c:v>
                </c:pt>
                <c:pt idx="825">
                  <c:v>-7.621716141920249</c:v>
                </c:pt>
                <c:pt idx="826">
                  <c:v>-7.6217520307870217</c:v>
                </c:pt>
                <c:pt idx="827">
                  <c:v>-7.6217879193561426</c:v>
                </c:pt>
                <c:pt idx="828">
                  <c:v>-7.6218238076276048</c:v>
                </c:pt>
                <c:pt idx="829">
                  <c:v>-7.6218596956014117</c:v>
                </c:pt>
                <c:pt idx="830">
                  <c:v>-7.6218955832775617</c:v>
                </c:pt>
                <c:pt idx="831">
                  <c:v>-7.6219314706560581</c:v>
                </c:pt>
                <c:pt idx="832">
                  <c:v>-7.6219673577368967</c:v>
                </c:pt>
                <c:pt idx="833">
                  <c:v>-7.6220032445200747</c:v>
                </c:pt>
                <c:pt idx="834">
                  <c:v>-7.6220391310055984</c:v>
                </c:pt>
                <c:pt idx="835">
                  <c:v>-7.6220750171934641</c:v>
                </c:pt>
                <c:pt idx="836">
                  <c:v>-7.6221109030836773</c:v>
                </c:pt>
                <c:pt idx="837">
                  <c:v>-7.62214678867623</c:v>
                </c:pt>
                <c:pt idx="838">
                  <c:v>-7.6221826739711247</c:v>
                </c:pt>
                <c:pt idx="839">
                  <c:v>-7.6222185589683642</c:v>
                </c:pt>
                <c:pt idx="840">
                  <c:v>-7.6222544436679422</c:v>
                </c:pt>
                <c:pt idx="841">
                  <c:v>-7.6222903280698686</c:v>
                </c:pt>
                <c:pt idx="842">
                  <c:v>-7.6223262121741326</c:v>
                </c:pt>
                <c:pt idx="843">
                  <c:v>-7.6223620959807477</c:v>
                </c:pt>
                <c:pt idx="844">
                  <c:v>-7.6223979794896977</c:v>
                </c:pt>
                <c:pt idx="845">
                  <c:v>-7.6224338627009915</c:v>
                </c:pt>
                <c:pt idx="846">
                  <c:v>-7.6224697456146284</c:v>
                </c:pt>
                <c:pt idx="847">
                  <c:v>-7.6225056282306065</c:v>
                </c:pt>
                <c:pt idx="848">
                  <c:v>-7.6225415105489303</c:v>
                </c:pt>
                <c:pt idx="849">
                  <c:v>-7.6225773925695917</c:v>
                </c:pt>
                <c:pt idx="850">
                  <c:v>-7.6226132742925934</c:v>
                </c:pt>
                <c:pt idx="851">
                  <c:v>-7.6226491557179417</c:v>
                </c:pt>
                <c:pt idx="852">
                  <c:v>-7.6226850368456303</c:v>
                </c:pt>
                <c:pt idx="853">
                  <c:v>-7.6227209176756618</c:v>
                </c:pt>
                <c:pt idx="854">
                  <c:v>-7.6227567982080329</c:v>
                </c:pt>
                <c:pt idx="855">
                  <c:v>-7.622792678442746</c:v>
                </c:pt>
                <c:pt idx="856">
                  <c:v>-7.6228285583798003</c:v>
                </c:pt>
                <c:pt idx="857">
                  <c:v>-7.6228644380191959</c:v>
                </c:pt>
                <c:pt idx="858">
                  <c:v>-7.6229003173609309</c:v>
                </c:pt>
                <c:pt idx="859">
                  <c:v>-7.6229361964050106</c:v>
                </c:pt>
                <c:pt idx="860">
                  <c:v>-7.6229720751514263</c:v>
                </c:pt>
                <c:pt idx="861">
                  <c:v>-7.6230079536001858</c:v>
                </c:pt>
                <c:pt idx="862">
                  <c:v>-7.6230438317512847</c:v>
                </c:pt>
                <c:pt idx="863">
                  <c:v>-7.6230797096047294</c:v>
                </c:pt>
                <c:pt idx="864">
                  <c:v>-7.6231155871605099</c:v>
                </c:pt>
                <c:pt idx="865">
                  <c:v>-7.6231514644186298</c:v>
                </c:pt>
                <c:pt idx="866">
                  <c:v>-7.6231873413790945</c:v>
                </c:pt>
                <c:pt idx="867">
                  <c:v>-7.6232232180418968</c:v>
                </c:pt>
                <c:pt idx="868">
                  <c:v>-7.6232590944070378</c:v>
                </c:pt>
                <c:pt idx="869">
                  <c:v>-7.6232949704745208</c:v>
                </c:pt>
                <c:pt idx="870">
                  <c:v>-7.6233308462443459</c:v>
                </c:pt>
                <c:pt idx="871">
                  <c:v>-7.6233667217165069</c:v>
                </c:pt>
                <c:pt idx="872">
                  <c:v>-7.6234025968910091</c:v>
                </c:pt>
                <c:pt idx="873">
                  <c:v>-7.6234384717678569</c:v>
                </c:pt>
                <c:pt idx="874">
                  <c:v>-7.6234743463470398</c:v>
                </c:pt>
                <c:pt idx="875">
                  <c:v>-7.6235102206285594</c:v>
                </c:pt>
                <c:pt idx="876">
                  <c:v>-7.6235460946124212</c:v>
                </c:pt>
                <c:pt idx="877">
                  <c:v>-7.6235819682986241</c:v>
                </c:pt>
                <c:pt idx="878">
                  <c:v>-7.6236178416871674</c:v>
                </c:pt>
                <c:pt idx="879">
                  <c:v>-7.6236537147780457</c:v>
                </c:pt>
                <c:pt idx="880">
                  <c:v>-7.623689587571266</c:v>
                </c:pt>
                <c:pt idx="881">
                  <c:v>-7.6237254600668249</c:v>
                </c:pt>
                <c:pt idx="882">
                  <c:v>-7.623761332264726</c:v>
                </c:pt>
                <c:pt idx="883">
                  <c:v>-7.6237972041649602</c:v>
                </c:pt>
                <c:pt idx="884">
                  <c:v>-7.6238330757675357</c:v>
                </c:pt>
                <c:pt idx="885">
                  <c:v>-7.6238689470724479</c:v>
                </c:pt>
                <c:pt idx="886">
                  <c:v>-7.6239048180797031</c:v>
                </c:pt>
                <c:pt idx="887">
                  <c:v>-7.623940688789296</c:v>
                </c:pt>
                <c:pt idx="888">
                  <c:v>-7.6239765592012247</c:v>
                </c:pt>
                <c:pt idx="889">
                  <c:v>-7.6240124293154947</c:v>
                </c:pt>
                <c:pt idx="890">
                  <c:v>-7.6240482991321015</c:v>
                </c:pt>
                <c:pt idx="891">
                  <c:v>-7.6240841686510468</c:v>
                </c:pt>
                <c:pt idx="892">
                  <c:v>-7.6241200378723306</c:v>
                </c:pt>
                <c:pt idx="893">
                  <c:v>-7.6241559067959521</c:v>
                </c:pt>
                <c:pt idx="894">
                  <c:v>-7.6241917754219113</c:v>
                </c:pt>
                <c:pt idx="895">
                  <c:v>-7.6242276437502055</c:v>
                </c:pt>
                <c:pt idx="896">
                  <c:v>-7.6242635117808391</c:v>
                </c:pt>
                <c:pt idx="897">
                  <c:v>-7.6242993795138174</c:v>
                </c:pt>
                <c:pt idx="898">
                  <c:v>-7.6243352469491228</c:v>
                </c:pt>
                <c:pt idx="899">
                  <c:v>-7.6243711140867703</c:v>
                </c:pt>
                <c:pt idx="900">
                  <c:v>-7.6244069809267572</c:v>
                </c:pt>
                <c:pt idx="901">
                  <c:v>-7.6244428474690809</c:v>
                </c:pt>
                <c:pt idx="902">
                  <c:v>-7.6244787137137395</c:v>
                </c:pt>
                <c:pt idx="903">
                  <c:v>-7.6245145796607376</c:v>
                </c:pt>
                <c:pt idx="904">
                  <c:v>-7.6245504453100734</c:v>
                </c:pt>
                <c:pt idx="905">
                  <c:v>-7.6245863106617442</c:v>
                </c:pt>
                <c:pt idx="906">
                  <c:v>-7.6246221757157535</c:v>
                </c:pt>
                <c:pt idx="907">
                  <c:v>-7.6246580404720996</c:v>
                </c:pt>
                <c:pt idx="908">
                  <c:v>-7.6246939049307798</c:v>
                </c:pt>
                <c:pt idx="909">
                  <c:v>-7.6247297690917986</c:v>
                </c:pt>
                <c:pt idx="910">
                  <c:v>-7.6247656329551541</c:v>
                </c:pt>
                <c:pt idx="911">
                  <c:v>-7.6248014965208482</c:v>
                </c:pt>
                <c:pt idx="912">
                  <c:v>-7.6248373597888728</c:v>
                </c:pt>
                <c:pt idx="913">
                  <c:v>-7.6248732227592422</c:v>
                </c:pt>
                <c:pt idx="914">
                  <c:v>-7.624909085431943</c:v>
                </c:pt>
                <c:pt idx="915">
                  <c:v>-7.6249449478069788</c:v>
                </c:pt>
                <c:pt idx="916">
                  <c:v>-7.6249808098843532</c:v>
                </c:pt>
                <c:pt idx="917">
                  <c:v>-7.6250166716640635</c:v>
                </c:pt>
                <c:pt idx="918">
                  <c:v>-7.625052533146107</c:v>
                </c:pt>
                <c:pt idx="919">
                  <c:v>-7.6250883943304881</c:v>
                </c:pt>
                <c:pt idx="920">
                  <c:v>-7.6251242552172025</c:v>
                </c:pt>
                <c:pt idx="921">
                  <c:v>-7.6251601158062563</c:v>
                </c:pt>
                <c:pt idx="922">
                  <c:v>-7.6251959760976442</c:v>
                </c:pt>
                <c:pt idx="923">
                  <c:v>-7.6252318360913707</c:v>
                </c:pt>
                <c:pt idx="924">
                  <c:v>-7.6252676957874259</c:v>
                </c:pt>
                <c:pt idx="925">
                  <c:v>-7.6253035551858197</c:v>
                </c:pt>
                <c:pt idx="926">
                  <c:v>-7.6253394142865494</c:v>
                </c:pt>
                <c:pt idx="927">
                  <c:v>-7.6253752730896176</c:v>
                </c:pt>
                <c:pt idx="928">
                  <c:v>-7.6254111315950146</c:v>
                </c:pt>
                <c:pt idx="929">
                  <c:v>-7.6254469898027519</c:v>
                </c:pt>
                <c:pt idx="930">
                  <c:v>-7.6254828477128225</c:v>
                </c:pt>
                <c:pt idx="931">
                  <c:v>-7.6255187053252245</c:v>
                </c:pt>
                <c:pt idx="932">
                  <c:v>-7.6255545626399623</c:v>
                </c:pt>
                <c:pt idx="933">
                  <c:v>-7.6255904196570397</c:v>
                </c:pt>
                <c:pt idx="934">
                  <c:v>-7.6256262763764449</c:v>
                </c:pt>
                <c:pt idx="935">
                  <c:v>-7.6256621327981895</c:v>
                </c:pt>
                <c:pt idx="936">
                  <c:v>-7.6256979889222674</c:v>
                </c:pt>
                <c:pt idx="937">
                  <c:v>-7.6257338447486793</c:v>
                </c:pt>
                <c:pt idx="938">
                  <c:v>-7.6257697002774236</c:v>
                </c:pt>
                <c:pt idx="939">
                  <c:v>-7.6258055555085047</c:v>
                </c:pt>
                <c:pt idx="940">
                  <c:v>-7.6258414104419172</c:v>
                </c:pt>
                <c:pt idx="941">
                  <c:v>-7.6258772650776709</c:v>
                </c:pt>
                <c:pt idx="942">
                  <c:v>-7.625913119415749</c:v>
                </c:pt>
                <c:pt idx="943">
                  <c:v>-7.6259489734561656</c:v>
                </c:pt>
                <c:pt idx="944">
                  <c:v>-7.6259848271989155</c:v>
                </c:pt>
                <c:pt idx="945">
                  <c:v>-7.6260206806439994</c:v>
                </c:pt>
                <c:pt idx="946">
                  <c:v>-7.6260565337914121</c:v>
                </c:pt>
                <c:pt idx="947">
                  <c:v>-7.6260923866411643</c:v>
                </c:pt>
                <c:pt idx="948">
                  <c:v>-7.6261282391932488</c:v>
                </c:pt>
                <c:pt idx="949">
                  <c:v>-7.6261640914476674</c:v>
                </c:pt>
                <c:pt idx="950">
                  <c:v>-7.6261999434044165</c:v>
                </c:pt>
                <c:pt idx="951">
                  <c:v>-7.6262357950635007</c:v>
                </c:pt>
                <c:pt idx="952">
                  <c:v>-7.6262716464249145</c:v>
                </c:pt>
                <c:pt idx="953">
                  <c:v>-7.6263074974886651</c:v>
                </c:pt>
                <c:pt idx="954">
                  <c:v>-7.6263433482547489</c:v>
                </c:pt>
                <c:pt idx="955">
                  <c:v>-7.6263791987231606</c:v>
                </c:pt>
                <c:pt idx="956">
                  <c:v>-7.6264150488939091</c:v>
                </c:pt>
                <c:pt idx="957">
                  <c:v>-7.6264508987669872</c:v>
                </c:pt>
                <c:pt idx="958">
                  <c:v>-7.6264867483424013</c:v>
                </c:pt>
                <c:pt idx="959">
                  <c:v>-7.6265225976201467</c:v>
                </c:pt>
                <c:pt idx="960">
                  <c:v>-7.6265584466002245</c:v>
                </c:pt>
                <c:pt idx="961">
                  <c:v>-7.6265942952826364</c:v>
                </c:pt>
                <c:pt idx="962">
                  <c:v>-7.6266301436673798</c:v>
                </c:pt>
                <c:pt idx="963">
                  <c:v>-7.626665991754451</c:v>
                </c:pt>
                <c:pt idx="964">
                  <c:v>-7.6267018395438591</c:v>
                </c:pt>
                <c:pt idx="965">
                  <c:v>-7.6267376870355967</c:v>
                </c:pt>
                <c:pt idx="966">
                  <c:v>-7.6267735342296685</c:v>
                </c:pt>
                <c:pt idx="967">
                  <c:v>-7.6268093811260718</c:v>
                </c:pt>
                <c:pt idx="968">
                  <c:v>-7.6268452277248047</c:v>
                </c:pt>
                <c:pt idx="969">
                  <c:v>-7.6268810740258708</c:v>
                </c:pt>
                <c:pt idx="970">
                  <c:v>-7.6269169200292666</c:v>
                </c:pt>
                <c:pt idx="971">
                  <c:v>-7.6269527657349965</c:v>
                </c:pt>
                <c:pt idx="972">
                  <c:v>-7.6269886111430587</c:v>
                </c:pt>
                <c:pt idx="973">
                  <c:v>-7.6270244562534506</c:v>
                </c:pt>
                <c:pt idx="974">
                  <c:v>-7.6270603010661722</c:v>
                </c:pt>
                <c:pt idx="975">
                  <c:v>-7.6270961455812225</c:v>
                </c:pt>
                <c:pt idx="976">
                  <c:v>-7.6271319897986078</c:v>
                </c:pt>
                <c:pt idx="977">
                  <c:v>-7.627167833718322</c:v>
                </c:pt>
                <c:pt idx="978">
                  <c:v>-7.6272036773403693</c:v>
                </c:pt>
                <c:pt idx="979">
                  <c:v>-7.6272395206647463</c:v>
                </c:pt>
                <c:pt idx="980">
                  <c:v>-7.6272753636914556</c:v>
                </c:pt>
                <c:pt idx="981">
                  <c:v>-7.6273112064204938</c:v>
                </c:pt>
                <c:pt idx="982">
                  <c:v>-7.6273470488518624</c:v>
                </c:pt>
                <c:pt idx="983">
                  <c:v>-7.6273828909855634</c:v>
                </c:pt>
                <c:pt idx="984">
                  <c:v>-7.6274187328215941</c:v>
                </c:pt>
                <c:pt idx="985">
                  <c:v>-7.6274545743599553</c:v>
                </c:pt>
                <c:pt idx="986">
                  <c:v>-7.6274904156006462</c:v>
                </c:pt>
                <c:pt idx="987">
                  <c:v>-7.6275262565436694</c:v>
                </c:pt>
                <c:pt idx="988">
                  <c:v>-7.6275620971890215</c:v>
                </c:pt>
                <c:pt idx="989">
                  <c:v>-7.6275979375367031</c:v>
                </c:pt>
                <c:pt idx="990">
                  <c:v>-7.6276337775867136</c:v>
                </c:pt>
                <c:pt idx="991">
                  <c:v>-7.6276696173390528</c:v>
                </c:pt>
                <c:pt idx="992">
                  <c:v>-7.6277054567937252</c:v>
                </c:pt>
                <c:pt idx="993">
                  <c:v>-7.6277412959507238</c:v>
                </c:pt>
                <c:pt idx="994">
                  <c:v>-7.6277771348100547</c:v>
                </c:pt>
                <c:pt idx="995">
                  <c:v>-7.6278129733717153</c:v>
                </c:pt>
                <c:pt idx="996">
                  <c:v>-7.6278488116357055</c:v>
                </c:pt>
                <c:pt idx="997">
                  <c:v>-7.6278846496020245</c:v>
                </c:pt>
                <c:pt idx="998">
                  <c:v>-7.627920487270675</c:v>
                </c:pt>
                <c:pt idx="999">
                  <c:v>-7.6279563246416497</c:v>
                </c:pt>
                <c:pt idx="1000">
                  <c:v>-7.6279921617149524</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Calculs!$J$4:$J$1004</c:f>
              <c:numCache>
                <c:formatCode>0.00</c:formatCode>
                <c:ptCount val="1001"/>
                <c:pt idx="0">
                  <c:v>0</c:v>
                </c:pt>
                <c:pt idx="1">
                  <c:v>3.8178772664126285E-6</c:v>
                </c:pt>
                <c:pt idx="2">
                  <c:v>1.9070816121598966E-4</c:v>
                </c:pt>
                <c:pt idx="3">
                  <c:v>9.116418473183968E-4</c:v>
                </c:pt>
                <c:pt idx="4">
                  <c:v>2.5178378361195844E-3</c:v>
                </c:pt>
                <c:pt idx="5">
                  <c:v>5.3608671699687162E-3</c:v>
                </c:pt>
                <c:pt idx="6">
                  <c:v>9.7038179544608819E-3</c:v>
                </c:pt>
                <c:pt idx="7">
                  <c:v>1.5632240187048268E-2</c:v>
                </c:pt>
                <c:pt idx="8">
                  <c:v>2.3142821388612553E-2</c:v>
                </c:pt>
                <c:pt idx="9">
                  <c:v>3.2232230647339592E-2</c:v>
                </c:pt>
                <c:pt idx="10">
                  <c:v>4.289711868602309E-2</c:v>
                </c:pt>
                <c:pt idx="11">
                  <c:v>5.5134117930135174E-2</c:v>
                </c:pt>
                <c:pt idx="12">
                  <c:v>6.8939842576657862E-2</c:v>
                </c:pt>
                <c:pt idx="13">
                  <c:v>8.4310888663669578E-2</c:v>
                </c:pt>
                <c:pt idx="14">
                  <c:v>0.10124383414068046</c:v>
                </c:pt>
                <c:pt idx="15">
                  <c:v>0.1197352389397105</c:v>
                </c:pt>
                <c:pt idx="16">
                  <c:v>0.13978164504710419</c:v>
                </c:pt>
                <c:pt idx="17">
                  <c:v>0.16137957657607546</c:v>
                </c:pt>
                <c:pt idx="18">
                  <c:v>0.18452553983997649</c:v>
                </c:pt>
                <c:pt idx="19">
                  <c:v>0.20921602342628406</c:v>
                </c:pt>
                <c:pt idx="20">
                  <c:v>0.23544749827129691</c:v>
                </c:pt>
                <c:pt idx="21">
                  <c:v>0.26321641773553756</c:v>
                </c:pt>
                <c:pt idx="22">
                  <c:v>0.29251921767985195</c:v>
                </c:pt>
                <c:pt idx="23">
                  <c:v>0.32335231654220054</c:v>
                </c:pt>
                <c:pt idx="24">
                  <c:v>0.35571211541513326</c:v>
                </c:pt>
                <c:pt idx="25">
                  <c:v>0.38959499812394277</c:v>
                </c:pt>
                <c:pt idx="26">
                  <c:v>0.42499733130548806</c:v>
                </c:pt>
                <c:pt idx="27">
                  <c:v>0.46191546448768211</c:v>
                </c:pt>
                <c:pt idx="28">
                  <c:v>0.50034573016963635</c:v>
                </c:pt>
                <c:pt idx="29">
                  <c:v>0.540284443902455</c:v>
                </c:pt>
                <c:pt idx="30">
                  <c:v>0.58172790437067223</c:v>
                </c:pt>
                <c:pt idx="31">
                  <c:v>0.62467239347432468</c:v>
                </c:pt>
                <c:pt idx="32">
                  <c:v>0.66911417641165283</c:v>
                </c:pt>
                <c:pt idx="33">
                  <c:v>0.7150495017624231</c:v>
                </c:pt>
                <c:pt idx="34">
                  <c:v>0.76255852228951548</c:v>
                </c:pt>
                <c:pt idx="35">
                  <c:v>0.81172420709704107</c:v>
                </c:pt>
                <c:pt idx="36">
                  <c:v>0.86254837476277901</c:v>
                </c:pt>
                <c:pt idx="37">
                  <c:v>0.9150326965344393</c:v>
                </c:pt>
                <c:pt idx="38">
                  <c:v>0.96917866225531302</c:v>
                </c:pt>
                <c:pt idx="39">
                  <c:v>1.0249875889306583</c:v>
                </c:pt>
                <c:pt idx="40">
                  <c:v>1.0824606286116045</c:v>
                </c:pt>
                <c:pt idx="41">
                  <c:v>1.1415987756688137</c:v>
                </c:pt>
                <c:pt idx="42">
                  <c:v>1.2024028735187831</c:v>
                </c:pt>
                <c:pt idx="43">
                  <c:v>1.264873620857732</c:v>
                </c:pt>
                <c:pt idx="44">
                  <c:v>1.3290115774512652</c:v>
                </c:pt>
                <c:pt idx="45">
                  <c:v>1.3948171695222129</c:v>
                </c:pt>
                <c:pt idx="46">
                  <c:v>1.4622906947740939</c:v>
                </c:pt>
                <c:pt idx="47">
                  <c:v>1.531432327083357</c:v>
                </c:pt>
                <c:pt idx="48">
                  <c:v>1.602242120889857</c:v>
                </c:pt>
                <c:pt idx="49">
                  <c:v>1.6747200153118034</c:v>
                </c:pt>
                <c:pt idx="50">
                  <c:v>1.7488658380086148</c:v>
                </c:pt>
                <c:pt idx="51">
                  <c:v>1.8246798002508346</c:v>
                </c:pt>
                <c:pt idx="52">
                  <c:v>1.9021629958586159</c:v>
                </c:pt>
                <c:pt idx="53">
                  <c:v>1.9813169183064114</c:v>
                </c:pt>
                <c:pt idx="54">
                  <c:v>2.0621429733960515</c:v>
                </c:pt>
                <c:pt idx="55">
                  <c:v>2.14464248180263</c:v>
                </c:pt>
                <c:pt idx="56">
                  <c:v>2.2288166814847701</c:v>
                </c:pt>
                <c:pt idx="57">
                  <c:v>2.314666729969058</c:v>
                </c:pt>
                <c:pt idx="58">
                  <c:v>2.4021937065175645</c:v>
                </c:pt>
                <c:pt idx="59">
                  <c:v>2.4913986141865943</c:v>
                </c:pt>
                <c:pt idx="60">
                  <c:v>2.5822823817841098</c:v>
                </c:pt>
                <c:pt idx="61">
                  <c:v>2.6748458657326464</c:v>
                </c:pt>
                <c:pt idx="62">
                  <c:v>2.7690898518439733</c:v>
                </c:pt>
                <c:pt idx="63">
                  <c:v>2.8650150570112496</c:v>
                </c:pt>
                <c:pt idx="64">
                  <c:v>2.9626221308239526</c:v>
                </c:pt>
                <c:pt idx="65">
                  <c:v>3.0619116571104588</c:v>
                </c:pt>
                <c:pt idx="66">
                  <c:v>3.1628841554127587</c:v>
                </c:pt>
                <c:pt idx="67">
                  <c:v>3.265540082397465</c:v>
                </c:pt>
                <c:pt idx="68">
                  <c:v>3.3698798332069448</c:v>
                </c:pt>
                <c:pt idx="69">
                  <c:v>3.4759037427541331</c:v>
                </c:pt>
                <c:pt idx="70">
                  <c:v>3.5836120869643189</c:v>
                </c:pt>
                <c:pt idx="71">
                  <c:v>3.6930050839669675</c:v>
                </c:pt>
                <c:pt idx="72">
                  <c:v>3.804082895240414</c:v>
                </c:pt>
                <c:pt idx="73">
                  <c:v>3.9168456267120773</c:v>
                </c:pt>
                <c:pt idx="74">
                  <c:v>4.0312933298166502</c:v>
                </c:pt>
                <c:pt idx="75">
                  <c:v>4.1474260025145622</c:v>
                </c:pt>
                <c:pt idx="76">
                  <c:v>4.265243590272858</c:v>
                </c:pt>
                <c:pt idx="77">
                  <c:v>4.3847459870104863</c:v>
                </c:pt>
                <c:pt idx="78">
                  <c:v>4.5059330360098704</c:v>
                </c:pt>
                <c:pt idx="79">
                  <c:v>4.6288045307965078</c:v>
                </c:pt>
                <c:pt idx="80">
                  <c:v>4.753360215988236</c:v>
                </c:pt>
                <c:pt idx="81">
                  <c:v>4.8795997881157005</c:v>
                </c:pt>
                <c:pt idx="82">
                  <c:v>5.0075228964154643</c:v>
                </c:pt>
                <c:pt idx="83">
                  <c:v>5.1371291435971083</c:v>
                </c:pt>
                <c:pt idx="84">
                  <c:v>5.2684180865855934</c:v>
                </c:pt>
                <c:pt idx="85">
                  <c:v>5.4013892372400809</c:v>
                </c:pt>
                <c:pt idx="86">
                  <c:v>5.5360420630503286</c:v>
                </c:pt>
                <c:pt idx="87">
                  <c:v>5.6723759878117264</c:v>
                </c:pt>
                <c:pt idx="88">
                  <c:v>5.8103903922799649</c:v>
                </c:pt>
                <c:pt idx="89">
                  <c:v>5.9500846148062774</c:v>
                </c:pt>
                <c:pt idx="90">
                  <c:v>6.0914579519541414</c:v>
                </c:pt>
                <c:pt idx="91">
                  <c:v>6.2345096590982809</c:v>
                </c:pt>
                <c:pt idx="92">
                  <c:v>6.3792389510067551</c:v>
                </c:pt>
                <c:pt idx="93">
                  <c:v>6.5256450024068844</c:v>
                </c:pt>
                <c:pt idx="94">
                  <c:v>6.6737269485357213</c:v>
                </c:pt>
                <c:pt idx="95">
                  <c:v>6.8234838856757385</c:v>
                </c:pt>
                <c:pt idx="96">
                  <c:v>6.9749148716763614</c:v>
                </c:pt>
                <c:pt idx="97">
                  <c:v>7.1280189264619516</c:v>
                </c:pt>
                <c:pt idx="98">
                  <c:v>7.2827950325268143</c:v>
                </c:pt>
                <c:pt idx="99">
                  <c:v>7.4392421354177589</c:v>
                </c:pt>
                <c:pt idx="100">
                  <c:v>7.5973591442047388</c:v>
                </c:pt>
                <c:pt idx="101">
                  <c:v>7.7571446860603386</c:v>
                </c:pt>
                <c:pt idx="102">
                  <c:v>7.9185968597188241</c:v>
                </c:pt>
                <c:pt idx="103">
                  <c:v>8.0817134803946402</c:v>
                </c:pt>
                <c:pt idx="104">
                  <c:v>8.2464923258312091</c:v>
                </c:pt>
                <c:pt idx="105">
                  <c:v>8.4129311367800881</c:v>
                </c:pt>
                <c:pt idx="106">
                  <c:v>8.5810276174695534</c:v>
                </c:pt>
                <c:pt idx="107">
                  <c:v>8.750779436063036</c:v>
                </c:pt>
                <c:pt idx="108">
                  <c:v>8.9221842251077828</c:v>
                </c:pt>
                <c:pt idx="109">
                  <c:v>9.0952395819741447</c:v>
                </c:pt>
                <c:pt idx="110">
                  <c:v>9.269943069285814</c:v>
                </c:pt>
                <c:pt idx="111">
                  <c:v>9.4462922153413835</c:v>
                </c:pt>
                <c:pt idx="112">
                  <c:v>9.6242845145275329</c:v>
                </c:pt>
                <c:pt idx="113">
                  <c:v>9.8039174277241496</c:v>
                </c:pt>
                <c:pt idx="114">
                  <c:v>9.9851883827016881</c:v>
                </c:pt>
                <c:pt idx="115">
                  <c:v>10.168094774511044</c:v>
                </c:pt>
                <c:pt idx="116">
                  <c:v>10.352633965866206</c:v>
                </c:pt>
                <c:pt idx="117">
                  <c:v>10.538803287519954</c:v>
                </c:pt>
                <c:pt idx="118">
                  <c:v>10.726600038632833</c:v>
                </c:pt>
                <c:pt idx="119">
                  <c:v>10.916021487135646</c:v>
                </c:pt>
                <c:pt idx="120">
                  <c:v>11.107064870085688</c:v>
                </c:pt>
                <c:pt idx="121">
                  <c:v>11.299727394016934</c:v>
                </c:pt>
                <c:pt idx="122">
                  <c:v>11.494006235284381</c:v>
                </c:pt>
                <c:pt idx="123">
                  <c:v>11.68989854040275</c:v>
                </c:pt>
                <c:pt idx="124">
                  <c:v>11.887401426379714</c:v>
                </c:pt>
                <c:pt idx="125">
                  <c:v>12.08651198104387</c:v>
                </c:pt>
                <c:pt idx="126">
                  <c:v>12.287227263367575</c:v>
                </c:pt>
                <c:pt idx="127">
                  <c:v>12.48954430378485</c:v>
                </c:pt>
                <c:pt idx="128">
                  <c:v>12.693460104504506</c:v>
                </c:pt>
                <c:pt idx="129">
                  <c:v>12.898971639818612</c:v>
                </c:pt>
                <c:pt idx="130">
                  <c:v>13.106075856406484</c:v>
                </c:pt>
                <c:pt idx="131">
                  <c:v>13.314769673634324</c:v>
                </c:pt>
                <c:pt idx="132">
                  <c:v>13.52504998385063</c:v>
                </c:pt>
                <c:pt idx="133">
                  <c:v>13.736913652677522</c:v>
                </c:pt>
                <c:pt idx="134">
                  <c:v>13.950357519298086</c:v>
                </c:pt>
                <c:pt idx="135">
                  <c:v>14.165378396739882</c:v>
                </c:pt>
                <c:pt idx="136">
                  <c:v>14.3819730721547</c:v>
                </c:pt>
                <c:pt idx="137">
                  <c:v>14.600138307094692</c:v>
                </c:pt>
                <c:pt idx="138">
                  <c:v>14.819870837784972</c:v>
                </c:pt>
                <c:pt idx="139">
                  <c:v>15.041167375392797</c:v>
                </c:pt>
                <c:pt idx="140">
                  <c:v>15.264024606293411</c:v>
                </c:pt>
                <c:pt idx="141">
                  <c:v>15.488439192332653</c:v>
                </c:pt>
                <c:pt idx="142">
                  <c:v>15.714407771086419</c:v>
                </c:pt>
                <c:pt idx="143">
                  <c:v>15.94192695611706</c:v>
                </c:pt>
                <c:pt idx="144">
                  <c:v>16.170993337226793</c:v>
                </c:pt>
                <c:pt idx="145">
                  <c:v>16.401603480708218</c:v>
                </c:pt>
                <c:pt idx="146">
                  <c:v>16.633753929592004</c:v>
                </c:pt>
                <c:pt idx="147">
                  <c:v>16.867441203891822</c:v>
                </c:pt>
                <c:pt idx="148">
                  <c:v>17.102661800846601</c:v>
                </c:pt>
                <c:pt idx="149">
                  <c:v>17.339412195160165</c:v>
                </c:pt>
                <c:pt idx="150">
                  <c:v>17.577688839238316</c:v>
                </c:pt>
                <c:pt idx="151">
                  <c:v>17.817488251334225</c:v>
                </c:pt>
                <c:pt idx="152">
                  <c:v>18.058807103949182</c:v>
                </c:pt>
                <c:pt idx="153">
                  <c:v>18.301642136446539</c:v>
                </c:pt>
                <c:pt idx="154">
                  <c:v>18.54599006739852</c:v>
                </c:pt>
                <c:pt idx="155">
                  <c:v>18.791847594797424</c:v>
                </c:pt>
                <c:pt idx="156">
                  <c:v>19.039211396264786</c:v>
                </c:pt>
                <c:pt idx="157">
                  <c:v>19.28807812925854</c:v>
                </c:pt>
                <c:pt idx="158">
                  <c:v>19.538444431278236</c:v>
                </c:pt>
                <c:pt idx="159">
                  <c:v>19.790306920068346</c:v>
                </c:pt>
                <c:pt idx="160">
                  <c:v>20.043662193819703</c:v>
                </c:pt>
                <c:pt idx="161">
                  <c:v>20.298506831369121</c:v>
                </c:pt>
                <c:pt idx="162">
                  <c:v>20.554837392397225</c:v>
                </c:pt>
                <c:pt idx="163">
                  <c:v>20.812650417624525</c:v>
                </c:pt>
                <c:pt idx="164">
                  <c:v>21.071942429005798</c:v>
                </c:pt>
                <c:pt idx="165">
                  <c:v>21.332709929922782</c:v>
                </c:pt>
                <c:pt idx="166">
                  <c:v>21.594949405375228</c:v>
                </c:pt>
                <c:pt idx="167">
                  <c:v>21.858657322170348</c:v>
                </c:pt>
                <c:pt idx="168">
                  <c:v>22.123830129110683</c:v>
                </c:pt>
                <c:pt idx="169">
                  <c:v>22.390464257180426</c:v>
                </c:pt>
                <c:pt idx="170">
                  <c:v>22.658556119730228</c:v>
                </c:pt>
                <c:pt idx="171">
                  <c:v>22.928102112660522</c:v>
                </c:pt>
                <c:pt idx="172">
                  <c:v>23.199098614603368</c:v>
                </c:pt>
                <c:pt idx="173">
                  <c:v>23.471541987102889</c:v>
                </c:pt>
                <c:pt idx="174">
                  <c:v>23.745428574794275</c:v>
                </c:pt>
                <c:pt idx="175">
                  <c:v>24.020754705581432</c:v>
                </c:pt>
                <c:pt idx="176">
                  <c:v>24.297516690813243</c:v>
                </c:pt>
                <c:pt idx="177">
                  <c:v>24.575710825458504</c:v>
                </c:pt>
                <c:pt idx="178">
                  <c:v>24.855333388279551</c:v>
                </c:pt>
                <c:pt idx="179">
                  <c:v>25.136380642004596</c:v>
                </c:pt>
                <c:pt idx="180">
                  <c:v>25.418848833498782</c:v>
                </c:pt>
                <c:pt idx="181">
                  <c:v>25.702734193933992</c:v>
                </c:pt>
                <c:pt idx="182">
                  <c:v>25.988032938957435</c:v>
                </c:pt>
                <c:pt idx="183">
                  <c:v>26.274741268859</c:v>
                </c:pt>
                <c:pt idx="184">
                  <c:v>26.562855368737434</c:v>
                </c:pt>
                <c:pt idx="185">
                  <c:v>26.852371408665341</c:v>
                </c:pt>
                <c:pt idx="186">
                  <c:v>27.143285543853008</c:v>
                </c:pt>
                <c:pt idx="187">
                  <c:v>27.435593914811104</c:v>
                </c:pt>
                <c:pt idx="188">
                  <c:v>27.729292647512246</c:v>
                </c:pt>
                <c:pt idx="189">
                  <c:v>28.024377853551442</c:v>
                </c:pt>
                <c:pt idx="190">
                  <c:v>28.32084563030546</c:v>
                </c:pt>
                <c:pt idx="191">
                  <c:v>28.618692061091089</c:v>
                </c:pt>
                <c:pt idx="192">
                  <c:v>28.917913215322358</c:v>
                </c:pt>
                <c:pt idx="193">
                  <c:v>29.218505148666669</c:v>
                </c:pt>
                <c:pt idx="194">
                  <c:v>29.520463903199914</c:v>
                </c:pt>
                <c:pt idx="195">
                  <c:v>29.823785507560554</c:v>
                </c:pt>
                <c:pt idx="196">
                  <c:v>30.128465977102671</c:v>
                </c:pt>
                <c:pt idx="197">
                  <c:v>30.434501314048021</c:v>
                </c:pt>
                <c:pt idx="198">
                  <c:v>30.741887507637106</c:v>
                </c:pt>
                <c:pt idx="199">
                  <c:v>31.050620534279233</c:v>
                </c:pt>
                <c:pt idx="200">
                  <c:v>31.360696357701627</c:v>
                </c:pt>
                <c:pt idx="201">
                  <c:v>31.67211092909757</c:v>
                </c:pt>
                <c:pt idx="202">
                  <c:v>31.984860187273583</c:v>
                </c:pt>
                <c:pt idx="203">
                  <c:v>32.298940058795665</c:v>
                </c:pt>
                <c:pt idx="204">
                  <c:v>32.614346458134627</c:v>
                </c:pt>
                <c:pt idx="205">
                  <c:v>32.931075287810444</c:v>
                </c:pt>
                <c:pt idx="206">
                  <c:v>33.24912243853575</c:v>
                </c:pt>
                <c:pt idx="207">
                  <c:v>33.568483789358382</c:v>
                </c:pt>
                <c:pt idx="208">
                  <c:v>33.88915520780305</c:v>
                </c:pt>
                <c:pt idx="209">
                  <c:v>34.21113255001211</c:v>
                </c:pt>
                <c:pt idx="210">
                  <c:v>34.534411660885446</c:v>
                </c:pt>
                <c:pt idx="211">
                  <c:v>34.858988374219464</c:v>
                </c:pt>
                <c:pt idx="212">
                  <c:v>35.18485851284526</c:v>
                </c:pt>
                <c:pt idx="213">
                  <c:v>35.512017888765868</c:v>
                </c:pt>
                <c:pt idx="214">
                  <c:v>35.840462303292703</c:v>
                </c:pt>
                <c:pt idx="215">
                  <c:v>36.170187547181108</c:v>
                </c:pt>
                <c:pt idx="216">
                  <c:v>36.501189400765114</c:v>
                </c:pt>
                <c:pt idx="217">
                  <c:v>36.833463634091295</c:v>
                </c:pt>
                <c:pt idx="218">
                  <c:v>37.167006007051846</c:v>
                </c:pt>
                <c:pt idx="219">
                  <c:v>37.501812269516826</c:v>
                </c:pt>
                <c:pt idx="220">
                  <c:v>37.83787816146554</c:v>
                </c:pt>
                <c:pt idx="221">
                  <c:v>38.17519941311717</c:v>
                </c:pt>
                <c:pt idx="222">
                  <c:v>38.513771745060545</c:v>
                </c:pt>
                <c:pt idx="223">
                  <c:v>38.853590868383129</c:v>
                </c:pt>
                <c:pt idx="224">
                  <c:v>39.194652484799207</c:v>
                </c:pt>
                <c:pt idx="225">
                  <c:v>39.536952286777279</c:v>
                </c:pt>
                <c:pt idx="226">
                  <c:v>39.880485957666643</c:v>
                </c:pt>
                <c:pt idx="227">
                  <c:v>40.225249171823229</c:v>
                </c:pt>
                <c:pt idx="228">
                  <c:v>40.571237594734612</c:v>
                </c:pt>
                <c:pt idx="229">
                  <c:v>40.918446883144284</c:v>
                </c:pt>
                <c:pt idx="230">
                  <c:v>41.266872685175116</c:v>
                </c:pt>
                <c:pt idx="231">
                  <c:v>41.616510640452077</c:v>
                </c:pt>
                <c:pt idx="232">
                  <c:v>41.967356380224182</c:v>
                </c:pt>
                <c:pt idx="233">
                  <c:v>42.319405527485671</c:v>
                </c:pt>
                <c:pt idx="234">
                  <c:v>42.672653697096429</c:v>
                </c:pt>
                <c:pt idx="235">
                  <c:v>43.027096495901667</c:v>
                </c:pt>
                <c:pt idx="236">
                  <c:v>43.382729522850831</c:v>
                </c:pt>
                <c:pt idx="237">
                  <c:v>43.739548369115774</c:v>
                </c:pt>
                <c:pt idx="238">
                  <c:v>44.09754861820818</c:v>
                </c:pt>
                <c:pt idx="239">
                  <c:v>44.456725846096241</c:v>
                </c:pt>
                <c:pt idx="240">
                  <c:v>44.817075621320619</c:v>
                </c:pt>
                <c:pt idx="241">
                  <c:v>45.178593505109625</c:v>
                </c:pt>
                <c:pt idx="242">
                  <c:v>45.54127505149372</c:v>
                </c:pt>
                <c:pt idx="243">
                  <c:v>45.90511580741925</c:v>
                </c:pt>
                <c:pt idx="244">
                  <c:v>46.270111312861452</c:v>
                </c:pt>
                <c:pt idx="245">
                  <c:v>46.63625710093676</c:v>
                </c:pt>
                <c:pt idx="246">
                  <c:v>47.00354869801437</c:v>
                </c:pt>
                <c:pt idx="247">
                  <c:v>47.371981623827082</c:v>
                </c:pt>
                <c:pt idx="248">
                  <c:v>47.741551391581453</c:v>
                </c:pt>
                <c:pt idx="249">
                  <c:v>48.112253508067184</c:v>
                </c:pt>
                <c:pt idx="250">
                  <c:v>48.48408347376585</c:v>
                </c:pt>
                <c:pt idx="251">
                  <c:v>48.85703637726931</c:v>
                </c:pt>
                <c:pt idx="252">
                  <c:v>49.231106489181478</c:v>
                </c:pt>
                <c:pt idx="253">
                  <c:v>49.606287667617785</c:v>
                </c:pt>
                <c:pt idx="254">
                  <c:v>49.982573764239177</c:v>
                </c:pt>
                <c:pt idx="255">
                  <c:v>50.359958624395631</c:v>
                </c:pt>
                <c:pt idx="256">
                  <c:v>50.738436087268504</c:v>
                </c:pt>
                <c:pt idx="257">
                  <c:v>51.117999986011803</c:v>
                </c:pt>
                <c:pt idx="258">
                  <c:v>51.498644147892264</c:v>
                </c:pt>
                <c:pt idx="259">
                  <c:v>51.880362394428339</c:v>
                </c:pt>
                <c:pt idx="260">
                  <c:v>52.263148541528032</c:v>
                </c:pt>
                <c:pt idx="261">
                  <c:v>52.64699639962565</c:v>
                </c:pt>
                <c:pt idx="262">
                  <c:v>53.031899773817379</c:v>
                </c:pt>
                <c:pt idx="263">
                  <c:v>53.417852463995807</c:v>
                </c:pt>
                <c:pt idx="264">
                  <c:v>53.804848264983271</c:v>
                </c:pt>
                <c:pt idx="265">
                  <c:v>54.192880966664148</c:v>
                </c:pt>
                <c:pt idx="266">
                  <c:v>54.581944354116011</c:v>
                </c:pt>
                <c:pt idx="267">
                  <c:v>54.972032207739694</c:v>
                </c:pt>
                <c:pt idx="268">
                  <c:v>55.363138303388254</c:v>
                </c:pt>
                <c:pt idx="269">
                  <c:v>55.755256412494816</c:v>
                </c:pt>
                <c:pt idx="270">
                  <c:v>56.148380302199371</c:v>
                </c:pt>
                <c:pt idx="271">
                  <c:v>56.542503735474426</c:v>
                </c:pt>
                <c:pt idx="272">
                  <c:v>56.937620471249623</c:v>
                </c:pt>
                <c:pt idx="273">
                  <c:v>57.333724264535221</c:v>
                </c:pt>
                <c:pt idx="274">
                  <c:v>57.730808866544542</c:v>
                </c:pt>
                <c:pt idx="275">
                  <c:v>58.128868024815311</c:v>
                </c:pt>
                <c:pt idx="276">
                  <c:v>58.527895483329914</c:v>
                </c:pt>
                <c:pt idx="277">
                  <c:v>58.927884982634609</c:v>
                </c:pt>
                <c:pt idx="278">
                  <c:v>59.328830259957641</c:v>
                </c:pt>
                <c:pt idx="279">
                  <c:v>59.730725049326324</c:v>
                </c:pt>
                <c:pt idx="280">
                  <c:v>60.133563081683022</c:v>
                </c:pt>
                <c:pt idx="281">
                  <c:v>60.537338085000073</c:v>
                </c:pt>
                <c:pt idx="282">
                  <c:v>60.942043784393682</c:v>
                </c:pt>
                <c:pt idx="283">
                  <c:v>61.347673902236743</c:v>
                </c:pt>
                <c:pt idx="284">
                  <c:v>61.754222158270593</c:v>
                </c:pt>
                <c:pt idx="285">
                  <c:v>62.16168226971574</c:v>
                </c:pt>
                <c:pt idx="286">
                  <c:v>62.570047951381532</c:v>
                </c:pt>
                <c:pt idx="287">
                  <c:v>62.979312915774791</c:v>
                </c:pt>
                <c:pt idx="288">
                  <c:v>63.389470873207372</c:v>
                </c:pt>
                <c:pt idx="289">
                  <c:v>63.800515531902747</c:v>
                </c:pt>
                <c:pt idx="290">
                  <c:v>64.212440598101495</c:v>
                </c:pt>
                <c:pt idx="291">
                  <c:v>64.62523977616577</c:v>
                </c:pt>
                <c:pt idx="292">
                  <c:v>65.038906768682779</c:v>
                </c:pt>
                <c:pt idx="293">
                  <c:v>65.453435276567191</c:v>
                </c:pt>
                <c:pt idx="294">
                  <c:v>65.868818999162528</c:v>
                </c:pt>
                <c:pt idx="295">
                  <c:v>66.285051634341542</c:v>
                </c:pt>
                <c:pt idx="296">
                  <c:v>66.702126878605583</c:v>
                </c:pt>
                <c:pt idx="297">
                  <c:v>67.120038427182934</c:v>
                </c:pt>
                <c:pt idx="298">
                  <c:v>67.538775407615006</c:v>
                </c:pt>
                <c:pt idx="299">
                  <c:v>67.958317810156004</c:v>
                </c:pt>
                <c:pt idx="300">
                  <c:v>68.378641055308051</c:v>
                </c:pt>
                <c:pt idx="301">
                  <c:v>68.799720564809292</c:v>
                </c:pt>
                <c:pt idx="302">
                  <c:v>69.221531762258664</c:v>
                </c:pt>
                <c:pt idx="303">
                  <c:v>69.644050073728565</c:v>
                </c:pt>
                <c:pt idx="304">
                  <c:v>70.067250928365354</c:v>
                </c:pt>
                <c:pt idx="305">
                  <c:v>70.491109758977814</c:v>
                </c:pt>
                <c:pt idx="306">
                  <c:v>70.915602002613468</c:v>
                </c:pt>
                <c:pt idx="307">
                  <c:v>71.340703101122955</c:v>
                </c:pt>
                <c:pt idx="308">
                  <c:v>71.766388501712299</c:v>
                </c:pt>
                <c:pt idx="309">
                  <c:v>72.192633657483356</c:v>
                </c:pt>
                <c:pt idx="310">
                  <c:v>72.619414027962193</c:v>
                </c:pt>
                <c:pt idx="311">
                  <c:v>73.04670507961562</c:v>
                </c:pt>
                <c:pt idx="312">
                  <c:v>73.474482286355894</c:v>
                </c:pt>
                <c:pt idx="313">
                  <c:v>73.902721130033498</c:v>
                </c:pt>
                <c:pt idx="314">
                  <c:v>74.331397100918196</c:v>
                </c:pt>
                <c:pt idx="315">
                  <c:v>74.76048569816831</c:v>
                </c:pt>
                <c:pt idx="316">
                  <c:v>75.18996243028819</c:v>
                </c:pt>
                <c:pt idx="317">
                  <c:v>75.61980281557409</c:v>
                </c:pt>
                <c:pt idx="318">
                  <c:v>76.049982382548322</c:v>
                </c:pt>
                <c:pt idx="319">
                  <c:v>76.480476670381734</c:v>
                </c:pt>
                <c:pt idx="320">
                  <c:v>76.911261229304685</c:v>
                </c:pt>
                <c:pt idx="321">
                  <c:v>77.342313458367784</c:v>
                </c:pt>
                <c:pt idx="322">
                  <c:v>77.773614443448096</c:v>
                </c:pt>
                <c:pt idx="323">
                  <c:v>78.205147118340108</c:v>
                </c:pt>
                <c:pt idx="324">
                  <c:v>78.636894425485181</c:v>
                </c:pt>
                <c:pt idx="325">
                  <c:v>79.068839316141734</c:v>
                </c:pt>
                <c:pt idx="326">
                  <c:v>79.500964750549912</c:v>
                </c:pt>
                <c:pt idx="327">
                  <c:v>79.933253698090653</c:v>
                </c:pt>
                <c:pt idx="328">
                  <c:v>80.365689137439219</c:v>
                </c:pt>
                <c:pt idx="329">
                  <c:v>80.798254056713205</c:v>
                </c:pt>
                <c:pt idx="330">
                  <c:v>81.230931453615057</c:v>
                </c:pt>
                <c:pt idx="331">
                  <c:v>81.663704335569065</c:v>
                </c:pt>
                <c:pt idx="332">
                  <c:v>82.096555719852972</c:v>
                </c:pt>
                <c:pt idx="333">
                  <c:v>82.529468633724079</c:v>
                </c:pt>
                <c:pt idx="334">
                  <c:v>82.962426114539895</c:v>
                </c:pt>
                <c:pt idx="335">
                  <c:v>83.395411209873473</c:v>
                </c:pt>
                <c:pt idx="336">
                  <c:v>83.828406977623288</c:v>
                </c:pt>
                <c:pt idx="337">
                  <c:v>84.261396486117746</c:v>
                </c:pt>
                <c:pt idx="338">
                  <c:v>84.694362814214401</c:v>
                </c:pt>
                <c:pt idx="339">
                  <c:v>85.12728905139376</c:v>
                </c:pt>
                <c:pt idx="340">
                  <c:v>85.560158297847821</c:v>
                </c:pt>
                <c:pt idx="341">
                  <c:v>85.992953664563331</c:v>
                </c:pt>
                <c:pt idx="342">
                  <c:v>86.425658273399705</c:v>
                </c:pt>
                <c:pt idx="343">
                  <c:v>86.858255257161758</c:v>
                </c:pt>
                <c:pt idx="344">
                  <c:v>87.290727759667107</c:v>
                </c:pt>
                <c:pt idx="345">
                  <c:v>87.72305893580841</c:v>
                </c:pt>
                <c:pt idx="346">
                  <c:v>88.155231951610403</c:v>
                </c:pt>
                <c:pt idx="347">
                  <c:v>88.587229984281663</c:v>
                </c:pt>
                <c:pt idx="348">
                  <c:v>89.019036423145593</c:v>
                </c:pt>
                <c:pt idx="349">
                  <c:v>89.450635070524427</c:v>
                </c:pt>
                <c:pt idx="350">
                  <c:v>89.882009940582449</c:v>
                </c:pt>
                <c:pt idx="351">
                  <c:v>90.313145058201286</c:v>
                </c:pt>
                <c:pt idx="352">
                  <c:v>90.74402445899706</c:v>
                </c:pt>
                <c:pt idx="353">
                  <c:v>91.174632189332925</c:v>
                </c:pt>
                <c:pt idx="354">
                  <c:v>91.604952306327021</c:v>
                </c:pt>
                <c:pt idx="355">
                  <c:v>92.034968877855846</c:v>
                </c:pt>
                <c:pt idx="356">
                  <c:v>92.464665982553015</c:v>
                </c:pt>
                <c:pt idx="357">
                  <c:v>92.894027709803495</c:v>
                </c:pt>
                <c:pt idx="358">
                  <c:v>93.323038159733287</c:v>
                </c:pt>
                <c:pt idx="359">
                  <c:v>93.751681443194514</c:v>
                </c:pt>
                <c:pt idx="360">
                  <c:v>94.179945885626651</c:v>
                </c:pt>
                <c:pt idx="361">
                  <c:v>94.607828229618917</c:v>
                </c:pt>
                <c:pt idx="362">
                  <c:v>95.035329424048584</c:v>
                </c:pt>
                <c:pt idx="363">
                  <c:v>95.462450414534416</c:v>
                </c:pt>
                <c:pt idx="364">
                  <c:v>95.889192143452036</c:v>
                </c:pt>
                <c:pt idx="365">
                  <c:v>96.31555554994911</c:v>
                </c:pt>
                <c:pt idx="366">
                  <c:v>96.741541569960589</c:v>
                </c:pt>
                <c:pt idx="367">
                  <c:v>97.16715113622368</c:v>
                </c:pt>
                <c:pt idx="368">
                  <c:v>97.592385178292929</c:v>
                </c:pt>
                <c:pt idx="369">
                  <c:v>98.017244622555026</c:v>
                </c:pt>
                <c:pt idx="370">
                  <c:v>98.44173039224367</c:v>
                </c:pt>
                <c:pt idx="371">
                  <c:v>98.86584340745425</c:v>
                </c:pt>
                <c:pt idx="372">
                  <c:v>99.289584585158494</c:v>
                </c:pt>
                <c:pt idx="373">
                  <c:v>99.712954839219009</c:v>
                </c:pt>
                <c:pt idx="374">
                  <c:v>100.13595508040376</c:v>
                </c:pt>
                <c:pt idx="375">
                  <c:v>100.55858621640043</c:v>
                </c:pt>
                <c:pt idx="376">
                  <c:v>100.98084915183071</c:v>
                </c:pt>
                <c:pt idx="377">
                  <c:v>101.40274478826453</c:v>
                </c:pt>
                <c:pt idx="378">
                  <c:v>101.82427402423417</c:v>
                </c:pt>
                <c:pt idx="379">
                  <c:v>102.24543775524833</c:v>
                </c:pt>
                <c:pt idx="380">
                  <c:v>102.66623687380607</c:v>
                </c:pt>
                <c:pt idx="381">
                  <c:v>103.0866722694107</c:v>
                </c:pt>
                <c:pt idx="382">
                  <c:v>103.50674482858361</c:v>
                </c:pt>
                <c:pt idx="383">
                  <c:v>103.92645543487795</c:v>
                </c:pt>
                <c:pt idx="384">
                  <c:v>104.34580496889234</c:v>
                </c:pt>
                <c:pt idx="385">
                  <c:v>104.76479430828435</c:v>
                </c:pt>
                <c:pt idx="386">
                  <c:v>105.1834243277841</c:v>
                </c:pt>
                <c:pt idx="387">
                  <c:v>105.60169589920756</c:v>
                </c:pt>
                <c:pt idx="388">
                  <c:v>106.01960989146995</c:v>
                </c:pt>
                <c:pt idx="389">
                  <c:v>106.43716717059903</c:v>
                </c:pt>
                <c:pt idx="390">
                  <c:v>106.85436859974818</c:v>
                </c:pt>
                <c:pt idx="391">
                  <c:v>107.27121503920961</c:v>
                </c:pt>
                <c:pt idx="392">
                  <c:v>107.68770734642733</c:v>
                </c:pt>
                <c:pt idx="393">
                  <c:v>108.10384637601015</c:v>
                </c:pt>
                <c:pt idx="394">
                  <c:v>108.51963297974454</c:v>
                </c:pt>
                <c:pt idx="395">
                  <c:v>108.93506800660744</c:v>
                </c:pt>
                <c:pt idx="396">
                  <c:v>109.35015230277899</c:v>
                </c:pt>
                <c:pt idx="397">
                  <c:v>109.76488671165527</c:v>
                </c:pt>
                <c:pt idx="398">
                  <c:v>110.17927207386077</c:v>
                </c:pt>
                <c:pt idx="399">
                  <c:v>110.59330922726106</c:v>
                </c:pt>
                <c:pt idx="400">
                  <c:v>111.00699900697511</c:v>
                </c:pt>
                <c:pt idx="401">
                  <c:v>115.12485573050628</c:v>
                </c:pt>
                <c:pt idx="402">
                  <c:v>119.20851142227517</c:v>
                </c:pt>
                <c:pt idx="403">
                  <c:v>123.25877593586939</c:v>
                </c:pt>
                <c:pt idx="404">
                  <c:v>127.27643322430974</c:v>
                </c:pt>
                <c:pt idx="405">
                  <c:v>131.26224247158873</c:v>
                </c:pt>
                <c:pt idx="406">
                  <c:v>135.21693916290926</c:v>
                </c:pt>
                <c:pt idx="407">
                  <c:v>139.1412360975871</c:v>
                </c:pt>
                <c:pt idx="408">
                  <c:v>143.03582434828425</c:v>
                </c:pt>
                <c:pt idx="409">
                  <c:v>146.90137416996754</c:v>
                </c:pt>
                <c:pt idx="410">
                  <c:v>150.73853586173834</c:v>
                </c:pt>
                <c:pt idx="411">
                  <c:v>154.54794058445037</c:v>
                </c:pt>
                <c:pt idx="412">
                  <c:v>158.33020113682335</c:v>
                </c:pt>
                <c:pt idx="413">
                  <c:v>162.08591269256743</c:v>
                </c:pt>
                <c:pt idx="414">
                  <c:v>165.81565350085677</c:v>
                </c:pt>
                <c:pt idx="415">
                  <c:v>169.51998555232689</c:v>
                </c:pt>
                <c:pt idx="416">
                  <c:v>173.19945521262144</c:v>
                </c:pt>
                <c:pt idx="417">
                  <c:v>176.85459382537491</c:v>
                </c:pt>
                <c:pt idx="418">
                  <c:v>180.48591828639053</c:v>
                </c:pt>
                <c:pt idx="419">
                  <c:v>184.09393159065485</c:v>
                </c:pt>
                <c:pt idx="420">
                  <c:v>187.67912335372131</c:v>
                </c:pt>
                <c:pt idx="421">
                  <c:v>191.24197030889457</c:v>
                </c:pt>
                <c:pt idx="422">
                  <c:v>194.78293678155421</c:v>
                </c:pt>
                <c:pt idx="423">
                  <c:v>198.30247514186973</c:v>
                </c:pt>
                <c:pt idx="424">
                  <c:v>201.80102623707913</c:v>
                </c:pt>
                <c:pt idx="425">
                  <c:v>205.2790198044286</c:v>
                </c:pt>
                <c:pt idx="426">
                  <c:v>208.73687486580232</c:v>
                </c:pt>
                <c:pt idx="427">
                  <c:v>212.17500010500689</c:v>
                </c:pt>
                <c:pt idx="428">
                  <c:v>215.59379422861542</c:v>
                </c:pt>
                <c:pt idx="429">
                  <c:v>218.9936463112212</c:v>
                </c:pt>
                <c:pt idx="430">
                  <c:v>222.37493612589861</c:v>
                </c:pt>
                <c:pt idx="431">
                  <c:v>225.73803446062126</c:v>
                </c:pt>
                <c:pt idx="432">
                  <c:v>229.08330342134241</c:v>
                </c:pt>
                <c:pt idx="433">
                  <c:v>232.41109672240057</c:v>
                </c:pt>
                <c:pt idx="434">
                  <c:v>235.72175996487454</c:v>
                </c:pt>
                <c:pt idx="435">
                  <c:v>239.01563090347506</c:v>
                </c:pt>
                <c:pt idx="436">
                  <c:v>242.29303970252664</c:v>
                </c:pt>
                <c:pt idx="437">
                  <c:v>245.55430918156051</c:v>
                </c:pt>
                <c:pt idx="438">
                  <c:v>248.79975505101027</c:v>
                </c:pt>
                <c:pt idx="439">
                  <c:v>252.02968613847338</c:v>
                </c:pt>
                <c:pt idx="440">
                  <c:v>255.2444046059756</c:v>
                </c:pt>
                <c:pt idx="441">
                  <c:v>258.44420615865016</c:v>
                </c:pt>
                <c:pt idx="442">
                  <c:v>261.62938024522106</c:v>
                </c:pt>
                <c:pt idx="443">
                  <c:v>264.80021025065753</c:v>
                </c:pt>
                <c:pt idx="444">
                  <c:v>267.95697368134608</c:v>
                </c:pt>
                <c:pt idx="445">
                  <c:v>271.09994234310784</c:v>
                </c:pt>
                <c:pt idx="446">
                  <c:v>274.22938251236951</c:v>
                </c:pt>
                <c:pt idx="447">
                  <c:v>277.34555510078047</c:v>
                </c:pt>
                <c:pt idx="448">
                  <c:v>280.44871581355136</c:v>
                </c:pt>
                <c:pt idx="449">
                  <c:v>283.53911530177396</c:v>
                </c:pt>
                <c:pt idx="450">
                  <c:v>286.61699930896873</c:v>
                </c:pt>
                <c:pt idx="451">
                  <c:v>289.6826088120913</c:v>
                </c:pt>
                <c:pt idx="452">
                  <c:v>292.73618015721684</c:v>
                </c:pt>
                <c:pt idx="453">
                  <c:v>295.77794519010882</c:v>
                </c:pt>
                <c:pt idx="454">
                  <c:v>298.80813138186664</c:v>
                </c:pt>
                <c:pt idx="455">
                  <c:v>301.82696194983498</c:v>
                </c:pt>
                <c:pt idx="456">
                  <c:v>304.83465597394792</c:v>
                </c:pt>
                <c:pt idx="457">
                  <c:v>307.83142850866949</c:v>
                </c:pt>
                <c:pt idx="458">
                  <c:v>310.81749069068314</c:v>
                </c:pt>
                <c:pt idx="459">
                  <c:v>313.79304984247261</c:v>
                </c:pt>
                <c:pt idx="460">
                  <c:v>316.75830957192824</c:v>
                </c:pt>
                <c:pt idx="461">
                  <c:v>319.71346986810306</c:v>
                </c:pt>
                <c:pt idx="462">
                  <c:v>322.65872719323522</c:v>
                </c:pt>
                <c:pt idx="463">
                  <c:v>325.59427457114413</c:v>
                </c:pt>
                <c:pt idx="464">
                  <c:v>328.52030167210074</c:v>
                </c:pt>
                <c:pt idx="465">
                  <c:v>331.43699489426342</c:v>
                </c:pt>
                <c:pt idx="466">
                  <c:v>334.3445374417638</c:v>
                </c:pt>
                <c:pt idx="467">
                  <c:v>337.24310939951886</c:v>
                </c:pt>
                <c:pt idx="468">
                  <c:v>340.13288780483856</c:v>
                </c:pt>
                <c:pt idx="469">
                  <c:v>343.01404671589023</c:v>
                </c:pt>
                <c:pt idx="470">
                  <c:v>345.88675727707397</c:v>
                </c:pt>
                <c:pt idx="471">
                  <c:v>348.75118778135555</c:v>
                </c:pt>
                <c:pt idx="472">
                  <c:v>351.60750372959632</c:v>
                </c:pt>
                <c:pt idx="473">
                  <c:v>354.45586788691151</c:v>
                </c:pt>
                <c:pt idx="474">
                  <c:v>357.29644033608133</c:v>
                </c:pt>
                <c:pt idx="475">
                  <c:v>360.12937852803128</c:v>
                </c:pt>
                <c:pt idx="476">
                  <c:v>362.95483732939033</c:v>
                </c:pt>
                <c:pt idx="477">
                  <c:v>365.77296906712797</c:v>
                </c:pt>
                <c:pt idx="478">
                  <c:v>368.58392357026253</c:v>
                </c:pt>
                <c:pt idx="479">
                  <c:v>371.3878482086252</c:v>
                </c:pt>
                <c:pt idx="480">
                  <c:v>374.184887928656</c:v>
                </c:pt>
                <c:pt idx="481">
                  <c:v>376.97518528619804</c:v>
                </c:pt>
                <c:pt idx="482">
                  <c:v>379.75888047624892</c:v>
                </c:pt>
                <c:pt idx="483">
                  <c:v>382.53611135961785</c:v>
                </c:pt>
                <c:pt idx="484">
                  <c:v>385.30701348642805</c:v>
                </c:pt>
                <c:pt idx="485">
                  <c:v>388.07172011639437</c:v>
                </c:pt>
                <c:pt idx="486">
                  <c:v>390.83036223579592</c:v>
                </c:pt>
                <c:pt idx="487">
                  <c:v>393.58306857105373</c:v>
                </c:pt>
                <c:pt idx="488">
                  <c:v>396.32996559881377</c:v>
                </c:pt>
                <c:pt idx="489">
                  <c:v>399.0711775524249</c:v>
                </c:pt>
                <c:pt idx="490">
                  <c:v>401.80682642469179</c:v>
                </c:pt>
                <c:pt idx="491">
                  <c:v>404.53703196677367</c:v>
                </c:pt>
                <c:pt idx="492">
                  <c:v>407.26191168308947</c:v>
                </c:pt>
                <c:pt idx="493">
                  <c:v>409.98158082208317</c:v>
                </c:pt>
                <c:pt idx="494">
                  <c:v>412.69615236269448</c:v>
                </c:pt>
                <c:pt idx="495">
                  <c:v>415.40573699637474</c:v>
                </c:pt>
                <c:pt idx="496">
                  <c:v>418.11044310448386</c:v>
                </c:pt>
                <c:pt idx="497">
                  <c:v>420.81037673090265</c:v>
                </c:pt>
                <c:pt idx="498">
                  <c:v>423.50564154969635</c:v>
                </c:pt>
                <c:pt idx="499">
                  <c:v>426.19633882767056</c:v>
                </c:pt>
                <c:pt idx="500">
                  <c:v>428.88256738167132</c:v>
                </c:pt>
                <c:pt idx="501">
                  <c:v>431.56442353049681</c:v>
                </c:pt>
                <c:pt idx="502">
                  <c:v>434.24200104131091</c:v>
                </c:pt>
                <c:pt idx="503">
                  <c:v>436.91539107048033</c:v>
                </c:pt>
                <c:pt idx="504">
                  <c:v>439.58468209879686</c:v>
                </c:pt>
                <c:pt idx="505">
                  <c:v>442.24995986109826</c:v>
                </c:pt>
                <c:pt idx="506">
                  <c:v>444.91130727036386</c:v>
                </c:pt>
                <c:pt idx="507">
                  <c:v>447.56880433643835</c:v>
                </c:pt>
                <c:pt idx="508">
                  <c:v>450.22252807962849</c:v>
                </c:pt>
                <c:pt idx="509">
                  <c:v>452.87255243952325</c:v>
                </c:pt>
                <c:pt idx="510">
                  <c:v>455.51894817950966</c:v>
                </c:pt>
                <c:pt idx="511">
                  <c:v>458.16178278759344</c:v>
                </c:pt>
                <c:pt idx="512">
                  <c:v>460.80112037428188</c:v>
                </c:pt>
                <c:pt idx="513">
                  <c:v>463.43702156844716</c:v>
                </c:pt>
                <c:pt idx="514">
                  <c:v>466.06954341225457</c:v>
                </c:pt>
                <c:pt idx="515">
                  <c:v>468.69873925640758</c:v>
                </c:pt>
                <c:pt idx="516">
                  <c:v>471.32465865712339</c:v>
                </c:pt>
                <c:pt idx="517">
                  <c:v>473.94734727640036</c:v>
                </c:pt>
                <c:pt idx="518">
                  <c:v>476.56684678726168</c:v>
                </c:pt>
                <c:pt idx="519">
                  <c:v>479.18319478575057</c:v>
                </c:pt>
                <c:pt idx="520">
                  <c:v>481.79642471149731</c:v>
                </c:pt>
                <c:pt idx="521">
                  <c:v>484.40656577867185</c:v>
                </c:pt>
                <c:pt idx="522">
                  <c:v>487.01364291906816</c:v>
                </c:pt>
                <c:pt idx="523">
                  <c:v>489.61767673893434</c:v>
                </c:pt>
                <c:pt idx="524">
                  <c:v>492.21868349096553</c:v>
                </c:pt>
                <c:pt idx="525">
                  <c:v>494.81667506261783</c:v>
                </c:pt>
                <c:pt idx="526">
                  <c:v>497.41165898158971</c:v>
                </c:pt>
                <c:pt idx="527">
                  <c:v>500.00363843896474</c:v>
                </c:pt>
                <c:pt idx="528">
                  <c:v>502.59261233013319</c:v>
                </c:pt>
                <c:pt idx="529">
                  <c:v>505.17857531322568</c:v>
                </c:pt>
                <c:pt idx="530">
                  <c:v>507.76151788442098</c:v>
                </c:pt>
                <c:pt idx="531">
                  <c:v>510.3414264691491</c:v>
                </c:pt>
                <c:pt idx="532">
                  <c:v>512.91828352791379</c:v>
                </c:pt>
                <c:pt idx="533">
                  <c:v>515.49206767521912</c:v>
                </c:pt>
                <c:pt idx="534">
                  <c:v>518.06275380990974</c:v>
                </c:pt>
                <c:pt idx="535">
                  <c:v>520.63031325512407</c:v>
                </c:pt>
                <c:pt idx="536">
                  <c:v>523.19471390601575</c:v>
                </c:pt>
                <c:pt idx="537">
                  <c:v>525.75592038341267</c:v>
                </c:pt>
                <c:pt idx="538">
                  <c:v>528.31389419165089</c:v>
                </c:pt>
                <c:pt idx="539">
                  <c:v>530.86859387892525</c:v>
                </c:pt>
                <c:pt idx="540">
                  <c:v>533.41997519864015</c:v>
                </c:pt>
                <c:pt idx="541">
                  <c:v>535.96799127040265</c:v>
                </c:pt>
                <c:pt idx="542">
                  <c:v>538.51259273947039</c:v>
                </c:pt>
                <c:pt idx="543">
                  <c:v>541.05372793364279</c:v>
                </c:pt>
                <c:pt idx="544">
                  <c:v>543.59134301675317</c:v>
                </c:pt>
                <c:pt idx="545">
                  <c:v>546.1253821380833</c:v>
                </c:pt>
                <c:pt idx="546">
                  <c:v>548.65578757717049</c:v>
                </c:pt>
                <c:pt idx="547">
                  <c:v>551.1824998836147</c:v>
                </c:pt>
                <c:pt idx="548">
                  <c:v>553.70545801161006</c:v>
                </c:pt>
                <c:pt idx="549">
                  <c:v>556.22459944903289</c:v>
                </c:pt>
                <c:pt idx="550">
                  <c:v>558.73986034100278</c:v>
                </c:pt>
                <c:pt idx="551">
                  <c:v>561.25117560790909</c:v>
                </c:pt>
                <c:pt idx="552">
                  <c:v>563.75847905795501</c:v>
                </c:pt>
                <c:pt idx="553">
                  <c:v>566.26170349431823</c:v>
                </c:pt>
                <c:pt idx="554">
                  <c:v>568.76078081706601</c:v>
                </c:pt>
                <c:pt idx="555">
                  <c:v>571.25564211998994</c:v>
                </c:pt>
                <c:pt idx="556">
                  <c:v>573.7462177825447</c:v>
                </c:pt>
                <c:pt idx="557">
                  <c:v>576.23243755709188</c:v>
                </c:pt>
                <c:pt idx="558">
                  <c:v>578.71423065165436</c:v>
                </c:pt>
                <c:pt idx="559">
                  <c:v>581.19152580839386</c:v>
                </c:pt>
                <c:pt idx="560">
                  <c:v>583.6642513780223</c:v>
                </c:pt>
                <c:pt idx="561">
                  <c:v>586.13233539035605</c:v>
                </c:pt>
                <c:pt idx="562">
                  <c:v>588.59570562121735</c:v>
                </c:pt>
                <c:pt idx="563">
                  <c:v>591.05428965588101</c:v>
                </c:pt>
                <c:pt idx="564">
                  <c:v>593.50801494925713</c:v>
                </c:pt>
                <c:pt idx="565">
                  <c:v>595.95680888299103</c:v>
                </c:pt>
                <c:pt idx="566">
                  <c:v>598.4005988196559</c:v>
                </c:pt>
                <c:pt idx="567">
                  <c:v>600.83931215420091</c:v>
                </c:pt>
                <c:pt idx="568">
                  <c:v>603.27287636281187</c:v>
                </c:pt>
                <c:pt idx="569">
                  <c:v>605.70121904933012</c:v>
                </c:pt>
                <c:pt idx="570">
                  <c:v>608.12426798936781</c:v>
                </c:pt>
                <c:pt idx="571">
                  <c:v>610.54195117224958</c:v>
                </c:pt>
                <c:pt idx="572">
                  <c:v>612.95419684090018</c:v>
                </c:pt>
                <c:pt idx="573">
                  <c:v>615.36093352979321</c:v>
                </c:pt>
                <c:pt idx="574">
                  <c:v>617.76209010106527</c:v>
                </c:pt>
                <c:pt idx="575">
                  <c:v>620.15759577889514</c:v>
                </c:pt>
                <c:pt idx="576">
                  <c:v>622.54738018224032</c:v>
                </c:pt>
                <c:pt idx="577">
                  <c:v>624.93137335601591</c:v>
                </c:pt>
                <c:pt idx="578">
                  <c:v>627.3095058007965</c:v>
                </c:pt>
                <c:pt idx="579">
                  <c:v>629.68170850111596</c:v>
                </c:pt>
                <c:pt idx="580">
                  <c:v>632.04791295243388</c:v>
                </c:pt>
                <c:pt idx="581">
                  <c:v>634.40805118683386</c:v>
                </c:pt>
                <c:pt idx="582">
                  <c:v>636.76205579751365</c:v>
                </c:pt>
                <c:pt idx="583">
                  <c:v>639.10985996212412</c:v>
                </c:pt>
                <c:pt idx="584">
                  <c:v>641.45139746500797</c:v>
                </c:pt>
                <c:pt idx="585">
                  <c:v>643.78660271838885</c:v>
                </c:pt>
                <c:pt idx="586">
                  <c:v>646.11541078255516</c:v>
                </c:pt>
                <c:pt idx="587">
                  <c:v>648.4377573850818</c:v>
                </c:pt>
                <c:pt idx="588">
                  <c:v>650.75357893912962</c:v>
                </c:pt>
                <c:pt idx="589">
                  <c:v>653.06281256085947</c:v>
                </c:pt>
                <c:pt idx="590">
                  <c:v>655.36539608599605</c:v>
                </c:pt>
                <c:pt idx="591">
                  <c:v>657.66126808557408</c:v>
                </c:pt>
                <c:pt idx="592">
                  <c:v>659.9503678808976</c:v>
                </c:pt>
                <c:pt idx="593">
                  <c:v>662.23263555774076</c:v>
                </c:pt>
                <c:pt idx="594">
                  <c:v>664.50801197981741</c:v>
                </c:pt>
                <c:pt idx="595">
                  <c:v>666.77643880154471</c:v>
                </c:pt>
                <c:pt idx="596">
                  <c:v>669.03785848012524</c:v>
                </c:pt>
                <c:pt idx="597">
                  <c:v>671.29221428696917</c:v>
                </c:pt>
                <c:pt idx="598">
                  <c:v>673.539450318479</c:v>
                </c:pt>
                <c:pt idx="599">
                  <c:v>675.77951150621629</c:v>
                </c:pt>
                <c:pt idx="600">
                  <c:v>678.01234362646949</c:v>
                </c:pt>
                <c:pt idx="601">
                  <c:v>680.2378933092416</c:v>
                </c:pt>
                <c:pt idx="602">
                  <c:v>682.4561080466741</c:v>
                </c:pt>
                <c:pt idx="603">
                  <c:v>684.66693620092428</c:v>
                </c:pt>
                <c:pt idx="604">
                  <c:v>686.87032701151099</c:v>
                </c:pt>
                <c:pt idx="605">
                  <c:v>689.06623060214417</c:v>
                </c:pt>
                <c:pt idx="606">
                  <c:v>691.25459798705185</c:v>
                </c:pt>
                <c:pt idx="607">
                  <c:v>693.43538107681889</c:v>
                </c:pt>
                <c:pt idx="608">
                  <c:v>695.60853268375024</c:v>
                </c:pt>
                <c:pt idx="609">
                  <c:v>697.77400652677102</c:v>
                </c:pt>
                <c:pt idx="610">
                  <c:v>699.93175723587592</c:v>
                </c:pt>
                <c:pt idx="611">
                  <c:v>702.08174035613968</c:v>
                </c:pt>
                <c:pt idx="612">
                  <c:v>704.22391235129896</c:v>
                </c:pt>
                <c:pt idx="613">
                  <c:v>706.35823060691769</c:v>
                </c:pt>
                <c:pt idx="614">
                  <c:v>708.48465343314524</c:v>
                </c:pt>
                <c:pt idx="615">
                  <c:v>710.60314006707881</c:v>
                </c:pt>
                <c:pt idx="616">
                  <c:v>712.71365067473835</c:v>
                </c:pt>
                <c:pt idx="617">
                  <c:v>714.81614635266533</c:v>
                </c:pt>
                <c:pt idx="618">
                  <c:v>716.91058912915332</c:v>
                </c:pt>
                <c:pt idx="619">
                  <c:v>718.9969419651203</c:v>
                </c:pt>
                <c:pt idx="620">
                  <c:v>721.07516875463091</c:v>
                </c:pt>
                <c:pt idx="621">
                  <c:v>723.14523432507804</c:v>
                </c:pt>
                <c:pt idx="622">
                  <c:v>725.2071044370316</c:v>
                </c:pt>
                <c:pt idx="623">
                  <c:v>727.26074578376301</c:v>
                </c:pt>
                <c:pt idx="624">
                  <c:v>729.30612599045355</c:v>
                </c:pt>
                <c:pt idx="625">
                  <c:v>731.34321361309435</c:v>
                </c:pt>
                <c:pt idx="626">
                  <c:v>733.37197813708599</c:v>
                </c:pt>
                <c:pt idx="627">
                  <c:v>735.3923899755456</c:v>
                </c:pt>
                <c:pt idx="628">
                  <c:v>737.4044204673279</c:v>
                </c:pt>
                <c:pt idx="629">
                  <c:v>739.40804187476897</c:v>
                </c:pt>
                <c:pt idx="630">
                  <c:v>741.40322738115958</c:v>
                </c:pt>
                <c:pt idx="631">
                  <c:v>743.38995108795439</c:v>
                </c:pt>
                <c:pt idx="632">
                  <c:v>745.36818801172512</c:v>
                </c:pt>
                <c:pt idx="633">
                  <c:v>747.33791408086427</c:v>
                </c:pt>
                <c:pt idx="634">
                  <c:v>749.2991061320464</c:v>
                </c:pt>
                <c:pt idx="635">
                  <c:v>751.25174190645305</c:v>
                </c:pt>
                <c:pt idx="636">
                  <c:v>753.19580004576869</c:v>
                </c:pt>
                <c:pt idx="637">
                  <c:v>755.13126008795439</c:v>
                </c:pt>
                <c:pt idx="638">
                  <c:v>757.05810246280475</c:v>
                </c:pt>
                <c:pt idx="639">
                  <c:v>758.97630848729534</c:v>
                </c:pt>
                <c:pt idx="640">
                  <c:v>760.88586036072684</c:v>
                </c:pt>
                <c:pt idx="641">
                  <c:v>762.78674115967169</c:v>
                </c:pt>
                <c:pt idx="642">
                  <c:v>764.67893483272985</c:v>
                </c:pt>
                <c:pt idx="643">
                  <c:v>766.56242619509953</c:v>
                </c:pt>
                <c:pt idx="644">
                  <c:v>768.43720092296894</c:v>
                </c:pt>
                <c:pt idx="645">
                  <c:v>770.30324554773506</c:v>
                </c:pt>
                <c:pt idx="646">
                  <c:v>772.16054745005522</c:v>
                </c:pt>
                <c:pt idx="647">
                  <c:v>774.009094853737</c:v>
                </c:pt>
                <c:pt idx="648">
                  <c:v>775.84887681947282</c:v>
                </c:pt>
                <c:pt idx="649">
                  <c:v>777.6798832384244</c:v>
                </c:pt>
                <c:pt idx="650">
                  <c:v>779.50210482566229</c:v>
                </c:pt>
                <c:pt idx="651">
                  <c:v>781.31553311346693</c:v>
                </c:pt>
                <c:pt idx="652">
                  <c:v>783.1201604444957</c:v>
                </c:pt>
                <c:pt idx="653">
                  <c:v>784.9159799648221</c:v>
                </c:pt>
                <c:pt idx="654">
                  <c:v>786.70298561685138</c:v>
                </c:pt>
                <c:pt idx="655">
                  <c:v>788.48117213211913</c:v>
                </c:pt>
                <c:pt idx="656">
                  <c:v>790.25053502397668</c:v>
                </c:pt>
                <c:pt idx="657">
                  <c:v>792.01107058016908</c:v>
                </c:pt>
                <c:pt idx="658">
                  <c:v>793.76277585531034</c:v>
                </c:pt>
                <c:pt idx="659">
                  <c:v>795.50564866326158</c:v>
                </c:pt>
                <c:pt idx="660">
                  <c:v>797.23968756941542</c:v>
                </c:pt>
                <c:pt idx="661">
                  <c:v>798.96489188289308</c:v>
                </c:pt>
                <c:pt idx="662">
                  <c:v>800.68126164865782</c:v>
                </c:pt>
                <c:pt idx="663">
                  <c:v>802.38879763954947</c:v>
                </c:pt>
                <c:pt idx="664">
                  <c:v>804.08750134824527</c:v>
                </c:pt>
                <c:pt idx="665">
                  <c:v>805.77737497915041</c:v>
                </c:pt>
                <c:pt idx="666">
                  <c:v>807.45842144022356</c:v>
                </c:pt>
                <c:pt idx="667">
                  <c:v>809.13064433474176</c:v>
                </c:pt>
                <c:pt idx="668">
                  <c:v>810.79404795300798</c:v>
                </c:pt>
                <c:pt idx="669">
                  <c:v>812.44863726400638</c:v>
                </c:pt>
                <c:pt idx="670">
                  <c:v>814.0944179070093</c:v>
                </c:pt>
                <c:pt idx="671">
                  <c:v>815.73139618314008</c:v>
                </c:pt>
                <c:pt idx="672">
                  <c:v>817.35957904689474</c:v>
                </c:pt>
                <c:pt idx="673">
                  <c:v>818.97897409762788</c:v>
                </c:pt>
                <c:pt idx="674">
                  <c:v>820.58958957100526</c:v>
                </c:pt>
                <c:pt idx="675">
                  <c:v>822.19143433042802</c:v>
                </c:pt>
                <c:pt idx="676">
                  <c:v>823.78451785843106</c:v>
                </c:pt>
                <c:pt idx="677">
                  <c:v>825.36885024806008</c:v>
                </c:pt>
                <c:pt idx="678">
                  <c:v>826.94444219422996</c:v>
                </c:pt>
                <c:pt idx="679">
                  <c:v>828.51130498506893</c:v>
                </c:pt>
                <c:pt idx="680">
                  <c:v>830.06945049325111</c:v>
                </c:pt>
                <c:pt idx="681">
                  <c:v>831.61889116732061</c:v>
                </c:pt>
                <c:pt idx="682">
                  <c:v>833.15964002301121</c:v>
                </c:pt>
                <c:pt idx="683">
                  <c:v>834.6917106345644</c:v>
                </c:pt>
                <c:pt idx="684">
                  <c:v>836.21511712604809</c:v>
                </c:pt>
                <c:pt idx="685">
                  <c:v>837.72987416268029</c:v>
                </c:pt>
                <c:pt idx="686">
                  <c:v>839.23599694215989</c:v>
                </c:pt>
                <c:pt idx="687">
                  <c:v>840.73350118600752</c:v>
                </c:pt>
                <c:pt idx="688">
                  <c:v>842.22240313091902</c:v>
                </c:pt>
                <c:pt idx="689">
                  <c:v>843.70271952013536</c:v>
                </c:pt>
                <c:pt idx="690">
                  <c:v>845.17446759482971</c:v>
                </c:pt>
                <c:pt idx="691">
                  <c:v>846.63766508551635</c:v>
                </c:pt>
                <c:pt idx="692">
                  <c:v>848.09233020348222</c:v>
                </c:pt>
                <c:pt idx="693">
                  <c:v>849.53848163224473</c:v>
                </c:pt>
                <c:pt idx="694">
                  <c:v>850.97613851903714</c:v>
                </c:pt>
                <c:pt idx="695">
                  <c:v>852.40532046632495</c:v>
                </c:pt>
                <c:pt idx="696">
                  <c:v>853.82604752335453</c:v>
                </c:pt>
                <c:pt idx="697">
                  <c:v>855.23834017773663</c:v>
                </c:pt>
                <c:pt idx="698">
                  <c:v>856.64221934706688</c:v>
                </c:pt>
                <c:pt idx="699">
                  <c:v>858.03770637058517</c:v>
                </c:pt>
                <c:pt idx="700">
                  <c:v>859.42482300087568</c:v>
                </c:pt>
                <c:pt idx="701">
                  <c:v>860.80359139561028</c:v>
                </c:pt>
                <c:pt idx="702">
                  <c:v>862.17403410933582</c:v>
                </c:pt>
                <c:pt idx="703">
                  <c:v>863.53617408530806</c:v>
                </c:pt>
                <c:pt idx="704">
                  <c:v>864.89003464737402</c:v>
                </c:pt>
                <c:pt idx="705">
                  <c:v>866.23563949190338</c:v>
                </c:pt>
                <c:pt idx="706">
                  <c:v>867.57301267977186</c:v>
                </c:pt>
                <c:pt idx="707">
                  <c:v>868.902178628397</c:v>
                </c:pt>
                <c:pt idx="708">
                  <c:v>870.22316210382814</c:v>
                </c:pt>
                <c:pt idx="709">
                  <c:v>871.53598821289268</c:v>
                </c:pt>
                <c:pt idx="710">
                  <c:v>872.84068239539852</c:v>
                </c:pt>
                <c:pt idx="711">
                  <c:v>874.13727041639572</c:v>
                </c:pt>
                <c:pt idx="712">
                  <c:v>874.13727041639572</c:v>
                </c:pt>
                <c:pt idx="713">
                  <c:v>874.13727041639572</c:v>
                </c:pt>
                <c:pt idx="714">
                  <c:v>874.13727041639572</c:v>
                </c:pt>
                <c:pt idx="715">
                  <c:v>874.13727041639572</c:v>
                </c:pt>
                <c:pt idx="716">
                  <c:v>874.13727041639572</c:v>
                </c:pt>
                <c:pt idx="717">
                  <c:v>874.13727041639572</c:v>
                </c:pt>
                <c:pt idx="718">
                  <c:v>874.13727041639572</c:v>
                </c:pt>
                <c:pt idx="719">
                  <c:v>874.13727041639572</c:v>
                </c:pt>
                <c:pt idx="720">
                  <c:v>874.13727041639572</c:v>
                </c:pt>
                <c:pt idx="721">
                  <c:v>874.13727041639572</c:v>
                </c:pt>
                <c:pt idx="722">
                  <c:v>874.13727041639572</c:v>
                </c:pt>
                <c:pt idx="723">
                  <c:v>874.13727041639572</c:v>
                </c:pt>
                <c:pt idx="724">
                  <c:v>874.13727041639572</c:v>
                </c:pt>
                <c:pt idx="725">
                  <c:v>874.13727041639572</c:v>
                </c:pt>
                <c:pt idx="726">
                  <c:v>874.13727041639572</c:v>
                </c:pt>
                <c:pt idx="727">
                  <c:v>874.13727041639572</c:v>
                </c:pt>
                <c:pt idx="728">
                  <c:v>874.13727041639572</c:v>
                </c:pt>
                <c:pt idx="729">
                  <c:v>874.13727041639572</c:v>
                </c:pt>
                <c:pt idx="730">
                  <c:v>874.13727041639572</c:v>
                </c:pt>
                <c:pt idx="731">
                  <c:v>874.13727041639572</c:v>
                </c:pt>
                <c:pt idx="732">
                  <c:v>874.13727041639572</c:v>
                </c:pt>
                <c:pt idx="733">
                  <c:v>874.13727041639572</c:v>
                </c:pt>
                <c:pt idx="734">
                  <c:v>874.13727041639572</c:v>
                </c:pt>
                <c:pt idx="735">
                  <c:v>874.13727041639572</c:v>
                </c:pt>
                <c:pt idx="736">
                  <c:v>874.13727041639572</c:v>
                </c:pt>
                <c:pt idx="737">
                  <c:v>874.13727041639572</c:v>
                </c:pt>
                <c:pt idx="738">
                  <c:v>874.13727041639572</c:v>
                </c:pt>
                <c:pt idx="739">
                  <c:v>874.13727041639572</c:v>
                </c:pt>
                <c:pt idx="740">
                  <c:v>874.13727041639572</c:v>
                </c:pt>
                <c:pt idx="741">
                  <c:v>874.13727041639572</c:v>
                </c:pt>
                <c:pt idx="742">
                  <c:v>874.13727041639572</c:v>
                </c:pt>
                <c:pt idx="743">
                  <c:v>874.13727041639572</c:v>
                </c:pt>
                <c:pt idx="744">
                  <c:v>874.13727041639572</c:v>
                </c:pt>
                <c:pt idx="745">
                  <c:v>874.13727041639572</c:v>
                </c:pt>
                <c:pt idx="746">
                  <c:v>874.13727041639572</c:v>
                </c:pt>
                <c:pt idx="747">
                  <c:v>874.13727041639572</c:v>
                </c:pt>
                <c:pt idx="748">
                  <c:v>874.13727041639572</c:v>
                </c:pt>
                <c:pt idx="749">
                  <c:v>874.13727041639572</c:v>
                </c:pt>
                <c:pt idx="750">
                  <c:v>874.13727041639572</c:v>
                </c:pt>
                <c:pt idx="751">
                  <c:v>874.13727041639572</c:v>
                </c:pt>
                <c:pt idx="752">
                  <c:v>874.13727041639572</c:v>
                </c:pt>
                <c:pt idx="753">
                  <c:v>874.13727041639572</c:v>
                </c:pt>
                <c:pt idx="754">
                  <c:v>874.13727041639572</c:v>
                </c:pt>
                <c:pt idx="755">
                  <c:v>874.13727041639572</c:v>
                </c:pt>
                <c:pt idx="756">
                  <c:v>874.13727041639572</c:v>
                </c:pt>
                <c:pt idx="757">
                  <c:v>874.13727041639572</c:v>
                </c:pt>
                <c:pt idx="758">
                  <c:v>874.13727041639572</c:v>
                </c:pt>
                <c:pt idx="759">
                  <c:v>874.13727041639572</c:v>
                </c:pt>
                <c:pt idx="760">
                  <c:v>874.13727041639572</c:v>
                </c:pt>
                <c:pt idx="761">
                  <c:v>874.13727041639572</c:v>
                </c:pt>
                <c:pt idx="762">
                  <c:v>874.13727041639572</c:v>
                </c:pt>
                <c:pt idx="763">
                  <c:v>874.13727041639572</c:v>
                </c:pt>
                <c:pt idx="764">
                  <c:v>874.13727041639572</c:v>
                </c:pt>
                <c:pt idx="765">
                  <c:v>874.13727041639572</c:v>
                </c:pt>
                <c:pt idx="766">
                  <c:v>874.13727041639572</c:v>
                </c:pt>
                <c:pt idx="767">
                  <c:v>874.13727041639572</c:v>
                </c:pt>
                <c:pt idx="768">
                  <c:v>874.13727041639572</c:v>
                </c:pt>
                <c:pt idx="769">
                  <c:v>874.13727041639572</c:v>
                </c:pt>
                <c:pt idx="770">
                  <c:v>874.13727041639572</c:v>
                </c:pt>
                <c:pt idx="771">
                  <c:v>874.13727041639572</c:v>
                </c:pt>
                <c:pt idx="772">
                  <c:v>874.13727041639572</c:v>
                </c:pt>
                <c:pt idx="773">
                  <c:v>874.13727041639572</c:v>
                </c:pt>
                <c:pt idx="774">
                  <c:v>874.13727041639572</c:v>
                </c:pt>
                <c:pt idx="775">
                  <c:v>874.13727041639572</c:v>
                </c:pt>
                <c:pt idx="776">
                  <c:v>874.13727041639572</c:v>
                </c:pt>
                <c:pt idx="777">
                  <c:v>874.13727041639572</c:v>
                </c:pt>
                <c:pt idx="778">
                  <c:v>874.13727041639572</c:v>
                </c:pt>
                <c:pt idx="779">
                  <c:v>874.13727041639572</c:v>
                </c:pt>
                <c:pt idx="780">
                  <c:v>874.13727041639572</c:v>
                </c:pt>
                <c:pt idx="781">
                  <c:v>874.13727041639572</c:v>
                </c:pt>
                <c:pt idx="782">
                  <c:v>874.13727041639572</c:v>
                </c:pt>
                <c:pt idx="783">
                  <c:v>874.13727041639572</c:v>
                </c:pt>
                <c:pt idx="784">
                  <c:v>874.13727041639572</c:v>
                </c:pt>
                <c:pt idx="785">
                  <c:v>874.13727041639572</c:v>
                </c:pt>
                <c:pt idx="786">
                  <c:v>874.13727041639572</c:v>
                </c:pt>
                <c:pt idx="787">
                  <c:v>874.13727041639572</c:v>
                </c:pt>
                <c:pt idx="788">
                  <c:v>874.13727041639572</c:v>
                </c:pt>
                <c:pt idx="789">
                  <c:v>874.13727041639572</c:v>
                </c:pt>
                <c:pt idx="790">
                  <c:v>874.13727041639572</c:v>
                </c:pt>
                <c:pt idx="791">
                  <c:v>874.13727041639572</c:v>
                </c:pt>
                <c:pt idx="792">
                  <c:v>874.13727041639572</c:v>
                </c:pt>
                <c:pt idx="793">
                  <c:v>874.13727041639572</c:v>
                </c:pt>
                <c:pt idx="794">
                  <c:v>874.13727041639572</c:v>
                </c:pt>
                <c:pt idx="795">
                  <c:v>874.13727041639572</c:v>
                </c:pt>
                <c:pt idx="796">
                  <c:v>874.13727041639572</c:v>
                </c:pt>
                <c:pt idx="797">
                  <c:v>874.13727041639572</c:v>
                </c:pt>
                <c:pt idx="798">
                  <c:v>874.13727041639572</c:v>
                </c:pt>
                <c:pt idx="799">
                  <c:v>874.13727041639572</c:v>
                </c:pt>
                <c:pt idx="800">
                  <c:v>874.13727041639572</c:v>
                </c:pt>
                <c:pt idx="801">
                  <c:v>874.13727041639572</c:v>
                </c:pt>
                <c:pt idx="802">
                  <c:v>874.13727041639572</c:v>
                </c:pt>
                <c:pt idx="803">
                  <c:v>874.13727041639572</c:v>
                </c:pt>
                <c:pt idx="804">
                  <c:v>874.13727041639572</c:v>
                </c:pt>
                <c:pt idx="805">
                  <c:v>874.13727041639572</c:v>
                </c:pt>
                <c:pt idx="806">
                  <c:v>874.13727041639572</c:v>
                </c:pt>
                <c:pt idx="807">
                  <c:v>874.13727041639572</c:v>
                </c:pt>
                <c:pt idx="808">
                  <c:v>874.13727041639572</c:v>
                </c:pt>
                <c:pt idx="809">
                  <c:v>874.13727041639572</c:v>
                </c:pt>
                <c:pt idx="810">
                  <c:v>874.13727041639572</c:v>
                </c:pt>
                <c:pt idx="811">
                  <c:v>874.13727041639572</c:v>
                </c:pt>
                <c:pt idx="812">
                  <c:v>874.13727041639572</c:v>
                </c:pt>
                <c:pt idx="813">
                  <c:v>874.13727041639572</c:v>
                </c:pt>
                <c:pt idx="814">
                  <c:v>874.13727041639572</c:v>
                </c:pt>
                <c:pt idx="815">
                  <c:v>874.13727041639572</c:v>
                </c:pt>
                <c:pt idx="816">
                  <c:v>874.13727041639572</c:v>
                </c:pt>
                <c:pt idx="817">
                  <c:v>874.13727041639572</c:v>
                </c:pt>
                <c:pt idx="818">
                  <c:v>874.13727041639572</c:v>
                </c:pt>
                <c:pt idx="819">
                  <c:v>874.13727041639572</c:v>
                </c:pt>
                <c:pt idx="820">
                  <c:v>874.13727041639572</c:v>
                </c:pt>
                <c:pt idx="821">
                  <c:v>874.13727041639572</c:v>
                </c:pt>
                <c:pt idx="822">
                  <c:v>874.13727041639572</c:v>
                </c:pt>
                <c:pt idx="823">
                  <c:v>874.13727041639572</c:v>
                </c:pt>
                <c:pt idx="824">
                  <c:v>874.13727041639572</c:v>
                </c:pt>
                <c:pt idx="825">
                  <c:v>874.13727041639572</c:v>
                </c:pt>
                <c:pt idx="826">
                  <c:v>874.13727041639572</c:v>
                </c:pt>
                <c:pt idx="827">
                  <c:v>874.13727041639572</c:v>
                </c:pt>
                <c:pt idx="828">
                  <c:v>874.13727041639572</c:v>
                </c:pt>
                <c:pt idx="829">
                  <c:v>874.13727041639572</c:v>
                </c:pt>
                <c:pt idx="830">
                  <c:v>874.13727041639572</c:v>
                </c:pt>
                <c:pt idx="831">
                  <c:v>874.13727041639572</c:v>
                </c:pt>
                <c:pt idx="832">
                  <c:v>874.13727041639572</c:v>
                </c:pt>
                <c:pt idx="833">
                  <c:v>874.13727041639572</c:v>
                </c:pt>
                <c:pt idx="834">
                  <c:v>874.13727041639572</c:v>
                </c:pt>
                <c:pt idx="835">
                  <c:v>874.13727041639572</c:v>
                </c:pt>
                <c:pt idx="836">
                  <c:v>874.13727041639572</c:v>
                </c:pt>
                <c:pt idx="837">
                  <c:v>874.13727041639572</c:v>
                </c:pt>
                <c:pt idx="838">
                  <c:v>874.13727041639572</c:v>
                </c:pt>
                <c:pt idx="839">
                  <c:v>874.13727041639572</c:v>
                </c:pt>
                <c:pt idx="840">
                  <c:v>874.13727041639572</c:v>
                </c:pt>
                <c:pt idx="841">
                  <c:v>874.13727041639572</c:v>
                </c:pt>
                <c:pt idx="842">
                  <c:v>874.13727041639572</c:v>
                </c:pt>
                <c:pt idx="843">
                  <c:v>874.13727041639572</c:v>
                </c:pt>
                <c:pt idx="844">
                  <c:v>874.13727041639572</c:v>
                </c:pt>
                <c:pt idx="845">
                  <c:v>874.13727041639572</c:v>
                </c:pt>
                <c:pt idx="846">
                  <c:v>874.13727041639572</c:v>
                </c:pt>
                <c:pt idx="847">
                  <c:v>874.13727041639572</c:v>
                </c:pt>
                <c:pt idx="848">
                  <c:v>874.13727041639572</c:v>
                </c:pt>
                <c:pt idx="849">
                  <c:v>874.13727041639572</c:v>
                </c:pt>
                <c:pt idx="850">
                  <c:v>874.13727041639572</c:v>
                </c:pt>
                <c:pt idx="851">
                  <c:v>874.13727041639572</c:v>
                </c:pt>
                <c:pt idx="852">
                  <c:v>874.13727041639572</c:v>
                </c:pt>
                <c:pt idx="853">
                  <c:v>874.13727041639572</c:v>
                </c:pt>
                <c:pt idx="854">
                  <c:v>874.13727041639572</c:v>
                </c:pt>
                <c:pt idx="855">
                  <c:v>874.13727041639572</c:v>
                </c:pt>
                <c:pt idx="856">
                  <c:v>874.13727041639572</c:v>
                </c:pt>
                <c:pt idx="857">
                  <c:v>874.13727041639572</c:v>
                </c:pt>
                <c:pt idx="858">
                  <c:v>874.13727041639572</c:v>
                </c:pt>
                <c:pt idx="859">
                  <c:v>874.13727041639572</c:v>
                </c:pt>
                <c:pt idx="860">
                  <c:v>874.13727041639572</c:v>
                </c:pt>
                <c:pt idx="861">
                  <c:v>874.13727041639572</c:v>
                </c:pt>
                <c:pt idx="862">
                  <c:v>874.13727041639572</c:v>
                </c:pt>
                <c:pt idx="863">
                  <c:v>874.13727041639572</c:v>
                </c:pt>
                <c:pt idx="864">
                  <c:v>874.13727041639572</c:v>
                </c:pt>
                <c:pt idx="865">
                  <c:v>874.13727041639572</c:v>
                </c:pt>
                <c:pt idx="866">
                  <c:v>874.13727041639572</c:v>
                </c:pt>
                <c:pt idx="867">
                  <c:v>874.13727041639572</c:v>
                </c:pt>
                <c:pt idx="868">
                  <c:v>874.13727041639572</c:v>
                </c:pt>
                <c:pt idx="869">
                  <c:v>874.13727041639572</c:v>
                </c:pt>
                <c:pt idx="870">
                  <c:v>874.13727041639572</c:v>
                </c:pt>
                <c:pt idx="871">
                  <c:v>874.13727041639572</c:v>
                </c:pt>
                <c:pt idx="872">
                  <c:v>874.13727041639572</c:v>
                </c:pt>
                <c:pt idx="873">
                  <c:v>874.13727041639572</c:v>
                </c:pt>
                <c:pt idx="874">
                  <c:v>874.13727041639572</c:v>
                </c:pt>
                <c:pt idx="875">
                  <c:v>874.13727041639572</c:v>
                </c:pt>
                <c:pt idx="876">
                  <c:v>874.13727041639572</c:v>
                </c:pt>
                <c:pt idx="877">
                  <c:v>874.13727041639572</c:v>
                </c:pt>
                <c:pt idx="878">
                  <c:v>874.13727041639572</c:v>
                </c:pt>
                <c:pt idx="879">
                  <c:v>874.13727041639572</c:v>
                </c:pt>
                <c:pt idx="880">
                  <c:v>874.13727041639572</c:v>
                </c:pt>
                <c:pt idx="881">
                  <c:v>874.13727041639572</c:v>
                </c:pt>
                <c:pt idx="882">
                  <c:v>874.13727041639572</c:v>
                </c:pt>
                <c:pt idx="883">
                  <c:v>874.13727041639572</c:v>
                </c:pt>
                <c:pt idx="884">
                  <c:v>874.13727041639572</c:v>
                </c:pt>
                <c:pt idx="885">
                  <c:v>874.13727041639572</c:v>
                </c:pt>
                <c:pt idx="886">
                  <c:v>874.13727041639572</c:v>
                </c:pt>
                <c:pt idx="887">
                  <c:v>874.13727041639572</c:v>
                </c:pt>
                <c:pt idx="888">
                  <c:v>874.13727041639572</c:v>
                </c:pt>
                <c:pt idx="889">
                  <c:v>874.13727041639572</c:v>
                </c:pt>
                <c:pt idx="890">
                  <c:v>874.13727041639572</c:v>
                </c:pt>
                <c:pt idx="891">
                  <c:v>874.13727041639572</c:v>
                </c:pt>
                <c:pt idx="892">
                  <c:v>874.13727041639572</c:v>
                </c:pt>
                <c:pt idx="893">
                  <c:v>874.13727041639572</c:v>
                </c:pt>
                <c:pt idx="894">
                  <c:v>874.13727041639572</c:v>
                </c:pt>
                <c:pt idx="895">
                  <c:v>874.13727041639572</c:v>
                </c:pt>
                <c:pt idx="896">
                  <c:v>874.13727041639572</c:v>
                </c:pt>
                <c:pt idx="897">
                  <c:v>874.13727041639572</c:v>
                </c:pt>
                <c:pt idx="898">
                  <c:v>874.13727041639572</c:v>
                </c:pt>
                <c:pt idx="899">
                  <c:v>874.13727041639572</c:v>
                </c:pt>
                <c:pt idx="900">
                  <c:v>874.13727041639572</c:v>
                </c:pt>
                <c:pt idx="901">
                  <c:v>874.13727041639572</c:v>
                </c:pt>
                <c:pt idx="902">
                  <c:v>874.13727041639572</c:v>
                </c:pt>
                <c:pt idx="903">
                  <c:v>874.13727041639572</c:v>
                </c:pt>
                <c:pt idx="904">
                  <c:v>874.13727041639572</c:v>
                </c:pt>
                <c:pt idx="905">
                  <c:v>874.13727041639572</c:v>
                </c:pt>
                <c:pt idx="906">
                  <c:v>874.13727041639572</c:v>
                </c:pt>
                <c:pt idx="907">
                  <c:v>874.13727041639572</c:v>
                </c:pt>
                <c:pt idx="908">
                  <c:v>874.13727041639572</c:v>
                </c:pt>
                <c:pt idx="909">
                  <c:v>874.13727041639572</c:v>
                </c:pt>
                <c:pt idx="910">
                  <c:v>874.13727041639572</c:v>
                </c:pt>
                <c:pt idx="911">
                  <c:v>874.13727041639572</c:v>
                </c:pt>
                <c:pt idx="912">
                  <c:v>874.13727041639572</c:v>
                </c:pt>
                <c:pt idx="913">
                  <c:v>874.13727041639572</c:v>
                </c:pt>
                <c:pt idx="914">
                  <c:v>874.13727041639572</c:v>
                </c:pt>
                <c:pt idx="915">
                  <c:v>874.13727041639572</c:v>
                </c:pt>
                <c:pt idx="916">
                  <c:v>874.13727041639572</c:v>
                </c:pt>
                <c:pt idx="917">
                  <c:v>874.13727041639572</c:v>
                </c:pt>
                <c:pt idx="918">
                  <c:v>874.13727041639572</c:v>
                </c:pt>
                <c:pt idx="919">
                  <c:v>874.13727041639572</c:v>
                </c:pt>
                <c:pt idx="920">
                  <c:v>874.13727041639572</c:v>
                </c:pt>
                <c:pt idx="921">
                  <c:v>874.13727041639572</c:v>
                </c:pt>
                <c:pt idx="922">
                  <c:v>874.13727041639572</c:v>
                </c:pt>
                <c:pt idx="923">
                  <c:v>874.13727041639572</c:v>
                </c:pt>
                <c:pt idx="924">
                  <c:v>874.13727041639572</c:v>
                </c:pt>
                <c:pt idx="925">
                  <c:v>874.13727041639572</c:v>
                </c:pt>
                <c:pt idx="926">
                  <c:v>874.13727041639572</c:v>
                </c:pt>
                <c:pt idx="927">
                  <c:v>874.13727041639572</c:v>
                </c:pt>
                <c:pt idx="928">
                  <c:v>874.13727041639572</c:v>
                </c:pt>
                <c:pt idx="929">
                  <c:v>874.13727041639572</c:v>
                </c:pt>
                <c:pt idx="930">
                  <c:v>874.13727041639572</c:v>
                </c:pt>
                <c:pt idx="931">
                  <c:v>874.13727041639572</c:v>
                </c:pt>
                <c:pt idx="932">
                  <c:v>874.13727041639572</c:v>
                </c:pt>
                <c:pt idx="933">
                  <c:v>874.13727041639572</c:v>
                </c:pt>
                <c:pt idx="934">
                  <c:v>874.13727041639572</c:v>
                </c:pt>
                <c:pt idx="935">
                  <c:v>874.13727041639572</c:v>
                </c:pt>
                <c:pt idx="936">
                  <c:v>874.13727041639572</c:v>
                </c:pt>
                <c:pt idx="937">
                  <c:v>874.13727041639572</c:v>
                </c:pt>
                <c:pt idx="938">
                  <c:v>874.13727041639572</c:v>
                </c:pt>
                <c:pt idx="939">
                  <c:v>874.13727041639572</c:v>
                </c:pt>
                <c:pt idx="940">
                  <c:v>874.13727041639572</c:v>
                </c:pt>
                <c:pt idx="941">
                  <c:v>874.13727041639572</c:v>
                </c:pt>
                <c:pt idx="942">
                  <c:v>874.13727041639572</c:v>
                </c:pt>
                <c:pt idx="943">
                  <c:v>874.13727041639572</c:v>
                </c:pt>
                <c:pt idx="944">
                  <c:v>874.13727041639572</c:v>
                </c:pt>
                <c:pt idx="945">
                  <c:v>874.13727041639572</c:v>
                </c:pt>
                <c:pt idx="946">
                  <c:v>874.13727041639572</c:v>
                </c:pt>
                <c:pt idx="947">
                  <c:v>874.13727041639572</c:v>
                </c:pt>
                <c:pt idx="948">
                  <c:v>874.13727041639572</c:v>
                </c:pt>
                <c:pt idx="949">
                  <c:v>874.13727041639572</c:v>
                </c:pt>
                <c:pt idx="950">
                  <c:v>874.13727041639572</c:v>
                </c:pt>
                <c:pt idx="951">
                  <c:v>874.13727041639572</c:v>
                </c:pt>
                <c:pt idx="952">
                  <c:v>874.13727041639572</c:v>
                </c:pt>
                <c:pt idx="953">
                  <c:v>874.13727041639572</c:v>
                </c:pt>
                <c:pt idx="954">
                  <c:v>874.13727041639572</c:v>
                </c:pt>
                <c:pt idx="955">
                  <c:v>874.13727041639572</c:v>
                </c:pt>
                <c:pt idx="956">
                  <c:v>874.13727041639572</c:v>
                </c:pt>
                <c:pt idx="957">
                  <c:v>874.13727041639572</c:v>
                </c:pt>
                <c:pt idx="958">
                  <c:v>874.13727041639572</c:v>
                </c:pt>
                <c:pt idx="959">
                  <c:v>874.13727041639572</c:v>
                </c:pt>
                <c:pt idx="960">
                  <c:v>874.13727041639572</c:v>
                </c:pt>
                <c:pt idx="961">
                  <c:v>874.13727041639572</c:v>
                </c:pt>
                <c:pt idx="962">
                  <c:v>874.13727041639572</c:v>
                </c:pt>
                <c:pt idx="963">
                  <c:v>874.13727041639572</c:v>
                </c:pt>
                <c:pt idx="964">
                  <c:v>874.13727041639572</c:v>
                </c:pt>
                <c:pt idx="965">
                  <c:v>874.13727041639572</c:v>
                </c:pt>
                <c:pt idx="966">
                  <c:v>874.13727041639572</c:v>
                </c:pt>
                <c:pt idx="967">
                  <c:v>874.13727041639572</c:v>
                </c:pt>
                <c:pt idx="968">
                  <c:v>874.13727041639572</c:v>
                </c:pt>
                <c:pt idx="969">
                  <c:v>874.13727041639572</c:v>
                </c:pt>
                <c:pt idx="970">
                  <c:v>874.13727041639572</c:v>
                </c:pt>
                <c:pt idx="971">
                  <c:v>874.13727041639572</c:v>
                </c:pt>
                <c:pt idx="972">
                  <c:v>874.13727041639572</c:v>
                </c:pt>
                <c:pt idx="973">
                  <c:v>874.13727041639572</c:v>
                </c:pt>
                <c:pt idx="974">
                  <c:v>874.13727041639572</c:v>
                </c:pt>
                <c:pt idx="975">
                  <c:v>874.13727041639572</c:v>
                </c:pt>
                <c:pt idx="976">
                  <c:v>874.13727041639572</c:v>
                </c:pt>
                <c:pt idx="977">
                  <c:v>874.13727041639572</c:v>
                </c:pt>
                <c:pt idx="978">
                  <c:v>874.13727041639572</c:v>
                </c:pt>
                <c:pt idx="979">
                  <c:v>874.13727041639572</c:v>
                </c:pt>
                <c:pt idx="980">
                  <c:v>874.13727041639572</c:v>
                </c:pt>
                <c:pt idx="981">
                  <c:v>874.13727041639572</c:v>
                </c:pt>
                <c:pt idx="982">
                  <c:v>874.13727041639572</c:v>
                </c:pt>
                <c:pt idx="983">
                  <c:v>874.13727041639572</c:v>
                </c:pt>
                <c:pt idx="984">
                  <c:v>874.13727041639572</c:v>
                </c:pt>
                <c:pt idx="985">
                  <c:v>874.13727041639572</c:v>
                </c:pt>
                <c:pt idx="986">
                  <c:v>874.13727041639572</c:v>
                </c:pt>
                <c:pt idx="987">
                  <c:v>874.13727041639572</c:v>
                </c:pt>
                <c:pt idx="988">
                  <c:v>874.13727041639572</c:v>
                </c:pt>
                <c:pt idx="989">
                  <c:v>874.13727041639572</c:v>
                </c:pt>
                <c:pt idx="990">
                  <c:v>874.13727041639572</c:v>
                </c:pt>
                <c:pt idx="991">
                  <c:v>874.13727041639572</c:v>
                </c:pt>
                <c:pt idx="992">
                  <c:v>874.13727041639572</c:v>
                </c:pt>
                <c:pt idx="993">
                  <c:v>874.13727041639572</c:v>
                </c:pt>
                <c:pt idx="994">
                  <c:v>874.13727041639572</c:v>
                </c:pt>
                <c:pt idx="995">
                  <c:v>874.13727041639572</c:v>
                </c:pt>
                <c:pt idx="996">
                  <c:v>874.13727041639572</c:v>
                </c:pt>
                <c:pt idx="997">
                  <c:v>874.13727041639572</c:v>
                </c:pt>
                <c:pt idx="998">
                  <c:v>874.13727041639572</c:v>
                </c:pt>
                <c:pt idx="999">
                  <c:v>874.13727041639572</c:v>
                </c:pt>
                <c:pt idx="1000">
                  <c:v>874.13727041639572</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35.100100000000189</c:v>
                </c:pt>
                <c:pt idx="713">
                  <c:v>35.100200000000193</c:v>
                </c:pt>
                <c:pt idx="714">
                  <c:v>35.100300000000196</c:v>
                </c:pt>
                <c:pt idx="715">
                  <c:v>35.100400000000199</c:v>
                </c:pt>
                <c:pt idx="716">
                  <c:v>35.100500000000203</c:v>
                </c:pt>
                <c:pt idx="717">
                  <c:v>35.100600000000206</c:v>
                </c:pt>
                <c:pt idx="718">
                  <c:v>35.100700000000209</c:v>
                </c:pt>
                <c:pt idx="719">
                  <c:v>35.100800000000213</c:v>
                </c:pt>
                <c:pt idx="720">
                  <c:v>35.100900000000216</c:v>
                </c:pt>
                <c:pt idx="721">
                  <c:v>35.101000000000219</c:v>
                </c:pt>
                <c:pt idx="722">
                  <c:v>35.101100000000223</c:v>
                </c:pt>
                <c:pt idx="723">
                  <c:v>35.101200000000226</c:v>
                </c:pt>
                <c:pt idx="724">
                  <c:v>35.101300000000229</c:v>
                </c:pt>
                <c:pt idx="725">
                  <c:v>35.101400000000233</c:v>
                </c:pt>
                <c:pt idx="726">
                  <c:v>35.101500000000236</c:v>
                </c:pt>
                <c:pt idx="727">
                  <c:v>35.101600000000239</c:v>
                </c:pt>
                <c:pt idx="728">
                  <c:v>35.101700000000243</c:v>
                </c:pt>
                <c:pt idx="729">
                  <c:v>35.101800000000246</c:v>
                </c:pt>
                <c:pt idx="730">
                  <c:v>35.101900000000249</c:v>
                </c:pt>
                <c:pt idx="731">
                  <c:v>35.102000000000253</c:v>
                </c:pt>
                <c:pt idx="732">
                  <c:v>35.102100000000256</c:v>
                </c:pt>
                <c:pt idx="733">
                  <c:v>35.102200000000259</c:v>
                </c:pt>
                <c:pt idx="734">
                  <c:v>35.102300000000263</c:v>
                </c:pt>
                <c:pt idx="735">
                  <c:v>35.102400000000266</c:v>
                </c:pt>
                <c:pt idx="736">
                  <c:v>35.102500000000269</c:v>
                </c:pt>
                <c:pt idx="737">
                  <c:v>35.102600000000272</c:v>
                </c:pt>
                <c:pt idx="738">
                  <c:v>35.102700000000276</c:v>
                </c:pt>
                <c:pt idx="739">
                  <c:v>35.102800000000279</c:v>
                </c:pt>
                <c:pt idx="740">
                  <c:v>35.102900000000282</c:v>
                </c:pt>
                <c:pt idx="741">
                  <c:v>35.103000000000286</c:v>
                </c:pt>
                <c:pt idx="742">
                  <c:v>35.103100000000289</c:v>
                </c:pt>
                <c:pt idx="743">
                  <c:v>35.103200000000292</c:v>
                </c:pt>
                <c:pt idx="744">
                  <c:v>35.103300000000296</c:v>
                </c:pt>
                <c:pt idx="745">
                  <c:v>35.103400000000299</c:v>
                </c:pt>
                <c:pt idx="746">
                  <c:v>35.103500000000302</c:v>
                </c:pt>
                <c:pt idx="747">
                  <c:v>35.103600000000306</c:v>
                </c:pt>
                <c:pt idx="748">
                  <c:v>35.103700000000309</c:v>
                </c:pt>
                <c:pt idx="749">
                  <c:v>35.103800000000312</c:v>
                </c:pt>
                <c:pt idx="750">
                  <c:v>35.103900000000316</c:v>
                </c:pt>
                <c:pt idx="751">
                  <c:v>35.104000000000319</c:v>
                </c:pt>
                <c:pt idx="752">
                  <c:v>35.104100000000322</c:v>
                </c:pt>
                <c:pt idx="753">
                  <c:v>35.104200000000326</c:v>
                </c:pt>
                <c:pt idx="754">
                  <c:v>35.104300000000329</c:v>
                </c:pt>
                <c:pt idx="755">
                  <c:v>35.104400000000332</c:v>
                </c:pt>
                <c:pt idx="756">
                  <c:v>35.104500000000336</c:v>
                </c:pt>
                <c:pt idx="757">
                  <c:v>35.104600000000339</c:v>
                </c:pt>
                <c:pt idx="758">
                  <c:v>35.104700000000342</c:v>
                </c:pt>
                <c:pt idx="759">
                  <c:v>35.104800000000346</c:v>
                </c:pt>
                <c:pt idx="760">
                  <c:v>35.104900000000349</c:v>
                </c:pt>
                <c:pt idx="761">
                  <c:v>35.105000000000352</c:v>
                </c:pt>
                <c:pt idx="762">
                  <c:v>35.105100000000355</c:v>
                </c:pt>
                <c:pt idx="763">
                  <c:v>35.105200000000359</c:v>
                </c:pt>
                <c:pt idx="764">
                  <c:v>35.105300000000362</c:v>
                </c:pt>
                <c:pt idx="765">
                  <c:v>35.105400000000365</c:v>
                </c:pt>
                <c:pt idx="766">
                  <c:v>35.105500000000369</c:v>
                </c:pt>
                <c:pt idx="767">
                  <c:v>35.105600000000372</c:v>
                </c:pt>
                <c:pt idx="768">
                  <c:v>35.105700000000375</c:v>
                </c:pt>
                <c:pt idx="769">
                  <c:v>35.105800000000379</c:v>
                </c:pt>
                <c:pt idx="770">
                  <c:v>35.105900000000382</c:v>
                </c:pt>
                <c:pt idx="771">
                  <c:v>35.106000000000385</c:v>
                </c:pt>
                <c:pt idx="772">
                  <c:v>35.106100000000389</c:v>
                </c:pt>
                <c:pt idx="773">
                  <c:v>35.106200000000392</c:v>
                </c:pt>
                <c:pt idx="774">
                  <c:v>35.106300000000395</c:v>
                </c:pt>
                <c:pt idx="775">
                  <c:v>35.106400000000399</c:v>
                </c:pt>
                <c:pt idx="776">
                  <c:v>35.106500000000402</c:v>
                </c:pt>
                <c:pt idx="777">
                  <c:v>35.106600000000405</c:v>
                </c:pt>
                <c:pt idx="778">
                  <c:v>35.106700000000409</c:v>
                </c:pt>
                <c:pt idx="779">
                  <c:v>35.106800000000412</c:v>
                </c:pt>
                <c:pt idx="780">
                  <c:v>35.106900000000415</c:v>
                </c:pt>
                <c:pt idx="781">
                  <c:v>35.107000000000419</c:v>
                </c:pt>
                <c:pt idx="782">
                  <c:v>35.107100000000422</c:v>
                </c:pt>
                <c:pt idx="783">
                  <c:v>35.107200000000425</c:v>
                </c:pt>
                <c:pt idx="784">
                  <c:v>35.107300000000428</c:v>
                </c:pt>
                <c:pt idx="785">
                  <c:v>35.107400000000432</c:v>
                </c:pt>
                <c:pt idx="786">
                  <c:v>35.107500000000435</c:v>
                </c:pt>
                <c:pt idx="787">
                  <c:v>35.107600000000438</c:v>
                </c:pt>
                <c:pt idx="788">
                  <c:v>35.107700000000442</c:v>
                </c:pt>
                <c:pt idx="789">
                  <c:v>35.107800000000445</c:v>
                </c:pt>
                <c:pt idx="790">
                  <c:v>35.107900000000448</c:v>
                </c:pt>
                <c:pt idx="791">
                  <c:v>35.108000000000452</c:v>
                </c:pt>
                <c:pt idx="792">
                  <c:v>35.108100000000455</c:v>
                </c:pt>
                <c:pt idx="793">
                  <c:v>35.108200000000458</c:v>
                </c:pt>
                <c:pt idx="794">
                  <c:v>35.108300000000462</c:v>
                </c:pt>
                <c:pt idx="795">
                  <c:v>35.108400000000465</c:v>
                </c:pt>
                <c:pt idx="796">
                  <c:v>35.108500000000468</c:v>
                </c:pt>
                <c:pt idx="797">
                  <c:v>35.108600000000472</c:v>
                </c:pt>
                <c:pt idx="798">
                  <c:v>35.108700000000475</c:v>
                </c:pt>
                <c:pt idx="799">
                  <c:v>35.108800000000478</c:v>
                </c:pt>
                <c:pt idx="800">
                  <c:v>35.108900000000482</c:v>
                </c:pt>
                <c:pt idx="801">
                  <c:v>35.109000000000485</c:v>
                </c:pt>
                <c:pt idx="802">
                  <c:v>35.109100000000488</c:v>
                </c:pt>
                <c:pt idx="803">
                  <c:v>35.109200000000492</c:v>
                </c:pt>
                <c:pt idx="804">
                  <c:v>35.109300000000495</c:v>
                </c:pt>
                <c:pt idx="805">
                  <c:v>35.109400000000498</c:v>
                </c:pt>
                <c:pt idx="806">
                  <c:v>35.109500000000502</c:v>
                </c:pt>
                <c:pt idx="807">
                  <c:v>35.109600000000505</c:v>
                </c:pt>
                <c:pt idx="808">
                  <c:v>35.109700000000508</c:v>
                </c:pt>
                <c:pt idx="809">
                  <c:v>35.109800000000511</c:v>
                </c:pt>
                <c:pt idx="810">
                  <c:v>35.109900000000515</c:v>
                </c:pt>
                <c:pt idx="811">
                  <c:v>35.110000000000518</c:v>
                </c:pt>
                <c:pt idx="812">
                  <c:v>35.110100000000521</c:v>
                </c:pt>
                <c:pt idx="813">
                  <c:v>35.110200000000525</c:v>
                </c:pt>
                <c:pt idx="814">
                  <c:v>35.110300000000528</c:v>
                </c:pt>
                <c:pt idx="815">
                  <c:v>35.110400000000531</c:v>
                </c:pt>
                <c:pt idx="816">
                  <c:v>35.110500000000535</c:v>
                </c:pt>
                <c:pt idx="817">
                  <c:v>35.110600000000538</c:v>
                </c:pt>
                <c:pt idx="818">
                  <c:v>35.110700000000541</c:v>
                </c:pt>
                <c:pt idx="819">
                  <c:v>35.110800000000545</c:v>
                </c:pt>
                <c:pt idx="820">
                  <c:v>35.110900000000548</c:v>
                </c:pt>
                <c:pt idx="821">
                  <c:v>35.111000000000551</c:v>
                </c:pt>
                <c:pt idx="822">
                  <c:v>35.111100000000555</c:v>
                </c:pt>
                <c:pt idx="823">
                  <c:v>35.111200000000558</c:v>
                </c:pt>
                <c:pt idx="824">
                  <c:v>35.111300000000561</c:v>
                </c:pt>
                <c:pt idx="825">
                  <c:v>35.111400000000565</c:v>
                </c:pt>
                <c:pt idx="826">
                  <c:v>35.111500000000568</c:v>
                </c:pt>
                <c:pt idx="827">
                  <c:v>35.111600000000571</c:v>
                </c:pt>
                <c:pt idx="828">
                  <c:v>35.111700000000575</c:v>
                </c:pt>
                <c:pt idx="829">
                  <c:v>35.111800000000578</c:v>
                </c:pt>
                <c:pt idx="830">
                  <c:v>35.111900000000581</c:v>
                </c:pt>
                <c:pt idx="831">
                  <c:v>35.112000000000585</c:v>
                </c:pt>
                <c:pt idx="832">
                  <c:v>35.112100000000588</c:v>
                </c:pt>
                <c:pt idx="833">
                  <c:v>35.112200000000591</c:v>
                </c:pt>
                <c:pt idx="834">
                  <c:v>35.112300000000594</c:v>
                </c:pt>
                <c:pt idx="835">
                  <c:v>35.112400000000598</c:v>
                </c:pt>
                <c:pt idx="836">
                  <c:v>35.112500000000601</c:v>
                </c:pt>
                <c:pt idx="837">
                  <c:v>35.112600000000604</c:v>
                </c:pt>
                <c:pt idx="838">
                  <c:v>35.112700000000608</c:v>
                </c:pt>
                <c:pt idx="839">
                  <c:v>35.112800000000611</c:v>
                </c:pt>
                <c:pt idx="840">
                  <c:v>35.112900000000614</c:v>
                </c:pt>
                <c:pt idx="841">
                  <c:v>35.113000000000618</c:v>
                </c:pt>
                <c:pt idx="842">
                  <c:v>35.113100000000621</c:v>
                </c:pt>
                <c:pt idx="843">
                  <c:v>35.113200000000624</c:v>
                </c:pt>
                <c:pt idx="844">
                  <c:v>35.113300000000628</c:v>
                </c:pt>
                <c:pt idx="845">
                  <c:v>35.113400000000631</c:v>
                </c:pt>
                <c:pt idx="846">
                  <c:v>35.113500000000634</c:v>
                </c:pt>
                <c:pt idx="847">
                  <c:v>35.113600000000638</c:v>
                </c:pt>
                <c:pt idx="848">
                  <c:v>35.113700000000641</c:v>
                </c:pt>
                <c:pt idx="849">
                  <c:v>35.113800000000644</c:v>
                </c:pt>
                <c:pt idx="850">
                  <c:v>35.113900000000648</c:v>
                </c:pt>
                <c:pt idx="851">
                  <c:v>35.114000000000651</c:v>
                </c:pt>
                <c:pt idx="852">
                  <c:v>35.114100000000654</c:v>
                </c:pt>
                <c:pt idx="853">
                  <c:v>35.114200000000658</c:v>
                </c:pt>
                <c:pt idx="854">
                  <c:v>35.114300000000661</c:v>
                </c:pt>
                <c:pt idx="855">
                  <c:v>35.114400000000664</c:v>
                </c:pt>
                <c:pt idx="856">
                  <c:v>35.114500000000668</c:v>
                </c:pt>
                <c:pt idx="857">
                  <c:v>35.114600000000671</c:v>
                </c:pt>
                <c:pt idx="858">
                  <c:v>35.114700000000674</c:v>
                </c:pt>
                <c:pt idx="859">
                  <c:v>35.114800000000677</c:v>
                </c:pt>
                <c:pt idx="860">
                  <c:v>35.114900000000681</c:v>
                </c:pt>
                <c:pt idx="861">
                  <c:v>35.115000000000684</c:v>
                </c:pt>
                <c:pt idx="862">
                  <c:v>35.115100000000687</c:v>
                </c:pt>
                <c:pt idx="863">
                  <c:v>35.115200000000691</c:v>
                </c:pt>
                <c:pt idx="864">
                  <c:v>35.115300000000694</c:v>
                </c:pt>
                <c:pt idx="865">
                  <c:v>35.115400000000697</c:v>
                </c:pt>
                <c:pt idx="866">
                  <c:v>35.115500000000701</c:v>
                </c:pt>
                <c:pt idx="867">
                  <c:v>35.115600000000704</c:v>
                </c:pt>
                <c:pt idx="868">
                  <c:v>35.115700000000707</c:v>
                </c:pt>
                <c:pt idx="869">
                  <c:v>35.115800000000711</c:v>
                </c:pt>
                <c:pt idx="870">
                  <c:v>35.115900000000714</c:v>
                </c:pt>
                <c:pt idx="871">
                  <c:v>35.116000000000717</c:v>
                </c:pt>
                <c:pt idx="872">
                  <c:v>35.116100000000721</c:v>
                </c:pt>
                <c:pt idx="873">
                  <c:v>35.116200000000724</c:v>
                </c:pt>
                <c:pt idx="874">
                  <c:v>35.116300000000727</c:v>
                </c:pt>
                <c:pt idx="875">
                  <c:v>35.116400000000731</c:v>
                </c:pt>
                <c:pt idx="876">
                  <c:v>35.116500000000734</c:v>
                </c:pt>
                <c:pt idx="877">
                  <c:v>35.116600000000737</c:v>
                </c:pt>
                <c:pt idx="878">
                  <c:v>35.116700000000741</c:v>
                </c:pt>
                <c:pt idx="879">
                  <c:v>35.116800000000744</c:v>
                </c:pt>
                <c:pt idx="880">
                  <c:v>35.116900000000747</c:v>
                </c:pt>
                <c:pt idx="881">
                  <c:v>35.117000000000751</c:v>
                </c:pt>
                <c:pt idx="882">
                  <c:v>35.117100000000754</c:v>
                </c:pt>
                <c:pt idx="883">
                  <c:v>35.117200000000757</c:v>
                </c:pt>
                <c:pt idx="884">
                  <c:v>35.11730000000076</c:v>
                </c:pt>
                <c:pt idx="885">
                  <c:v>35.117400000000764</c:v>
                </c:pt>
                <c:pt idx="886">
                  <c:v>35.117500000000767</c:v>
                </c:pt>
                <c:pt idx="887">
                  <c:v>35.11760000000077</c:v>
                </c:pt>
                <c:pt idx="888">
                  <c:v>35.117700000000774</c:v>
                </c:pt>
                <c:pt idx="889">
                  <c:v>35.117800000000777</c:v>
                </c:pt>
                <c:pt idx="890">
                  <c:v>35.11790000000078</c:v>
                </c:pt>
                <c:pt idx="891">
                  <c:v>35.118000000000784</c:v>
                </c:pt>
                <c:pt idx="892">
                  <c:v>35.118100000000787</c:v>
                </c:pt>
                <c:pt idx="893">
                  <c:v>35.11820000000079</c:v>
                </c:pt>
                <c:pt idx="894">
                  <c:v>35.118300000000794</c:v>
                </c:pt>
                <c:pt idx="895">
                  <c:v>35.118400000000797</c:v>
                </c:pt>
                <c:pt idx="896">
                  <c:v>35.1185000000008</c:v>
                </c:pt>
                <c:pt idx="897">
                  <c:v>35.118600000000804</c:v>
                </c:pt>
                <c:pt idx="898">
                  <c:v>35.118700000000807</c:v>
                </c:pt>
                <c:pt idx="899">
                  <c:v>35.11880000000081</c:v>
                </c:pt>
                <c:pt idx="900">
                  <c:v>35.118900000000814</c:v>
                </c:pt>
                <c:pt idx="901">
                  <c:v>35.119000000000817</c:v>
                </c:pt>
                <c:pt idx="902">
                  <c:v>35.11910000000082</c:v>
                </c:pt>
                <c:pt idx="903">
                  <c:v>35.119200000000824</c:v>
                </c:pt>
                <c:pt idx="904">
                  <c:v>35.119300000000827</c:v>
                </c:pt>
                <c:pt idx="905">
                  <c:v>35.11940000000083</c:v>
                </c:pt>
                <c:pt idx="906">
                  <c:v>35.119500000000833</c:v>
                </c:pt>
                <c:pt idx="907">
                  <c:v>35.119600000000837</c:v>
                </c:pt>
                <c:pt idx="908">
                  <c:v>35.11970000000084</c:v>
                </c:pt>
                <c:pt idx="909">
                  <c:v>35.119800000000843</c:v>
                </c:pt>
                <c:pt idx="910">
                  <c:v>35.119900000000847</c:v>
                </c:pt>
                <c:pt idx="911">
                  <c:v>35.12000000000085</c:v>
                </c:pt>
                <c:pt idx="912">
                  <c:v>35.120100000000853</c:v>
                </c:pt>
                <c:pt idx="913">
                  <c:v>35.120200000000857</c:v>
                </c:pt>
                <c:pt idx="914">
                  <c:v>35.12030000000086</c:v>
                </c:pt>
                <c:pt idx="915">
                  <c:v>35.120400000000863</c:v>
                </c:pt>
                <c:pt idx="916">
                  <c:v>35.120500000000867</c:v>
                </c:pt>
                <c:pt idx="917">
                  <c:v>35.12060000000087</c:v>
                </c:pt>
                <c:pt idx="918">
                  <c:v>35.120700000000873</c:v>
                </c:pt>
                <c:pt idx="919">
                  <c:v>35.120800000000877</c:v>
                </c:pt>
                <c:pt idx="920">
                  <c:v>35.12090000000088</c:v>
                </c:pt>
                <c:pt idx="921">
                  <c:v>35.121000000000883</c:v>
                </c:pt>
                <c:pt idx="922">
                  <c:v>35.121100000000887</c:v>
                </c:pt>
                <c:pt idx="923">
                  <c:v>35.12120000000089</c:v>
                </c:pt>
                <c:pt idx="924">
                  <c:v>35.121300000000893</c:v>
                </c:pt>
                <c:pt idx="925">
                  <c:v>35.121400000000897</c:v>
                </c:pt>
                <c:pt idx="926">
                  <c:v>35.1215000000009</c:v>
                </c:pt>
                <c:pt idx="927">
                  <c:v>35.121600000000903</c:v>
                </c:pt>
                <c:pt idx="928">
                  <c:v>35.121700000000907</c:v>
                </c:pt>
                <c:pt idx="929">
                  <c:v>35.12180000000091</c:v>
                </c:pt>
                <c:pt idx="930">
                  <c:v>35.121900000000913</c:v>
                </c:pt>
                <c:pt idx="931">
                  <c:v>35.122000000000916</c:v>
                </c:pt>
                <c:pt idx="932">
                  <c:v>35.12210000000092</c:v>
                </c:pt>
                <c:pt idx="933">
                  <c:v>35.122200000000923</c:v>
                </c:pt>
                <c:pt idx="934">
                  <c:v>35.122300000000926</c:v>
                </c:pt>
                <c:pt idx="935">
                  <c:v>35.12240000000093</c:v>
                </c:pt>
                <c:pt idx="936">
                  <c:v>35.122500000000933</c:v>
                </c:pt>
                <c:pt idx="937">
                  <c:v>35.122600000000936</c:v>
                </c:pt>
                <c:pt idx="938">
                  <c:v>35.12270000000094</c:v>
                </c:pt>
                <c:pt idx="939">
                  <c:v>35.122800000000943</c:v>
                </c:pt>
                <c:pt idx="940">
                  <c:v>35.122900000000946</c:v>
                </c:pt>
                <c:pt idx="941">
                  <c:v>35.12300000000095</c:v>
                </c:pt>
                <c:pt idx="942">
                  <c:v>35.123100000000953</c:v>
                </c:pt>
                <c:pt idx="943">
                  <c:v>35.123200000000956</c:v>
                </c:pt>
                <c:pt idx="944">
                  <c:v>35.12330000000096</c:v>
                </c:pt>
                <c:pt idx="945">
                  <c:v>35.123400000000963</c:v>
                </c:pt>
                <c:pt idx="946">
                  <c:v>35.123500000000966</c:v>
                </c:pt>
                <c:pt idx="947">
                  <c:v>35.12360000000097</c:v>
                </c:pt>
                <c:pt idx="948">
                  <c:v>35.123700000000973</c:v>
                </c:pt>
                <c:pt idx="949">
                  <c:v>35.123800000000976</c:v>
                </c:pt>
                <c:pt idx="950">
                  <c:v>35.12390000000098</c:v>
                </c:pt>
                <c:pt idx="951">
                  <c:v>35.124000000000983</c:v>
                </c:pt>
                <c:pt idx="952">
                  <c:v>35.124100000000986</c:v>
                </c:pt>
                <c:pt idx="953">
                  <c:v>35.12420000000099</c:v>
                </c:pt>
                <c:pt idx="954">
                  <c:v>35.124300000000993</c:v>
                </c:pt>
                <c:pt idx="955">
                  <c:v>35.124400000000996</c:v>
                </c:pt>
                <c:pt idx="956">
                  <c:v>35.124500000000999</c:v>
                </c:pt>
                <c:pt idx="957">
                  <c:v>35.124600000001003</c:v>
                </c:pt>
                <c:pt idx="958">
                  <c:v>35.124700000001006</c:v>
                </c:pt>
                <c:pt idx="959">
                  <c:v>35.124800000001009</c:v>
                </c:pt>
                <c:pt idx="960">
                  <c:v>35.124900000001013</c:v>
                </c:pt>
                <c:pt idx="961">
                  <c:v>35.125000000001016</c:v>
                </c:pt>
                <c:pt idx="962">
                  <c:v>35.125100000001019</c:v>
                </c:pt>
                <c:pt idx="963">
                  <c:v>35.125200000001023</c:v>
                </c:pt>
                <c:pt idx="964">
                  <c:v>35.125300000001026</c:v>
                </c:pt>
                <c:pt idx="965">
                  <c:v>35.125400000001029</c:v>
                </c:pt>
                <c:pt idx="966">
                  <c:v>35.125500000001033</c:v>
                </c:pt>
                <c:pt idx="967">
                  <c:v>35.125600000001036</c:v>
                </c:pt>
                <c:pt idx="968">
                  <c:v>35.125700000001039</c:v>
                </c:pt>
                <c:pt idx="969">
                  <c:v>35.125800000001043</c:v>
                </c:pt>
                <c:pt idx="970">
                  <c:v>35.125900000001046</c:v>
                </c:pt>
                <c:pt idx="971">
                  <c:v>35.126000000001049</c:v>
                </c:pt>
                <c:pt idx="972">
                  <c:v>35.126100000001053</c:v>
                </c:pt>
                <c:pt idx="973">
                  <c:v>35.126200000001056</c:v>
                </c:pt>
                <c:pt idx="974">
                  <c:v>35.126300000001059</c:v>
                </c:pt>
                <c:pt idx="975">
                  <c:v>35.126400000001063</c:v>
                </c:pt>
                <c:pt idx="976">
                  <c:v>35.126500000001066</c:v>
                </c:pt>
                <c:pt idx="977">
                  <c:v>35.126600000001069</c:v>
                </c:pt>
                <c:pt idx="978">
                  <c:v>35.126700000001073</c:v>
                </c:pt>
                <c:pt idx="979">
                  <c:v>35.126800000001076</c:v>
                </c:pt>
                <c:pt idx="980">
                  <c:v>35.126900000001079</c:v>
                </c:pt>
                <c:pt idx="981">
                  <c:v>35.127000000001082</c:v>
                </c:pt>
                <c:pt idx="982">
                  <c:v>35.127100000001086</c:v>
                </c:pt>
                <c:pt idx="983">
                  <c:v>35.127200000001089</c:v>
                </c:pt>
                <c:pt idx="984">
                  <c:v>35.127300000001092</c:v>
                </c:pt>
                <c:pt idx="985">
                  <c:v>35.127400000001096</c:v>
                </c:pt>
                <c:pt idx="986">
                  <c:v>35.127500000001099</c:v>
                </c:pt>
                <c:pt idx="987">
                  <c:v>35.127600000001102</c:v>
                </c:pt>
                <c:pt idx="988">
                  <c:v>35.127700000001106</c:v>
                </c:pt>
                <c:pt idx="989">
                  <c:v>35.127800000001109</c:v>
                </c:pt>
                <c:pt idx="990">
                  <c:v>35.127900000001112</c:v>
                </c:pt>
                <c:pt idx="991">
                  <c:v>35.128000000001116</c:v>
                </c:pt>
                <c:pt idx="992">
                  <c:v>35.128100000001119</c:v>
                </c:pt>
                <c:pt idx="993">
                  <c:v>35.128200000001122</c:v>
                </c:pt>
                <c:pt idx="994">
                  <c:v>35.128300000001126</c:v>
                </c:pt>
                <c:pt idx="995">
                  <c:v>35.128400000001129</c:v>
                </c:pt>
                <c:pt idx="996">
                  <c:v>35.128500000001132</c:v>
                </c:pt>
                <c:pt idx="997">
                  <c:v>35.128600000001136</c:v>
                </c:pt>
                <c:pt idx="998">
                  <c:v>35.128700000001139</c:v>
                </c:pt>
                <c:pt idx="999">
                  <c:v>35.128800000001142</c:v>
                </c:pt>
                <c:pt idx="1000">
                  <c:v>35.128900000001146</c:v>
                </c:pt>
              </c:numCache>
            </c:numRef>
          </c:xVal>
          <c:yVal>
            <c:numRef>
              <c:f>Calculs!$K$4:$K$1004</c:f>
              <c:numCache>
                <c:formatCode>0.00</c:formatCode>
                <c:ptCount val="1001"/>
                <c:pt idx="0">
                  <c:v>0</c:v>
                </c:pt>
                <c:pt idx="1">
                  <c:v>2.1677122902460689E-5</c:v>
                </c:pt>
                <c:pt idx="2">
                  <c:v>1.0817089287345739E-3</c:v>
                </c:pt>
                <c:pt idx="3">
                  <c:v>5.1706503536440452E-3</c:v>
                </c:pt>
                <c:pt idx="4">
                  <c:v>1.4280462343996275E-2</c:v>
                </c:pt>
                <c:pt idx="5">
                  <c:v>3.0405103042613991E-2</c:v>
                </c:pt>
                <c:pt idx="6">
                  <c:v>5.5036693836915757E-2</c:v>
                </c:pt>
                <c:pt idx="7">
                  <c:v>8.8660437136044545E-2</c:v>
                </c:pt>
                <c:pt idx="8">
                  <c:v>0.13125754601025755</c:v>
                </c:pt>
                <c:pt idx="9">
                  <c:v>0.18280912899126561</c:v>
                </c:pt>
                <c:pt idx="10">
                  <c:v>0.24329619045393239</c:v>
                </c:pt>
                <c:pt idx="11">
                  <c:v>0.31269963100232268</c:v>
                </c:pt>
                <c:pt idx="12">
                  <c:v>0.39100024786006626</c:v>
                </c:pt>
                <c:pt idx="13">
                  <c:v>0.4781787352650036</c:v>
                </c:pt>
                <c:pt idx="14">
                  <c:v>0.57421568486807839</c:v>
                </c:pt>
                <c:pt idx="15">
                  <c:v>0.6790915861364426</c:v>
                </c:pt>
                <c:pt idx="16">
                  <c:v>0.79278682676073908</c:v>
                </c:pt>
                <c:pt idx="17">
                  <c:v>0.91528169306652496</c:v>
                </c:pt>
                <c:pt idx="18">
                  <c:v>1.0465563704298011</c:v>
                </c:pt>
                <c:pt idx="19">
                  <c:v>1.1865909436966107</c:v>
                </c:pt>
                <c:pt idx="20">
                  <c:v>1.3353653976066704</c:v>
                </c:pt>
                <c:pt idx="21">
                  <c:v>1.492859617220996</c:v>
                </c:pt>
                <c:pt idx="22">
                  <c:v>1.659053388353487</c:v>
                </c:pt>
                <c:pt idx="23">
                  <c:v>1.83392639800643</c:v>
                </c:pt>
                <c:pt idx="24">
                  <c:v>2.0174582348098844</c:v>
                </c:pt>
                <c:pt idx="25">
                  <c:v>2.2096283894649114</c:v>
                </c:pt>
                <c:pt idx="26">
                  <c:v>2.4104162551906065</c:v>
                </c:pt>
                <c:pt idx="27">
                  <c:v>2.6198011281748976</c:v>
                </c:pt>
                <c:pt idx="28">
                  <c:v>2.8377622080290679</c:v>
                </c:pt>
                <c:pt idx="29">
                  <c:v>3.0642785982459646</c:v>
                </c:pt>
                <c:pt idx="30">
                  <c:v>3.2993293066618543</c:v>
                </c:pt>
                <c:pt idx="31">
                  <c:v>3.5428932459218796</c:v>
                </c:pt>
                <c:pt idx="32">
                  <c:v>3.7949492339490831</c:v>
                </c:pt>
                <c:pt idx="33">
                  <c:v>4.0554759944169527</c:v>
                </c:pt>
                <c:pt idx="34">
                  <c:v>4.3244373597386847</c:v>
                </c:pt>
                <c:pt idx="35">
                  <c:v>4.6017965686459812</c:v>
                </c:pt>
                <c:pt idx="36">
                  <c:v>4.8875310705792572</c:v>
                </c:pt>
                <c:pt idx="37">
                  <c:v>5.1816182424411688</c:v>
                </c:pt>
                <c:pt idx="38">
                  <c:v>5.484035395382012</c:v>
                </c:pt>
                <c:pt idx="39">
                  <c:v>5.7947597740433467</c:v>
                </c:pt>
                <c:pt idx="40">
                  <c:v>6.1137685559018395</c:v>
                </c:pt>
                <c:pt idx="41">
                  <c:v>6.4410388507033085</c:v>
                </c:pt>
                <c:pt idx="42">
                  <c:v>6.7765476999781971</c:v>
                </c:pt>
                <c:pt idx="43">
                  <c:v>7.1202720766307923</c:v>
                </c:pt>
                <c:pt idx="44">
                  <c:v>7.472188884595421</c:v>
                </c:pt>
                <c:pt idx="45">
                  <c:v>7.8322749585536462</c:v>
                </c:pt>
                <c:pt idx="46">
                  <c:v>8.2005070637071622</c:v>
                </c:pt>
                <c:pt idx="47">
                  <c:v>8.5768618956016827</c:v>
                </c:pt>
                <c:pt idx="48">
                  <c:v>8.9613160799976228</c:v>
                </c:pt>
                <c:pt idx="49">
                  <c:v>9.3538461727838076</c:v>
                </c:pt>
                <c:pt idx="50">
                  <c:v>9.7544286599308538</c:v>
                </c:pt>
                <c:pt idx="51">
                  <c:v>10.163042609361337</c:v>
                </c:pt>
                <c:pt idx="52">
                  <c:v>10.579672326089959</c:v>
                </c:pt>
                <c:pt idx="53">
                  <c:v>11.004304704762086</c:v>
                </c:pt>
                <c:pt idx="54">
                  <c:v>11.436926578865158</c:v>
                </c:pt>
                <c:pt idx="55">
                  <c:v>11.877524720598437</c:v>
                </c:pt>
                <c:pt idx="56">
                  <c:v>12.326085840765304</c:v>
                </c:pt>
                <c:pt idx="57">
                  <c:v>12.782596588686678</c:v>
                </c:pt>
                <c:pt idx="58">
                  <c:v>13.247043552134272</c:v>
                </c:pt>
                <c:pt idx="59">
                  <c:v>13.7194132572825</c:v>
                </c:pt>
                <c:pt idx="60">
                  <c:v>14.199692168677961</c:v>
                </c:pt>
                <c:pt idx="61">
                  <c:v>14.687866689225492</c:v>
                </c:pt>
                <c:pt idx="62">
                  <c:v>15.183923160189877</c:v>
                </c:pt>
                <c:pt idx="63">
                  <c:v>15.68784786121236</c:v>
                </c:pt>
                <c:pt idx="64">
                  <c:v>16.199627010341189</c:v>
                </c:pt>
                <c:pt idx="65">
                  <c:v>16.719246764075454</c:v>
                </c:pt>
                <c:pt idx="66">
                  <c:v>17.246693217421555</c:v>
                </c:pt>
                <c:pt idx="67">
                  <c:v>17.781952403961686</c:v>
                </c:pt>
                <c:pt idx="68">
                  <c:v>18.325010295933733</c:v>
                </c:pt>
                <c:pt idx="69">
                  <c:v>18.875852804322065</c:v>
                </c:pt>
                <c:pt idx="70">
                  <c:v>19.434465778958717</c:v>
                </c:pt>
                <c:pt idx="71">
                  <c:v>20.000835008634493</c:v>
                </c:pt>
                <c:pt idx="72">
                  <c:v>20.57494622121953</c:v>
                </c:pt>
                <c:pt idx="73">
                  <c:v>21.156785083792961</c:v>
                </c:pt>
                <c:pt idx="74">
                  <c:v>21.746337202781245</c:v>
                </c:pt>
                <c:pt idx="75">
                  <c:v>22.343588124104834</c:v>
                </c:pt>
                <c:pt idx="76">
                  <c:v>22.948523333332822</c:v>
                </c:pt>
                <c:pt idx="77">
                  <c:v>23.561128255845283</c:v>
                </c:pt>
                <c:pt idx="78">
                  <c:v>24.181388257002954</c:v>
                </c:pt>
                <c:pt idx="79">
                  <c:v>24.809288642324034</c:v>
                </c:pt>
                <c:pt idx="80">
                  <c:v>25.444814657667795</c:v>
                </c:pt>
                <c:pt idx="81">
                  <c:v>26.087951489424768</c:v>
                </c:pt>
                <c:pt idx="82">
                  <c:v>26.738684264713271</c:v>
                </c:pt>
                <c:pt idx="83">
                  <c:v>27.396998051582038</c:v>
                </c:pt>
                <c:pt idx="84">
                  <c:v>28.062877859218762</c:v>
                </c:pt>
                <c:pt idx="85">
                  <c:v>28.73630863816431</c:v>
                </c:pt>
                <c:pt idx="86">
                  <c:v>29.417275280532468</c:v>
                </c:pt>
                <c:pt idx="87">
                  <c:v>30.10576262023498</c:v>
                </c:pt>
                <c:pt idx="88">
                  <c:v>30.801755433211763</c:v>
                </c:pt>
                <c:pt idx="89">
                  <c:v>31.505238437666076</c:v>
                </c:pt>
                <c:pt idx="90">
                  <c:v>32.216196294304531</c:v>
                </c:pt>
                <c:pt idx="91">
                  <c:v>32.93461360658177</c:v>
                </c:pt>
                <c:pt idx="92">
                  <c:v>33.660474920949667</c:v>
                </c:pt>
                <c:pt idx="93">
                  <c:v>34.393764727110934</c:v>
                </c:pt>
                <c:pt idx="94">
                  <c:v>35.134467458276966</c:v>
                </c:pt>
                <c:pt idx="95">
                  <c:v>35.882567491429832</c:v>
                </c:pt>
                <c:pt idx="96">
                  <c:v>36.638049147588269</c:v>
                </c:pt>
                <c:pt idx="97">
                  <c:v>37.40089669207758</c:v>
                </c:pt>
                <c:pt idx="98">
                  <c:v>38.171094334803307</c:v>
                </c:pt>
                <c:pt idx="99">
                  <c:v>38.948626230528575</c:v>
                </c:pt>
                <c:pt idx="100">
                  <c:v>39.733476479155016</c:v>
                </c:pt>
                <c:pt idx="101">
                  <c:v>40.525627906281215</c:v>
                </c:pt>
                <c:pt idx="102">
                  <c:v>41.325060842757296</c:v>
                </c:pt>
                <c:pt idx="103">
                  <c:v>42.131754343677216</c:v>
                </c:pt>
                <c:pt idx="104">
                  <c:v>42.945687408441195</c:v>
                </c:pt>
                <c:pt idx="105">
                  <c:v>43.766838981172505</c:v>
                </c:pt>
                <c:pt idx="106">
                  <c:v>44.595187951137163</c:v>
                </c:pt>
                <c:pt idx="107">
                  <c:v>45.430713153166465</c:v>
                </c:pt>
                <c:pt idx="108">
                  <c:v>46.27339336808226</c:v>
                </c:pt>
                <c:pt idx="109">
                  <c:v>47.123207323124852</c:v>
                </c:pt>
                <c:pt idx="110">
                  <c:v>47.980133692383454</c:v>
                </c:pt>
                <c:pt idx="111">
                  <c:v>48.844151097229101</c:v>
                </c:pt>
                <c:pt idx="112">
                  <c:v>49.715238106749922</c:v>
                </c:pt>
                <c:pt idx="113">
                  <c:v>50.593373238188683</c:v>
                </c:pt>
                <c:pt idx="114">
                  <c:v>51.478534957382564</c:v>
                </c:pt>
                <c:pt idx="115">
                  <c:v>52.370701679205027</c:v>
                </c:pt>
                <c:pt idx="116">
                  <c:v>53.269851768009708</c:v>
                </c:pt>
                <c:pt idx="117">
                  <c:v>54.175963538076324</c:v>
                </c:pt>
                <c:pt idx="118">
                  <c:v>55.08901525405841</c:v>
                </c:pt>
                <c:pt idx="119">
                  <c:v>56.008985131432915</c:v>
                </c:pt>
                <c:pt idx="120">
                  <c:v>56.935851336951494</c:v>
                </c:pt>
                <c:pt idx="121">
                  <c:v>57.869591989093514</c:v>
                </c:pt>
                <c:pt idx="122">
                  <c:v>58.810185158520639</c:v>
                </c:pt>
                <c:pt idx="123">
                  <c:v>59.757608868532955</c:v>
                </c:pt>
                <c:pt idx="124">
                  <c:v>60.711841095526573</c:v>
                </c:pt>
                <c:pt idx="125">
                  <c:v>61.672859769452614</c:v>
                </c:pt>
                <c:pt idx="126">
                  <c:v>62.640642774277552</c:v>
                </c:pt>
                <c:pt idx="127">
                  <c:v>63.615167948444842</c:v>
                </c:pt>
                <c:pt idx="128">
                  <c:v>64.596413085337758</c:v>
                </c:pt>
                <c:pt idx="129">
                  <c:v>65.584355933743367</c:v>
                </c:pt>
                <c:pt idx="130">
                  <c:v>66.578974198317667</c:v>
                </c:pt>
                <c:pt idx="131">
                  <c:v>67.580245540051664</c:v>
                </c:pt>
                <c:pt idx="132">
                  <c:v>68.588147576738564</c:v>
                </c:pt>
                <c:pt idx="133">
                  <c:v>69.602657883441751</c:v>
                </c:pt>
                <c:pt idx="134">
                  <c:v>70.623753992963785</c:v>
                </c:pt>
                <c:pt idx="135">
                  <c:v>71.651413396316087</c:v>
                </c:pt>
                <c:pt idx="136">
                  <c:v>72.685613543189476</c:v>
                </c:pt>
                <c:pt idx="137">
                  <c:v>73.726331842425409</c:v>
                </c:pt>
                <c:pt idx="138">
                  <c:v>74.773545662487848</c:v>
                </c:pt>
                <c:pt idx="139">
                  <c:v>75.827232331935775</c:v>
                </c:pt>
                <c:pt idx="140">
                  <c:v>76.887369139896265</c:v>
                </c:pt>
                <c:pt idx="141">
                  <c:v>77.953933336538057</c:v>
                </c:pt>
                <c:pt idx="142">
                  <c:v>79.02690213354559</c:v>
                </c:pt>
                <c:pt idx="143">
                  <c:v>80.106252704593501</c:v>
                </c:pt>
                <c:pt idx="144">
                  <c:v>81.19196218582141</c:v>
                </c:pt>
                <c:pt idx="145">
                  <c:v>82.284007676309116</c:v>
                </c:pt>
                <c:pt idx="146">
                  <c:v>83.382366238551995</c:v>
                </c:pt>
                <c:pt idx="147">
                  <c:v>84.487014898936721</c:v>
                </c:pt>
                <c:pt idx="148">
                  <c:v>85.597930648217044</c:v>
                </c:pt>
                <c:pt idx="149">
                  <c:v>86.715090441989886</c:v>
                </c:pt>
                <c:pt idx="150">
                  <c:v>87.838471201171345</c:v>
                </c:pt>
                <c:pt idx="151">
                  <c:v>88.968050226757896</c:v>
                </c:pt>
                <c:pt idx="152">
                  <c:v>90.103805614728088</c:v>
                </c:pt>
                <c:pt idx="153">
                  <c:v>91.245715842203012</c:v>
                </c:pt>
                <c:pt idx="154">
                  <c:v>92.393759353446811</c:v>
                </c:pt>
                <c:pt idx="155">
                  <c:v>93.547914560304207</c:v>
                </c:pt>
                <c:pt idx="156">
                  <c:v>94.708159842638068</c:v>
                </c:pt>
                <c:pt idx="157">
                  <c:v>95.874473548766957</c:v>
                </c:pt>
                <c:pt idx="158">
                  <c:v>97.046833995902659</c:v>
                </c:pt>
                <c:pt idx="159">
                  <c:v>98.225219470587618</c:v>
                </c:pt>
                <c:pt idx="160">
                  <c:v>99.409608229132289</c:v>
                </c:pt>
                <c:pt idx="161">
                  <c:v>100.59997849805231</c:v>
                </c:pt>
                <c:pt idx="162">
                  <c:v>101.79630847450558</c:v>
                </c:pt>
                <c:pt idx="163">
                  <c:v>102.99857632672899</c:v>
                </c:pt>
                <c:pt idx="164">
                  <c:v>104.20676019447507</c:v>
                </c:pt>
                <c:pt idx="165">
                  <c:v>105.42083818944818</c:v>
                </c:pt>
                <c:pt idx="166">
                  <c:v>106.6407883957406</c:v>
                </c:pt>
                <c:pt idx="167">
                  <c:v>107.86658887026809</c:v>
                </c:pt>
                <c:pt idx="168">
                  <c:v>109.09821764320516</c:v>
                </c:pt>
                <c:pt idx="169">
                  <c:v>110.33565271841996</c:v>
                </c:pt>
                <c:pt idx="170">
                  <c:v>111.57887207390867</c:v>
                </c:pt>
                <c:pt idx="171">
                  <c:v>112.82785366222944</c:v>
                </c:pt>
                <c:pt idx="172">
                  <c:v>114.0825754109359</c:v>
                </c:pt>
                <c:pt idx="173">
                  <c:v>115.34301522301001</c:v>
                </c:pt>
                <c:pt idx="174">
                  <c:v>116.60915097729448</c:v>
                </c:pt>
                <c:pt idx="175">
                  <c:v>117.8809605289245</c:v>
                </c:pt>
                <c:pt idx="176">
                  <c:v>119.15842170975894</c:v>
                </c:pt>
                <c:pt idx="177">
                  <c:v>120.44151232881083</c:v>
                </c:pt>
                <c:pt idx="178">
                  <c:v>121.73021017267722</c:v>
                </c:pt>
                <c:pt idx="179">
                  <c:v>123.02449300596828</c:v>
                </c:pt>
                <c:pt idx="180">
                  <c:v>124.32433857173577</c:v>
                </c:pt>
                <c:pt idx="181">
                  <c:v>125.62972459190058</c:v>
                </c:pt>
                <c:pt idx="182">
                  <c:v>126.9406287676797</c:v>
                </c:pt>
                <c:pt idx="183">
                  <c:v>128.25702878001215</c:v>
                </c:pt>
                <c:pt idx="184">
                  <c:v>129.57890228998431</c:v>
                </c:pt>
                <c:pt idx="185">
                  <c:v>130.90622693925417</c:v>
                </c:pt>
                <c:pt idx="186">
                  <c:v>132.2389803504748</c:v>
                </c:pt>
                <c:pt idx="187">
                  <c:v>133.57714012771689</c:v>
                </c:pt>
                <c:pt idx="188">
                  <c:v>134.92068385689029</c:v>
                </c:pt>
                <c:pt idx="189">
                  <c:v>136.26958910616477</c:v>
                </c:pt>
                <c:pt idx="190">
                  <c:v>137.62383342638944</c:v>
                </c:pt>
                <c:pt idx="191">
                  <c:v>138.98339435151155</c:v>
                </c:pt>
                <c:pt idx="192">
                  <c:v>140.34824939899394</c:v>
                </c:pt>
                <c:pt idx="193">
                  <c:v>141.71837607023161</c:v>
                </c:pt>
                <c:pt idx="194">
                  <c:v>143.09375185096707</c:v>
                </c:pt>
                <c:pt idx="195">
                  <c:v>144.47435421170474</c:v>
                </c:pt>
                <c:pt idx="196">
                  <c:v>145.860160608124</c:v>
                </c:pt>
                <c:pt idx="197">
                  <c:v>147.25114848149133</c:v>
                </c:pt>
                <c:pt idx="198">
                  <c:v>148.64729525907103</c:v>
                </c:pt>
                <c:pt idx="199">
                  <c:v>150.04857835453495</c:v>
                </c:pt>
                <c:pt idx="200">
                  <c:v>151.45497516837082</c:v>
                </c:pt>
                <c:pt idx="201">
                  <c:v>152.86646308828944</c:v>
                </c:pt>
                <c:pt idx="202">
                  <c:v>154.28301948963053</c:v>
                </c:pt>
                <c:pt idx="203">
                  <c:v>155.70462173576749</c:v>
                </c:pt>
                <c:pt idx="204">
                  <c:v>157.13124717851051</c:v>
                </c:pt>
                <c:pt idx="205">
                  <c:v>158.56287315850867</c:v>
                </c:pt>
                <c:pt idx="206">
                  <c:v>159.9994770056505</c:v>
                </c:pt>
                <c:pt idx="207">
                  <c:v>161.44103603946331</c:v>
                </c:pt>
                <c:pt idx="208">
                  <c:v>162.88752756951095</c:v>
                </c:pt>
                <c:pt idx="209">
                  <c:v>164.33892889579036</c:v>
                </c:pt>
                <c:pt idx="210">
                  <c:v>165.7952173091266</c:v>
                </c:pt>
                <c:pt idx="211">
                  <c:v>167.2563700915664</c:v>
                </c:pt>
                <c:pt idx="212">
                  <c:v>168.72236451677031</c:v>
                </c:pt>
                <c:pt idx="213">
                  <c:v>170.1931778504034</c:v>
                </c:pt>
                <c:pt idx="214">
                  <c:v>171.66878735052435</c:v>
                </c:pt>
                <c:pt idx="215">
                  <c:v>173.14917026797309</c:v>
                </c:pt>
                <c:pt idx="216">
                  <c:v>174.63430384675692</c:v>
                </c:pt>
                <c:pt idx="217">
                  <c:v>176.12416532443507</c:v>
                </c:pt>
                <c:pt idx="218">
                  <c:v>177.61873193250167</c:v>
                </c:pt>
                <c:pt idx="219">
                  <c:v>179.11798089676716</c:v>
                </c:pt>
                <c:pt idx="220">
                  <c:v>180.62188943773808</c:v>
                </c:pt>
                <c:pt idx="221">
                  <c:v>182.13043477099527</c:v>
                </c:pt>
                <c:pt idx="222">
                  <c:v>183.64359410757041</c:v>
                </c:pt>
                <c:pt idx="223">
                  <c:v>185.16134465432097</c:v>
                </c:pt>
                <c:pt idx="224">
                  <c:v>186.68366361430338</c:v>
                </c:pt>
                <c:pt idx="225">
                  <c:v>188.21052818714469</c:v>
                </c:pt>
                <c:pt idx="226">
                  <c:v>189.74191556941238</c:v>
                </c:pt>
                <c:pt idx="227">
                  <c:v>191.27780295498255</c:v>
                </c:pt>
                <c:pt idx="228">
                  <c:v>192.81816753540642</c:v>
                </c:pt>
                <c:pt idx="229">
                  <c:v>194.36298650027496</c:v>
                </c:pt>
                <c:pt idx="230">
                  <c:v>195.91223703758197</c:v>
                </c:pt>
                <c:pt idx="231">
                  <c:v>197.46589633408522</c:v>
                </c:pt>
                <c:pt idx="232">
                  <c:v>199.0239415756659</c:v>
                </c:pt>
                <c:pt idx="233">
                  <c:v>200.5863499476863</c:v>
                </c:pt>
                <c:pt idx="234">
                  <c:v>202.15309863534566</c:v>
                </c:pt>
                <c:pt idx="235">
                  <c:v>203.72416482403418</c:v>
                </c:pt>
                <c:pt idx="236">
                  <c:v>205.29952569968526</c:v>
                </c:pt>
                <c:pt idx="237">
                  <c:v>206.87915844912595</c:v>
                </c:pt>
                <c:pt idx="238">
                  <c:v>208.46304026042537</c:v>
                </c:pt>
                <c:pt idx="239">
                  <c:v>210.05114832324151</c:v>
                </c:pt>
                <c:pt idx="240">
                  <c:v>211.64345982916598</c:v>
                </c:pt>
                <c:pt idx="241">
                  <c:v>213.23995197206693</c:v>
                </c:pt>
                <c:pt idx="242">
                  <c:v>214.84060194843019</c:v>
                </c:pt>
                <c:pt idx="243">
                  <c:v>216.44538695769828</c:v>
                </c:pt>
                <c:pt idx="244">
                  <c:v>218.05428420260779</c:v>
                </c:pt>
                <c:pt idx="245">
                  <c:v>219.66727088952456</c:v>
                </c:pt>
                <c:pt idx="246">
                  <c:v>221.28432422877719</c:v>
                </c:pt>
                <c:pt idx="247">
                  <c:v>222.90542143498843</c:v>
                </c:pt>
                <c:pt idx="248">
                  <c:v>224.53053972740466</c:v>
                </c:pt>
                <c:pt idx="249">
                  <c:v>226.15965633022344</c:v>
                </c:pt>
                <c:pt idx="250">
                  <c:v>227.79274847291913</c:v>
                </c:pt>
                <c:pt idx="251">
                  <c:v>229.42979160929514</c:v>
                </c:pt>
                <c:pt idx="252">
                  <c:v>231.07075763746346</c:v>
                </c:pt>
                <c:pt idx="253">
                  <c:v>232.71561668437406</c:v>
                </c:pt>
                <c:pt idx="254">
                  <c:v>234.36433888947494</c:v>
                </c:pt>
                <c:pt idx="255">
                  <c:v>236.01689440515113</c:v>
                </c:pt>
                <c:pt idx="256">
                  <c:v>237.67325339716024</c:v>
                </c:pt>
                <c:pt idx="257">
                  <c:v>239.33338604506471</c:v>
                </c:pt>
                <c:pt idx="258">
                  <c:v>240.99726254266059</c:v>
                </c:pt>
                <c:pt idx="259">
                  <c:v>242.66485309840289</c:v>
                </c:pt>
                <c:pt idx="260">
                  <c:v>244.33612793582748</c:v>
                </c:pt>
                <c:pt idx="261">
                  <c:v>246.01105729396971</c:v>
                </c:pt>
                <c:pt idx="262">
                  <c:v>247.68961142777937</c:v>
                </c:pt>
                <c:pt idx="263">
                  <c:v>249.37176060853236</c:v>
                </c:pt>
                <c:pt idx="264">
                  <c:v>251.05747512423886</c:v>
                </c:pt>
                <c:pt idx="265">
                  <c:v>252.74672528004803</c:v>
                </c:pt>
                <c:pt idx="266">
                  <c:v>254.43948139864924</c:v>
                </c:pt>
                <c:pt idx="267">
                  <c:v>256.13571382066993</c:v>
                </c:pt>
                <c:pt idx="268">
                  <c:v>257.8353929050698</c:v>
                </c:pt>
                <c:pt idx="269">
                  <c:v>259.53848902953172</c:v>
                </c:pt>
                <c:pt idx="270">
                  <c:v>261.24497259084904</c:v>
                </c:pt>
                <c:pt idx="271">
                  <c:v>262.95481400530957</c:v>
                </c:pt>
                <c:pt idx="272">
                  <c:v>264.66798370907571</c:v>
                </c:pt>
                <c:pt idx="273">
                  <c:v>266.3844521585616</c:v>
                </c:pt>
                <c:pt idx="274">
                  <c:v>268.10418983080638</c:v>
                </c:pt>
                <c:pt idx="275">
                  <c:v>269.82716722384413</c:v>
                </c:pt>
                <c:pt idx="276">
                  <c:v>271.55335485707019</c:v>
                </c:pt>
                <c:pt idx="277">
                  <c:v>273.2827232716042</c:v>
                </c:pt>
                <c:pt idx="278">
                  <c:v>275.01524303064946</c:v>
                </c:pt>
                <c:pt idx="279">
                  <c:v>276.75088471984884</c:v>
                </c:pt>
                <c:pt idx="280">
                  <c:v>278.4896189476371</c:v>
                </c:pt>
                <c:pt idx="281">
                  <c:v>280.23141634558999</c:v>
                </c:pt>
                <c:pt idx="282">
                  <c:v>281.97624756876951</c:v>
                </c:pt>
                <c:pt idx="283">
                  <c:v>283.72408329606594</c:v>
                </c:pt>
                <c:pt idx="284">
                  <c:v>285.47489423053611</c:v>
                </c:pt>
                <c:pt idx="285">
                  <c:v>287.22865109973844</c:v>
                </c:pt>
                <c:pt idx="286">
                  <c:v>288.98532465606445</c:v>
                </c:pt>
                <c:pt idx="287">
                  <c:v>290.74488567706646</c:v>
                </c:pt>
                <c:pt idx="288">
                  <c:v>292.50730496578223</c:v>
                </c:pt>
                <c:pt idx="289">
                  <c:v>294.27255335105582</c:v>
                </c:pt>
                <c:pt idx="290">
                  <c:v>296.0406016878552</c:v>
                </c:pt>
                <c:pt idx="291">
                  <c:v>297.81142085758609</c:v>
                </c:pt>
                <c:pt idx="292">
                  <c:v>299.58498176840254</c:v>
                </c:pt>
                <c:pt idx="293">
                  <c:v>301.36125535551406</c:v>
                </c:pt>
                <c:pt idx="294">
                  <c:v>303.14021258148904</c:v>
                </c:pt>
                <c:pt idx="295">
                  <c:v>304.92182443655497</c:v>
                </c:pt>
                <c:pt idx="296">
                  <c:v>306.706061938895</c:v>
                </c:pt>
                <c:pt idx="297">
                  <c:v>308.4928961349413</c:v>
                </c:pt>
                <c:pt idx="298">
                  <c:v>310.28227858031198</c:v>
                </c:pt>
                <c:pt idx="299">
                  <c:v>312.0741218391787</c:v>
                </c:pt>
                <c:pt idx="300">
                  <c:v>313.86831905047069</c:v>
                </c:pt>
                <c:pt idx="301">
                  <c:v>315.66476347662564</c:v>
                </c:pt>
                <c:pt idx="302">
                  <c:v>317.46334850581519</c:v>
                </c:pt>
                <c:pt idx="303">
                  <c:v>319.26396765412846</c:v>
                </c:pt>
                <c:pt idx="304">
                  <c:v>321.06651456771465</c:v>
                </c:pt>
                <c:pt idx="305">
                  <c:v>322.87088302488354</c:v>
                </c:pt>
                <c:pt idx="306">
                  <c:v>324.67696693816532</c:v>
                </c:pt>
                <c:pt idx="307">
                  <c:v>326.48466035632867</c:v>
                </c:pt>
                <c:pt idx="308">
                  <c:v>328.29385746635785</c:v>
                </c:pt>
                <c:pt idx="309">
                  <c:v>330.10445259538875</c:v>
                </c:pt>
                <c:pt idx="310">
                  <c:v>331.91634021260393</c:v>
                </c:pt>
                <c:pt idx="311">
                  <c:v>333.72941493108675</c:v>
                </c:pt>
                <c:pt idx="312">
                  <c:v>335.54357150963506</c:v>
                </c:pt>
                <c:pt idx="313">
                  <c:v>337.35870485453381</c:v>
                </c:pt>
                <c:pt idx="314">
                  <c:v>339.17471002128775</c:v>
                </c:pt>
                <c:pt idx="315">
                  <c:v>340.99148221631339</c:v>
                </c:pt>
                <c:pt idx="316">
                  <c:v>342.80891679859093</c:v>
                </c:pt>
                <c:pt idx="317">
                  <c:v>344.62690928127631</c:v>
                </c:pt>
                <c:pt idx="318">
                  <c:v>346.44535533327303</c:v>
                </c:pt>
                <c:pt idx="319">
                  <c:v>348.26415078076468</c:v>
                </c:pt>
                <c:pt idx="320">
                  <c:v>350.08319160870769</c:v>
                </c:pt>
                <c:pt idx="321">
                  <c:v>351.90238171867873</c:v>
                </c:pt>
                <c:pt idx="322">
                  <c:v>353.72164067522863</c:v>
                </c:pt>
                <c:pt idx="323">
                  <c:v>355.54089592604538</c:v>
                </c:pt>
                <c:pt idx="324">
                  <c:v>357.36007503316733</c:v>
                </c:pt>
                <c:pt idx="325">
                  <c:v>359.1791056735612</c:v>
                </c:pt>
                <c:pt idx="326">
                  <c:v>360.99791563968085</c:v>
                </c:pt>
                <c:pt idx="327">
                  <c:v>362.81643284000796</c:v>
                </c:pt>
                <c:pt idx="328">
                  <c:v>364.6345852995737</c:v>
                </c:pt>
                <c:pt idx="329">
                  <c:v>366.45230116046253</c:v>
                </c:pt>
                <c:pt idx="330">
                  <c:v>368.26950868229727</c:v>
                </c:pt>
                <c:pt idx="331">
                  <c:v>370.08613624270629</c:v>
                </c:pt>
                <c:pt idx="332">
                  <c:v>371.90211233777251</c:v>
                </c:pt>
                <c:pt idx="333">
                  <c:v>373.71736558246459</c:v>
                </c:pt>
                <c:pt idx="334">
                  <c:v>375.53182471105026</c:v>
                </c:pt>
                <c:pt idx="335">
                  <c:v>377.3454185774919</c:v>
                </c:pt>
                <c:pt idx="336">
                  <c:v>379.15807615582463</c:v>
                </c:pt>
                <c:pt idx="337">
                  <c:v>380.96972654051689</c:v>
                </c:pt>
                <c:pt idx="338">
                  <c:v>382.78029894681384</c:v>
                </c:pt>
                <c:pt idx="339">
                  <c:v>384.5897227110633</c:v>
                </c:pt>
                <c:pt idx="340">
                  <c:v>386.39792729102481</c:v>
                </c:pt>
                <c:pt idx="341">
                  <c:v>388.20484226616173</c:v>
                </c:pt>
                <c:pt idx="342">
                  <c:v>390.01039733791646</c:v>
                </c:pt>
                <c:pt idx="343">
                  <c:v>391.81452232996884</c:v>
                </c:pt>
                <c:pt idx="344">
                  <c:v>393.61714718847816</c:v>
                </c:pt>
                <c:pt idx="345">
                  <c:v>395.41820198230863</c:v>
                </c:pt>
                <c:pt idx="346">
                  <c:v>397.21761690323859</c:v>
                </c:pt>
                <c:pt idx="347">
                  <c:v>399.01532226615342</c:v>
                </c:pt>
                <c:pt idx="348">
                  <c:v>400.81124934494898</c:v>
                </c:pt>
                <c:pt idx="349">
                  <c:v>402.60533120687575</c:v>
                </c:pt>
                <c:pt idx="350">
                  <c:v>404.39750187384669</c:v>
                </c:pt>
                <c:pt idx="351">
                  <c:v>406.18769548525341</c:v>
                </c:pt>
                <c:pt idx="352">
                  <c:v>407.9758462980426</c:v>
                </c:pt>
                <c:pt idx="353">
                  <c:v>409.76188868677878</c:v>
                </c:pt>
                <c:pt idx="354">
                  <c:v>411.54575714369321</c:v>
                </c:pt>
                <c:pt idx="355">
                  <c:v>413.3273862787193</c:v>
                </c:pt>
                <c:pt idx="356">
                  <c:v>415.10671081951426</c:v>
                </c:pt>
                <c:pt idx="357">
                  <c:v>416.88366561146768</c:v>
                </c:pt>
                <c:pt idx="358">
                  <c:v>418.65818561769663</c:v>
                </c:pt>
                <c:pt idx="359">
                  <c:v>420.43020591902774</c:v>
                </c:pt>
                <c:pt idx="360">
                  <c:v>422.19967908808195</c:v>
                </c:pt>
                <c:pt idx="361">
                  <c:v>423.96659252908927</c:v>
                </c:pt>
                <c:pt idx="362">
                  <c:v>425.73095103641214</c:v>
                </c:pt>
                <c:pt idx="363">
                  <c:v>427.49275938739089</c:v>
                </c:pt>
                <c:pt idx="364">
                  <c:v>429.25202234242312</c:v>
                </c:pt>
                <c:pt idx="365">
                  <c:v>431.00874464504255</c:v>
                </c:pt>
                <c:pt idx="366">
                  <c:v>432.76293102199747</c:v>
                </c:pt>
                <c:pt idx="367">
                  <c:v>434.51458618332873</c:v>
                </c:pt>
                <c:pt idx="368">
                  <c:v>436.26371482244718</c:v>
                </c:pt>
                <c:pt idx="369">
                  <c:v>438.01032161621072</c:v>
                </c:pt>
                <c:pt idx="370">
                  <c:v>439.75441122500092</c:v>
                </c:pt>
                <c:pt idx="371">
                  <c:v>441.49598829279915</c:v>
                </c:pt>
                <c:pt idx="372">
                  <c:v>443.23505744726231</c:v>
                </c:pt>
                <c:pt idx="373">
                  <c:v>444.97162329979807</c:v>
                </c:pt>
                <c:pt idx="374">
                  <c:v>446.70569044563968</c:v>
                </c:pt>
                <c:pt idx="375">
                  <c:v>448.43726346392032</c:v>
                </c:pt>
                <c:pt idx="376">
                  <c:v>450.16634691774709</c:v>
                </c:pt>
                <c:pt idx="377">
                  <c:v>451.89294535427462</c:v>
                </c:pt>
                <c:pt idx="378">
                  <c:v>453.6170633047779</c:v>
                </c:pt>
                <c:pt idx="379">
                  <c:v>455.33870528472528</c:v>
                </c:pt>
                <c:pt idx="380">
                  <c:v>457.05787579385037</c:v>
                </c:pt>
                <c:pt idx="381">
                  <c:v>458.77457931622422</c:v>
                </c:pt>
                <c:pt idx="382">
                  <c:v>460.48882032032645</c:v>
                </c:pt>
                <c:pt idx="383">
                  <c:v>462.20060325911646</c:v>
                </c:pt>
                <c:pt idx="384">
                  <c:v>463.90993257010376</c:v>
                </c:pt>
                <c:pt idx="385">
                  <c:v>465.61681267541849</c:v>
                </c:pt>
                <c:pt idx="386">
                  <c:v>467.3212479818809</c:v>
                </c:pt>
                <c:pt idx="387">
                  <c:v>469.02324288107093</c:v>
                </c:pt>
                <c:pt idx="388">
                  <c:v>470.72280174939704</c:v>
                </c:pt>
                <c:pt idx="389">
                  <c:v>472.41992894816491</c:v>
                </c:pt>
                <c:pt idx="390">
                  <c:v>474.1146288236456</c:v>
                </c:pt>
                <c:pt idx="391">
                  <c:v>475.80690570714336</c:v>
                </c:pt>
                <c:pt idx="392">
                  <c:v>477.49676391506296</c:v>
                </c:pt>
                <c:pt idx="393">
                  <c:v>479.18420774897686</c:v>
                </c:pt>
                <c:pt idx="394">
                  <c:v>480.86924149569177</c:v>
                </c:pt>
                <c:pt idx="395">
                  <c:v>482.5518694273149</c:v>
                </c:pt>
                <c:pt idx="396">
                  <c:v>484.23209580131993</c:v>
                </c:pt>
                <c:pt idx="397">
                  <c:v>485.90992486061242</c:v>
                </c:pt>
                <c:pt idx="398">
                  <c:v>487.58536083359508</c:v>
                </c:pt>
                <c:pt idx="399">
                  <c:v>489.25840793423242</c:v>
                </c:pt>
                <c:pt idx="400">
                  <c:v>490.92907036211523</c:v>
                </c:pt>
                <c:pt idx="401">
                  <c:v>507.50486183810858</c:v>
                </c:pt>
                <c:pt idx="402">
                  <c:v>523.84487917915726</c:v>
                </c:pt>
                <c:pt idx="403">
                  <c:v>539.95318455937149</c:v>
                </c:pt>
                <c:pt idx="404">
                  <c:v>555.83370468294834</c:v>
                </c:pt>
                <c:pt idx="405">
                  <c:v>571.49023662627621</c:v>
                </c:pt>
                <c:pt idx="406">
                  <c:v>586.92645336295391</c:v>
                </c:pt>
                <c:pt idx="407">
                  <c:v>602.1459089922223</c:v>
                </c:pt>
                <c:pt idx="408">
                  <c:v>617.15204368977015</c:v>
                </c:pt>
                <c:pt idx="409">
                  <c:v>631.94818839846982</c:v>
                </c:pt>
                <c:pt idx="410">
                  <c:v>646.53756927531094</c:v>
                </c:pt>
                <c:pt idx="411">
                  <c:v>660.92331190961886</c:v>
                </c:pt>
                <c:pt idx="412">
                  <c:v>675.10844532656222</c:v>
                </c:pt>
                <c:pt idx="413">
                  <c:v>689.09590578895836</c:v>
                </c:pt>
                <c:pt idx="414">
                  <c:v>702.88854040946978</c:v>
                </c:pt>
                <c:pt idx="415">
                  <c:v>716.48911058444423</c:v>
                </c:pt>
                <c:pt idx="416">
                  <c:v>729.90029525987541</c:v>
                </c:pt>
                <c:pt idx="417">
                  <c:v>743.12469403924467</c:v>
                </c:pt>
                <c:pt idx="418">
                  <c:v>756.16483014234814</c:v>
                </c:pt>
                <c:pt idx="419">
                  <c:v>769.02315322360141</c:v>
                </c:pt>
                <c:pt idx="420">
                  <c:v>781.70204205775372</c:v>
                </c:pt>
                <c:pt idx="421">
                  <c:v>794.20380710042195</c:v>
                </c:pt>
                <c:pt idx="422">
                  <c:v>806.53069293037413</c:v>
                </c:pt>
                <c:pt idx="423">
                  <c:v>818.6848805800455</c:v>
                </c:pt>
                <c:pt idx="424">
                  <c:v>830.66848976035703</c:v>
                </c:pt>
                <c:pt idx="425">
                  <c:v>842.48358098552262</c:v>
                </c:pt>
                <c:pt idx="426">
                  <c:v>854.13215760317576</c:v>
                </c:pt>
                <c:pt idx="427">
                  <c:v>865.61616773481512</c:v>
                </c:pt>
                <c:pt idx="428">
                  <c:v>876.9375061312619</c:v>
                </c:pt>
                <c:pt idx="429">
                  <c:v>888.09801594753537</c:v>
                </c:pt>
                <c:pt idx="430">
                  <c:v>899.09949044128678</c:v>
                </c:pt>
                <c:pt idx="431">
                  <c:v>909.94367459868465</c:v>
                </c:pt>
                <c:pt idx="432">
                  <c:v>920.63226669141363</c:v>
                </c:pt>
                <c:pt idx="433">
                  <c:v>931.16691976823222</c:v>
                </c:pt>
                <c:pt idx="434">
                  <c:v>941.54924308433544</c:v>
                </c:pt>
                <c:pt idx="435">
                  <c:v>951.7808034715797</c:v>
                </c:pt>
                <c:pt idx="436">
                  <c:v>961.86312665245316</c:v>
                </c:pt>
                <c:pt idx="437">
                  <c:v>971.79769850050855</c:v>
                </c:pt>
                <c:pt idx="438">
                  <c:v>981.58596624982545</c:v>
                </c:pt>
                <c:pt idx="439">
                  <c:v>991.22933965592267</c:v>
                </c:pt>
                <c:pt idx="440">
                  <c:v>1000.7291921104087</c:v>
                </c:pt>
                <c:pt idx="441">
                  <c:v>1010.0868617115322</c:v>
                </c:pt>
                <c:pt idx="442">
                  <c:v>1019.3036522926759</c:v>
                </c:pt>
                <c:pt idx="443">
                  <c:v>1028.3808344107281</c:v>
                </c:pt>
                <c:pt idx="444">
                  <c:v>1037.3196462961603</c:v>
                </c:pt>
                <c:pt idx="445">
                  <c:v>1046.1212947665438</c:v>
                </c:pt>
                <c:pt idx="446">
                  <c:v>1054.7869561051471</c:v>
                </c:pt>
                <c:pt idx="447">
                  <c:v>1063.3177769061663</c:v>
                </c:pt>
                <c:pt idx="448">
                  <c:v>1071.7148748880666</c:v>
                </c:pt>
                <c:pt idx="449">
                  <c:v>1079.9793396764298</c:v>
                </c:pt>
                <c:pt idx="450">
                  <c:v>1088.1122335576376</c:v>
                </c:pt>
                <c:pt idx="451">
                  <c:v>1096.1145922046478</c:v>
                </c:pt>
                <c:pt idx="452">
                  <c:v>1103.9874253760636</c:v>
                </c:pt>
                <c:pt idx="453">
                  <c:v>1111.731717589631</c:v>
                </c:pt>
                <c:pt idx="454">
                  <c:v>1119.3484287712452</c:v>
                </c:pt>
                <c:pt idx="455">
                  <c:v>1126.8384948804965</c:v>
                </c:pt>
                <c:pt idx="456">
                  <c:v>1134.2028285137335</c:v>
                </c:pt>
                <c:pt idx="457">
                  <c:v>1141.4423194855754</c:v>
                </c:pt>
                <c:pt idx="458">
                  <c:v>1148.5578353897624</c:v>
                </c:pt>
                <c:pt idx="459">
                  <c:v>1155.55022214019</c:v>
                </c:pt>
                <c:pt idx="460">
                  <c:v>1162.420304492935</c:v>
                </c:pt>
                <c:pt idx="461">
                  <c:v>1169.1688865500439</c:v>
                </c:pt>
                <c:pt idx="462">
                  <c:v>1175.79675224582</c:v>
                </c:pt>
                <c:pt idx="463">
                  <c:v>1182.3046658163121</c:v>
                </c:pt>
                <c:pt idx="464">
                  <c:v>1188.6933722526778</c:v>
                </c:pt>
                <c:pt idx="465">
                  <c:v>1194.9635977390658</c:v>
                </c:pt>
                <c:pt idx="466">
                  <c:v>1201.1160500756343</c:v>
                </c:pt>
                <c:pt idx="467">
                  <c:v>1207.1514190872977</c:v>
                </c:pt>
                <c:pt idx="468">
                  <c:v>1213.0703770187672</c:v>
                </c:pt>
                <c:pt idx="469">
                  <c:v>1218.8735789164375</c:v>
                </c:pt>
                <c:pt idx="470">
                  <c:v>1224.561662997638</c:v>
                </c:pt>
                <c:pt idx="471">
                  <c:v>1230.1352510077602</c:v>
                </c:pt>
                <c:pt idx="472">
                  <c:v>1235.5949485657504</c:v>
                </c:pt>
                <c:pt idx="473">
                  <c:v>1240.9413454984372</c:v>
                </c:pt>
                <c:pt idx="474">
                  <c:v>1246.1750161641567</c:v>
                </c:pt>
                <c:pt idx="475">
                  <c:v>1251.2965197661185</c:v>
                </c:pt>
                <c:pt idx="476">
                  <c:v>1256.3064006559462</c:v>
                </c:pt>
                <c:pt idx="477">
                  <c:v>1261.2051886278152</c:v>
                </c:pt>
                <c:pt idx="478">
                  <c:v>1265.9933992036051</c:v>
                </c:pt>
                <c:pt idx="479">
                  <c:v>1270.6715339094696</c:v>
                </c:pt>
                <c:pt idx="480">
                  <c:v>1275.2400805442287</c:v>
                </c:pt>
                <c:pt idx="481">
                  <c:v>1279.6995134399774</c:v>
                </c:pt>
                <c:pt idx="482">
                  <c:v>1284.0502937153087</c:v>
                </c:pt>
                <c:pt idx="483">
                  <c:v>1288.2928695215421</c:v>
                </c:pt>
                <c:pt idx="484">
                  <c:v>1292.4276762823533</c:v>
                </c:pt>
                <c:pt idx="485">
                  <c:v>1296.4551369272044</c:v>
                </c:pt>
                <c:pt idx="486">
                  <c:v>1300.3756621189755</c:v>
                </c:pt>
                <c:pt idx="487">
                  <c:v>1304.1896504762105</c:v>
                </c:pt>
                <c:pt idx="488">
                  <c:v>1307.897488790396</c:v>
                </c:pt>
                <c:pt idx="489">
                  <c:v>1311.4995522387062</c:v>
                </c:pt>
                <c:pt idx="490">
                  <c:v>1314.9962045926618</c:v>
                </c:pt>
                <c:pt idx="491">
                  <c:v>1318.3877984231674</c:v>
                </c:pt>
                <c:pt idx="492">
                  <c:v>1321.6746753024145</c:v>
                </c:pt>
                <c:pt idx="493">
                  <c:v>1324.8571660031594</c:v>
                </c:pt>
                <c:pt idx="494">
                  <c:v>1327.9355906959163</c:v>
                </c:pt>
                <c:pt idx="495">
                  <c:v>1330.9102591446301</c:v>
                </c:pt>
                <c:pt idx="496">
                  <c:v>1333.7814709014378</c:v>
                </c:pt>
                <c:pt idx="497">
                  <c:v>1336.5495155011558</c:v>
                </c:pt>
                <c:pt idx="498">
                  <c:v>1339.2146726561791</c:v>
                </c:pt>
                <c:pt idx="499">
                  <c:v>1341.7772124525213</c:v>
                </c:pt>
                <c:pt idx="500">
                  <c:v>1344.2373955477738</c:v>
                </c:pt>
                <c:pt idx="501">
                  <c:v>1346.5954733718111</c:v>
                </c:pt>
                <c:pt idx="502">
                  <c:v>1348.8516883311272</c:v>
                </c:pt>
                <c:pt idx="503">
                  <c:v>1351.0062740177382</c:v>
                </c:pt>
                <c:pt idx="504">
                  <c:v>1353.0594554236416</c:v>
                </c:pt>
                <c:pt idx="505">
                  <c:v>1355.011449161876</c:v>
                </c:pt>
                <c:pt idx="506">
                  <c:v>1356.8624636952698</c:v>
                </c:pt>
                <c:pt idx="507">
                  <c:v>1358.6126995740071</c:v>
                </c:pt>
                <c:pt idx="508">
                  <c:v>1360.2623496831761</c:v>
                </c:pt>
                <c:pt idx="509">
                  <c:v>1361.8115995014664</c:v>
                </c:pt>
                <c:pt idx="510">
                  <c:v>1363.2606273721938</c:v>
                </c:pt>
                <c:pt idx="511">
                  <c:v>1364.6096047877925</c:v>
                </c:pt>
                <c:pt idx="512">
                  <c:v>1365.8586966888611</c:v>
                </c:pt>
                <c:pt idx="513">
                  <c:v>1367.0080617787612</c:v>
                </c:pt>
                <c:pt idx="514">
                  <c:v>1368.0578528546307</c:v>
                </c:pt>
                <c:pt idx="515">
                  <c:v>1369.0082171555043</c:v>
                </c:pt>
                <c:pt idx="516">
                  <c:v>1369.8592967280126</c:v>
                </c:pt>
                <c:pt idx="517">
                  <c:v>1370.6112288098584</c:v>
                </c:pt>
                <c:pt idx="518">
                  <c:v>1371.26414623096</c:v>
                </c:pt>
                <c:pt idx="519">
                  <c:v>1371.818177831788</c:v>
                </c:pt>
                <c:pt idx="520">
                  <c:v>1372.2734488980361</c:v>
                </c:pt>
                <c:pt idx="521">
                  <c:v>1372.6300816103483</c:v>
                </c:pt>
                <c:pt idx="522">
                  <c:v>1372.888195507408</c:v>
                </c:pt>
                <c:pt idx="523">
                  <c:v>1373.0479079602799</c:v>
                </c:pt>
                <c:pt idx="524">
                  <c:v>1373.1093346555149</c:v>
                </c:pt>
                <c:pt idx="525">
                  <c:v>1373.0725900841969</c:v>
                </c:pt>
                <c:pt idx="526">
                  <c:v>1372.9377880338441</c:v>
                </c:pt>
                <c:pt idx="527">
                  <c:v>1372.7050420798976</c:v>
                </c:pt>
                <c:pt idx="528">
                  <c:v>1372.3744660734446</c:v>
                </c:pt>
                <c:pt idx="529">
                  <c:v>1371.946174621836</c:v>
                </c:pt>
                <c:pt idx="530">
                  <c:v>1371.4202835589724</c:v>
                </c:pt>
                <c:pt idx="531">
                  <c:v>1370.7969104022388</c:v>
                </c:pt>
                <c:pt idx="532">
                  <c:v>1370.0761747933545</c:v>
                </c:pt>
                <c:pt idx="533">
                  <c:v>1369.2581989207529</c:v>
                </c:pt>
                <c:pt idx="534">
                  <c:v>1368.3431079215018</c:v>
                </c:pt>
                <c:pt idx="535">
                  <c:v>1367.3310302611926</c:v>
                </c:pt>
                <c:pt idx="536">
                  <c:v>1366.2220980906491</c:v>
                </c:pt>
                <c:pt idx="537">
                  <c:v>1365.016447578719</c:v>
                </c:pt>
                <c:pt idx="538">
                  <c:v>1363.714219220793</c:v>
                </c:pt>
                <c:pt idx="539">
                  <c:v>1362.3155581230474</c:v>
                </c:pt>
                <c:pt idx="540">
                  <c:v>1360.8206142627012</c:v>
                </c:pt>
                <c:pt idx="541">
                  <c:v>1359.2295427248403</c:v>
                </c:pt>
                <c:pt idx="542">
                  <c:v>1357.5425039165602</c:v>
                </c:pt>
                <c:pt idx="543">
                  <c:v>1355.7596637593417</c:v>
                </c:pt>
                <c:pt idx="544">
                  <c:v>1353.8811938606818</c:v>
                </c:pt>
                <c:pt idx="545">
                  <c:v>1351.9072716660855</c:v>
                </c:pt>
                <c:pt idx="546">
                  <c:v>1349.8380805925585</c:v>
                </c:pt>
                <c:pt idx="547">
                  <c:v>1347.6738101447595</c:v>
                </c:pt>
                <c:pt idx="548">
                  <c:v>1345.4146560149584</c:v>
                </c:pt>
                <c:pt idx="549">
                  <c:v>1343.0608201679217</c:v>
                </c:pt>
                <c:pt idx="550">
                  <c:v>1340.6125109118054</c:v>
                </c:pt>
                <c:pt idx="551">
                  <c:v>1338.0699429560834</c:v>
                </c:pt>
                <c:pt idx="552">
                  <c:v>1335.4333374574881</c:v>
                </c:pt>
                <c:pt idx="553">
                  <c:v>1332.7029220548748</c:v>
                </c:pt>
                <c:pt idx="554">
                  <c:v>1329.878930893864</c:v>
                </c:pt>
                <c:pt idx="555">
                  <c:v>1326.9616046420508</c:v>
                </c:pt>
                <c:pt idx="556">
                  <c:v>1323.9511904955139</c:v>
                </c:pt>
                <c:pt idx="557">
                  <c:v>1320.8479421772972</c:v>
                </c:pt>
                <c:pt idx="558">
                  <c:v>1317.6521199284846</c:v>
                </c:pt>
                <c:pt idx="559">
                  <c:v>1314.3639904924314</c:v>
                </c:pt>
                <c:pt idx="560">
                  <c:v>1310.9838270926768</c:v>
                </c:pt>
                <c:pt idx="561">
                  <c:v>1307.5119094050085</c:v>
                </c:pt>
                <c:pt idx="562">
                  <c:v>1303.948523524115</c:v>
                </c:pt>
                <c:pt idx="563">
                  <c:v>1300.2939619252243</c:v>
                </c:pt>
                <c:pt idx="564">
                  <c:v>1296.5485234210878</c:v>
                </c:pt>
                <c:pt idx="565">
                  <c:v>1292.7125131146452</c:v>
                </c:pt>
                <c:pt idx="566">
                  <c:v>1288.7862423476711</c:v>
                </c:pt>
                <c:pt idx="567">
                  <c:v>1284.7700286456825</c:v>
                </c:pt>
                <c:pt idx="568">
                  <c:v>1280.664195659363</c:v>
                </c:pt>
                <c:pt idx="569">
                  <c:v>1276.4690731027372</c:v>
                </c:pt>
                <c:pt idx="570">
                  <c:v>1272.1849966883112</c:v>
                </c:pt>
                <c:pt idx="571">
                  <c:v>1267.8123080593812</c:v>
                </c:pt>
                <c:pt idx="572">
                  <c:v>1263.3513547196883</c:v>
                </c:pt>
                <c:pt idx="573">
                  <c:v>1258.8024899605982</c:v>
                </c:pt>
                <c:pt idx="574">
                  <c:v>1254.1660727859564</c:v>
                </c:pt>
                <c:pt idx="575">
                  <c:v>1249.4424678347721</c:v>
                </c:pt>
                <c:pt idx="576">
                  <c:v>1244.6320453018657</c:v>
                </c:pt>
                <c:pt idx="577">
                  <c:v>1239.7351808566102</c:v>
                </c:pt>
                <c:pt idx="578">
                  <c:v>1234.7522555598871</c:v>
                </c:pt>
                <c:pt idx="579">
                  <c:v>1229.6836557793692</c:v>
                </c:pt>
                <c:pt idx="580">
                  <c:v>1224.5297731032415</c:v>
                </c:pt>
                <c:pt idx="581">
                  <c:v>1219.2910042524577</c:v>
                </c:pt>
                <c:pt idx="582">
                  <c:v>1213.9677509916312</c:v>
                </c:pt>
                <c:pt idx="583">
                  <c:v>1208.5604200386517</c:v>
                </c:pt>
                <c:pt idx="584">
                  <c:v>1203.0694229731148</c:v>
                </c:pt>
                <c:pt idx="585">
                  <c:v>1197.4951761436473</c:v>
                </c:pt>
                <c:pt idx="586">
                  <c:v>1191.8381005742096</c:v>
                </c:pt>
                <c:pt idx="587">
                  <c:v>1186.0986218694502</c:v>
                </c:pt>
                <c:pt idx="588">
                  <c:v>1180.277170119188</c:v>
                </c:pt>
                <c:pt idx="589">
                  <c:v>1174.3741798020908</c:v>
                </c:pt>
                <c:pt idx="590">
                  <c:v>1168.3900896886209</c:v>
                </c:pt>
                <c:pt idx="591">
                  <c:v>1162.3253427433131</c:v>
                </c:pt>
                <c:pt idx="592">
                  <c:v>1156.1803860264476</c:v>
                </c:pt>
                <c:pt idx="593">
                  <c:v>1149.9556705951838</c:v>
                </c:pt>
                <c:pt idx="594">
                  <c:v>1143.6516514042094</c:v>
                </c:pt>
                <c:pt idx="595">
                  <c:v>1137.2687872059689</c:v>
                </c:pt>
                <c:pt idx="596">
                  <c:v>1130.8075404505255</c:v>
                </c:pt>
                <c:pt idx="597">
                  <c:v>1124.2683771851114</c:v>
                </c:pt>
                <c:pt idx="598">
                  <c:v>1117.6517669534212</c:v>
                </c:pt>
                <c:pt idx="599">
                  <c:v>1110.9581826947012</c:v>
                </c:pt>
                <c:pt idx="600">
                  <c:v>1104.188100642685</c:v>
                </c:pt>
                <c:pt idx="601">
                  <c:v>1097.3420002244245</c:v>
                </c:pt>
                <c:pt idx="602">
                  <c:v>1090.4203639590676</c:v>
                </c:pt>
                <c:pt idx="603">
                  <c:v>1083.4236773566265</c:v>
                </c:pt>
                <c:pt idx="604">
                  <c:v>1076.3524288167871</c:v>
                </c:pt>
                <c:pt idx="605">
                  <c:v>1069.2071095277993</c:v>
                </c:pt>
                <c:pt idx="606">
                  <c:v>1061.988213365498</c:v>
                </c:pt>
                <c:pt idx="607">
                  <c:v>1054.6962367924948</c:v>
                </c:pt>
                <c:pt idx="608">
                  <c:v>1047.3316787575818</c:v>
                </c:pt>
                <c:pt idx="609">
                  <c:v>1039.895040595391</c:v>
                </c:pt>
                <c:pt idx="610">
                  <c:v>1032.3868259263479</c:v>
                </c:pt>
                <c:pt idx="611">
                  <c:v>1024.807540556958</c:v>
                </c:pt>
                <c:pt idx="612">
                  <c:v>1017.1576923804653</c:v>
                </c:pt>
                <c:pt idx="613">
                  <c:v>1009.4377912779198</c:v>
                </c:pt>
                <c:pt idx="614">
                  <c:v>1001.6483490196896</c:v>
                </c:pt>
                <c:pt idx="615">
                  <c:v>993.78987916745302</c:v>
                </c:pt>
                <c:pt idx="616">
                  <c:v>985.862896976706</c:v>
                </c:pt>
                <c:pt idx="617">
                  <c:v>977.86791929981678</c:v>
                </c:pt>
                <c:pt idx="618">
                  <c:v>969.80546448966152</c:v>
                </c:pt>
                <c:pt idx="619">
                  <c:v>961.67605230387187</c:v>
                </c:pt>
                <c:pt idx="620">
                  <c:v>953.48020380972514</c:v>
                </c:pt>
                <c:pt idx="621">
                  <c:v>945.21844128970724</c:v>
                </c:pt>
                <c:pt idx="622">
                  <c:v>936.89128814777678</c:v>
                </c:pt>
                <c:pt idx="623">
                  <c:v>928.49926881635884</c:v>
                </c:pt>
                <c:pt idx="624">
                  <c:v>920.04290866409497</c:v>
                </c:pt>
                <c:pt idx="625">
                  <c:v>911.52273390437597</c:v>
                </c:pt>
                <c:pt idx="626">
                  <c:v>902.93927150468278</c:v>
                </c:pt>
                <c:pt idx="627">
                  <c:v>894.29304909675966</c:v>
                </c:pt>
                <c:pt idx="628">
                  <c:v>885.58459488764345</c:v>
                </c:pt>
                <c:pt idx="629">
                  <c:v>876.8144375715716</c:v>
                </c:pt>
                <c:pt idx="630">
                  <c:v>867.983106242791</c:v>
                </c:pt>
                <c:pt idx="631">
                  <c:v>859.09113030928791</c:v>
                </c:pt>
                <c:pt idx="632">
                  <c:v>850.13903940746013</c:v>
                </c:pt>
                <c:pt idx="633">
                  <c:v>841.12736331774954</c:v>
                </c:pt>
                <c:pt idx="634">
                  <c:v>832.05663188125482</c:v>
                </c:pt>
                <c:pt idx="635">
                  <c:v>822.92737491734067</c:v>
                </c:pt>
                <c:pt idx="636">
                  <c:v>813.74012214226127</c:v>
                </c:pt>
                <c:pt idx="637">
                  <c:v>804.49540308881308</c:v>
                </c:pt>
                <c:pt idx="638">
                  <c:v>795.19374702703306</c:v>
                </c:pt>
                <c:pt idx="639">
                  <c:v>785.83568288595575</c:v>
                </c:pt>
                <c:pt idx="640">
                  <c:v>776.42173917644368</c:v>
                </c:pt>
                <c:pt idx="641">
                  <c:v>766.952443915103</c:v>
                </c:pt>
                <c:pt idx="642">
                  <c:v>757.4283245492968</c:v>
                </c:pt>
                <c:pt idx="643">
                  <c:v>747.84990788326706</c:v>
                </c:pt>
                <c:pt idx="644">
                  <c:v>738.21772000537624</c:v>
                </c:pt>
                <c:pt idx="645">
                  <c:v>728.53228621647702</c:v>
                </c:pt>
                <c:pt idx="646">
                  <c:v>718.79413095942061</c:v>
                </c:pt>
                <c:pt idx="647">
                  <c:v>709.00377774971059</c:v>
                </c:pt>
                <c:pt idx="648">
                  <c:v>699.16174910731024</c:v>
                </c:pt>
                <c:pt idx="649">
                  <c:v>689.26856648961063</c:v>
                </c:pt>
                <c:pt idx="650">
                  <c:v>679.32475022556434</c:v>
                </c:pt>
                <c:pt idx="651">
                  <c:v>669.33081945099138</c:v>
                </c:pt>
                <c:pt idx="652">
                  <c:v>659.28729204506124</c:v>
                </c:pt>
                <c:pt idx="653">
                  <c:v>649.19468456795539</c:v>
                </c:pt>
                <c:pt idx="654">
                  <c:v>639.05351219971351</c:v>
                </c:pt>
                <c:pt idx="655">
                  <c:v>628.86428868026644</c:v>
                </c:pt>
                <c:pt idx="656">
                  <c:v>618.6275262506573</c:v>
                </c:pt>
                <c:pt idx="657">
                  <c:v>608.34373559545293</c:v>
                </c:pt>
                <c:pt idx="658">
                  <c:v>598.01342578634603</c:v>
                </c:pt>
                <c:pt idx="659">
                  <c:v>587.63710422694885</c:v>
                </c:pt>
                <c:pt idx="660">
                  <c:v>577.21527659877711</c:v>
                </c:pt>
                <c:pt idx="661">
                  <c:v>566.74844680842432</c:v>
                </c:pt>
                <c:pt idx="662">
                  <c:v>556.23711693592452</c:v>
                </c:pt>
                <c:pt idx="663">
                  <c:v>545.6817871843017</c:v>
                </c:pt>
                <c:pt idx="664">
                  <c:v>535.08295583030281</c:v>
                </c:pt>
                <c:pt idx="665">
                  <c:v>524.44111917631221</c:v>
                </c:pt>
                <c:pt idx="666">
                  <c:v>513.75677150344313</c:v>
                </c:pt>
                <c:pt idx="667">
                  <c:v>503.03040502580313</c:v>
                </c:pt>
                <c:pt idx="668">
                  <c:v>492.26250984592798</c:v>
                </c:pt>
                <c:pt idx="669">
                  <c:v>481.45357391137969</c:v>
                </c:pt>
                <c:pt idx="670">
                  <c:v>470.60408297250325</c:v>
                </c:pt>
                <c:pt idx="671">
                  <c:v>459.71452054133596</c:v>
                </c:pt>
                <c:pt idx="672">
                  <c:v>448.78536785166324</c:v>
                </c:pt>
                <c:pt idx="673">
                  <c:v>437.81710382021413</c:v>
                </c:pt>
                <c:pt idx="674">
                  <c:v>426.81020500898978</c:v>
                </c:pt>
                <c:pt idx="675">
                  <c:v>415.7651455887169</c:v>
                </c:pt>
                <c:pt idx="676">
                  <c:v>404.68239730341884</c:v>
                </c:pt>
                <c:pt idx="677">
                  <c:v>393.56242943609601</c:v>
                </c:pt>
                <c:pt idx="678">
                  <c:v>382.40570877550687</c:v>
                </c:pt>
                <c:pt idx="679">
                  <c:v>371.21269958404099</c:v>
                </c:pt>
                <c:pt idx="680">
                  <c:v>359.98386356667481</c:v>
                </c:pt>
                <c:pt idx="681">
                  <c:v>348.71965984100086</c:v>
                </c:pt>
                <c:pt idx="682">
                  <c:v>337.42054490832027</c:v>
                </c:pt>
                <c:pt idx="683">
                  <c:v>326.08697262578909</c:v>
                </c:pt>
                <c:pt idx="684">
                  <c:v>314.7193941796076</c:v>
                </c:pt>
                <c:pt idx="685">
                  <c:v>303.31825805924251</c:v>
                </c:pt>
                <c:pt idx="686">
                  <c:v>291.88401003267103</c:v>
                </c:pt>
                <c:pt idx="687">
                  <c:v>280.41709312263566</c:v>
                </c:pt>
                <c:pt idx="688">
                  <c:v>268.91794758389898</c:v>
                </c:pt>
                <c:pt idx="689">
                  <c:v>257.38701088148628</c:v>
                </c:pt>
                <c:pt idx="690">
                  <c:v>245.82471766990511</c:v>
                </c:pt>
                <c:pt idx="691">
                  <c:v>234.23149977332957</c:v>
                </c:pt>
                <c:pt idx="692">
                  <c:v>222.6077861667373</c:v>
                </c:pt>
                <c:pt idx="693">
                  <c:v>210.9540029579872</c:v>
                </c:pt>
                <c:pt idx="694">
                  <c:v>199.27057337082567</c:v>
                </c:pt>
                <c:pt idx="695">
                  <c:v>187.55791772880872</c:v>
                </c:pt>
                <c:pt idx="696">
                  <c:v>175.8164534401275</c:v>
                </c:pt>
                <c:pt idx="697">
                  <c:v>164.04659498332472</c:v>
                </c:pt>
                <c:pt idx="698">
                  <c:v>152.24875389388893</c:v>
                </c:pt>
                <c:pt idx="699">
                  <c:v>140.423338751714</c:v>
                </c:pt>
                <c:pt idx="700">
                  <c:v>128.57075516941072</c:v>
                </c:pt>
                <c:pt idx="701">
                  <c:v>116.69140578145765</c:v>
                </c:pt>
                <c:pt idx="702">
                  <c:v>104.78569023417785</c:v>
                </c:pt>
                <c:pt idx="703">
                  <c:v>92.854005176528645</c:v>
                </c:pt>
                <c:pt idx="704">
                  <c:v>80.896744251690905</c:v>
                </c:pt>
                <c:pt idx="705">
                  <c:v>68.91429808944487</c:v>
                </c:pt>
                <c:pt idx="706">
                  <c:v>56.907054299319029</c:v>
                </c:pt>
                <c:pt idx="707">
                  <c:v>44.875397464498832</c:v>
                </c:pt>
                <c:pt idx="708">
                  <c:v>32.819709136481897</c:v>
                </c:pt>
                <c:pt idx="709">
                  <c:v>20.740367830466383</c:v>
                </c:pt>
                <c:pt idx="710">
                  <c:v>8.6377490214591433</c:v>
                </c:pt>
                <c:pt idx="711">
                  <c:v>-3.4877748589096171</c:v>
                </c:pt>
                <c:pt idx="712">
                  <c:v>-3.4999117537742355</c:v>
                </c:pt>
                <c:pt idx="713">
                  <c:v>-3.5120486709904264</c:v>
                </c:pt>
                <c:pt idx="714">
                  <c:v>-3.5241856105578258</c:v>
                </c:pt>
                <c:pt idx="715">
                  <c:v>-3.5363225724760694</c:v>
                </c:pt>
                <c:pt idx="716">
                  <c:v>-3.5484595567447932</c:v>
                </c:pt>
                <c:pt idx="717">
                  <c:v>-3.5605965633636329</c:v>
                </c:pt>
                <c:pt idx="718">
                  <c:v>-3.572733592332225</c:v>
                </c:pt>
                <c:pt idx="719">
                  <c:v>-3.5848706436502051</c:v>
                </c:pt>
                <c:pt idx="720">
                  <c:v>-3.5970077173172093</c:v>
                </c:pt>
                <c:pt idx="721">
                  <c:v>-3.6091448133328732</c:v>
                </c:pt>
                <c:pt idx="722">
                  <c:v>-3.6212819316968332</c:v>
                </c:pt>
                <c:pt idx="723">
                  <c:v>-3.6334190724087252</c:v>
                </c:pt>
                <c:pt idx="724">
                  <c:v>-3.645556235468185</c:v>
                </c:pt>
                <c:pt idx="725">
                  <c:v>-3.6576934208748484</c:v>
                </c:pt>
                <c:pt idx="726">
                  <c:v>-3.6698306286283513</c:v>
                </c:pt>
                <c:pt idx="727">
                  <c:v>-3.68196785872833</c:v>
                </c:pt>
                <c:pt idx="728">
                  <c:v>-3.6941051111744203</c:v>
                </c:pt>
                <c:pt idx="729">
                  <c:v>-3.7062423859662585</c:v>
                </c:pt>
                <c:pt idx="730">
                  <c:v>-3.7183796831034805</c:v>
                </c:pt>
                <c:pt idx="731">
                  <c:v>-3.7305170025857222</c:v>
                </c:pt>
                <c:pt idx="732">
                  <c:v>-3.7426543444126192</c:v>
                </c:pt>
                <c:pt idx="733">
                  <c:v>-3.7547917085838081</c:v>
                </c:pt>
                <c:pt idx="734">
                  <c:v>-3.7669290950989245</c:v>
                </c:pt>
                <c:pt idx="735">
                  <c:v>-3.7790665039576044</c:v>
                </c:pt>
                <c:pt idx="736">
                  <c:v>-3.791203935159484</c:v>
                </c:pt>
                <c:pt idx="737">
                  <c:v>-3.8033413887041991</c:v>
                </c:pt>
                <c:pt idx="738">
                  <c:v>-3.8154788645913857</c:v>
                </c:pt>
                <c:pt idx="739">
                  <c:v>-3.8276163628206801</c:v>
                </c:pt>
                <c:pt idx="740">
                  <c:v>-3.839753883391718</c:v>
                </c:pt>
                <c:pt idx="741">
                  <c:v>-3.8518914263041353</c:v>
                </c:pt>
                <c:pt idx="742">
                  <c:v>-3.8640289915575683</c:v>
                </c:pt>
                <c:pt idx="743">
                  <c:v>-3.8761665791516529</c:v>
                </c:pt>
                <c:pt idx="744">
                  <c:v>-3.8883041890860253</c:v>
                </c:pt>
                <c:pt idx="745">
                  <c:v>-3.9004418213603214</c:v>
                </c:pt>
                <c:pt idx="746">
                  <c:v>-3.912579475974177</c:v>
                </c:pt>
                <c:pt idx="747">
                  <c:v>-3.9247171529272284</c:v>
                </c:pt>
                <c:pt idx="748">
                  <c:v>-3.9368548522191116</c:v>
                </c:pt>
                <c:pt idx="749">
                  <c:v>-3.9489925738494627</c:v>
                </c:pt>
                <c:pt idx="750">
                  <c:v>-3.9611303178179176</c:v>
                </c:pt>
                <c:pt idx="751">
                  <c:v>-3.9732680841241126</c:v>
                </c:pt>
                <c:pt idx="752">
                  <c:v>-3.9854058727676831</c:v>
                </c:pt>
                <c:pt idx="753">
                  <c:v>-3.9975436837482659</c:v>
                </c:pt>
                <c:pt idx="754">
                  <c:v>-4.0096815170654967</c:v>
                </c:pt>
                <c:pt idx="755">
                  <c:v>-4.0218193727190119</c:v>
                </c:pt>
                <c:pt idx="756">
                  <c:v>-4.0339572507084469</c:v>
                </c:pt>
                <c:pt idx="757">
                  <c:v>-4.0460951510334384</c:v>
                </c:pt>
                <c:pt idx="758">
                  <c:v>-4.0582330736936223</c:v>
                </c:pt>
                <c:pt idx="759">
                  <c:v>-4.0703710186886344</c:v>
                </c:pt>
                <c:pt idx="760">
                  <c:v>-4.0825089860181105</c:v>
                </c:pt>
                <c:pt idx="761">
                  <c:v>-4.0946469756816875</c:v>
                </c:pt>
                <c:pt idx="762">
                  <c:v>-4.106784987679001</c:v>
                </c:pt>
                <c:pt idx="763">
                  <c:v>-4.1189230220096871</c:v>
                </c:pt>
                <c:pt idx="764">
                  <c:v>-4.1310610786733815</c:v>
                </c:pt>
                <c:pt idx="765">
                  <c:v>-4.1431991576697209</c:v>
                </c:pt>
                <c:pt idx="766">
                  <c:v>-4.1553372589983413</c:v>
                </c:pt>
                <c:pt idx="767">
                  <c:v>-4.1674753826588784</c:v>
                </c:pt>
                <c:pt idx="768">
                  <c:v>-4.179613528650969</c:v>
                </c:pt>
                <c:pt idx="769">
                  <c:v>-4.1917516969742481</c:v>
                </c:pt>
                <c:pt idx="770">
                  <c:v>-4.2038898876283533</c:v>
                </c:pt>
                <c:pt idx="771">
                  <c:v>-4.2160281006129194</c:v>
                </c:pt>
                <c:pt idx="772">
                  <c:v>-4.2281663359275834</c:v>
                </c:pt>
                <c:pt idx="773">
                  <c:v>-4.240304593571981</c:v>
                </c:pt>
                <c:pt idx="774">
                  <c:v>-4.252442873545748</c:v>
                </c:pt>
                <c:pt idx="775">
                  <c:v>-4.2645811758485204</c:v>
                </c:pt>
                <c:pt idx="776">
                  <c:v>-4.2767195004799348</c:v>
                </c:pt>
                <c:pt idx="777">
                  <c:v>-4.2888578474396271</c:v>
                </c:pt>
                <c:pt idx="778">
                  <c:v>-4.300996216727234</c:v>
                </c:pt>
                <c:pt idx="779">
                  <c:v>-4.3131346083423914</c:v>
                </c:pt>
                <c:pt idx="780">
                  <c:v>-4.3252730222847351</c:v>
                </c:pt>
                <c:pt idx="781">
                  <c:v>-4.337411458553901</c:v>
                </c:pt>
                <c:pt idx="782">
                  <c:v>-4.3495499171495258</c:v>
                </c:pt>
                <c:pt idx="783">
                  <c:v>-4.3616883980712453</c:v>
                </c:pt>
                <c:pt idx="784">
                  <c:v>-4.3738269013186954</c:v>
                </c:pt>
                <c:pt idx="785">
                  <c:v>-4.3859654268915129</c:v>
                </c:pt>
                <c:pt idx="786">
                  <c:v>-4.3981039747893336</c:v>
                </c:pt>
                <c:pt idx="787">
                  <c:v>-4.4102425450117941</c:v>
                </c:pt>
                <c:pt idx="788">
                  <c:v>-4.4223811375585296</c:v>
                </c:pt>
                <c:pt idx="789">
                  <c:v>-4.4345197524291775</c:v>
                </c:pt>
                <c:pt idx="790">
                  <c:v>-4.4466583896233729</c:v>
                </c:pt>
                <c:pt idx="791">
                  <c:v>-4.4587970491407525</c:v>
                </c:pt>
                <c:pt idx="792">
                  <c:v>-4.4709357309809521</c:v>
                </c:pt>
                <c:pt idx="793">
                  <c:v>-4.4830744351436085</c:v>
                </c:pt>
                <c:pt idx="794">
                  <c:v>-4.4952131616283575</c:v>
                </c:pt>
                <c:pt idx="795">
                  <c:v>-4.507351910434835</c:v>
                </c:pt>
                <c:pt idx="796">
                  <c:v>-4.5194906815626776</c:v>
                </c:pt>
                <c:pt idx="797">
                  <c:v>-4.5316294750115214</c:v>
                </c:pt>
                <c:pt idx="798">
                  <c:v>-4.543768290781002</c:v>
                </c:pt>
                <c:pt idx="799">
                  <c:v>-4.5559071288707562</c:v>
                </c:pt>
                <c:pt idx="800">
                  <c:v>-4.5680459892804199</c:v>
                </c:pt>
                <c:pt idx="801">
                  <c:v>-4.5801848720096299</c:v>
                </c:pt>
                <c:pt idx="802">
                  <c:v>-4.5923237770580219</c:v>
                </c:pt>
                <c:pt idx="803">
                  <c:v>-4.6044627044252318</c:v>
                </c:pt>
                <c:pt idx="804">
                  <c:v>-4.6166016541108963</c:v>
                </c:pt>
                <c:pt idx="805">
                  <c:v>-4.6287406261146513</c:v>
                </c:pt>
                <c:pt idx="806">
                  <c:v>-4.6408796204361327</c:v>
                </c:pt>
                <c:pt idx="807">
                  <c:v>-4.6530186370749771</c:v>
                </c:pt>
                <c:pt idx="808">
                  <c:v>-4.6651576760308213</c:v>
                </c:pt>
                <c:pt idx="809">
                  <c:v>-4.6772967373033012</c:v>
                </c:pt>
                <c:pt idx="810">
                  <c:v>-4.6894358208920526</c:v>
                </c:pt>
                <c:pt idx="811">
                  <c:v>-4.7015749267967122</c:v>
                </c:pt>
                <c:pt idx="812">
                  <c:v>-4.7137140550169159</c:v>
                </c:pt>
                <c:pt idx="813">
                  <c:v>-4.7258532055522995</c:v>
                </c:pt>
                <c:pt idx="814">
                  <c:v>-4.7379923784024998</c:v>
                </c:pt>
                <c:pt idx="815">
                  <c:v>-4.7501315735671525</c:v>
                </c:pt>
                <c:pt idx="816">
                  <c:v>-4.7622707910458946</c:v>
                </c:pt>
                <c:pt idx="817">
                  <c:v>-4.7744100308383626</c:v>
                </c:pt>
                <c:pt idx="818">
                  <c:v>-4.7865492929441915</c:v>
                </c:pt>
                <c:pt idx="819">
                  <c:v>-4.7986885773630181</c:v>
                </c:pt>
                <c:pt idx="820">
                  <c:v>-4.8108278840944791</c:v>
                </c:pt>
                <c:pt idx="821">
                  <c:v>-4.8229672131382104</c:v>
                </c:pt>
                <c:pt idx="822">
                  <c:v>-4.8351065644938487</c:v>
                </c:pt>
                <c:pt idx="823">
                  <c:v>-4.8472459381610298</c:v>
                </c:pt>
                <c:pt idx="824">
                  <c:v>-4.8593853341393896</c:v>
                </c:pt>
                <c:pt idx="825">
                  <c:v>-4.8715247524285648</c:v>
                </c:pt>
                <c:pt idx="826">
                  <c:v>-4.8836641930281921</c:v>
                </c:pt>
                <c:pt idx="827">
                  <c:v>-4.8958036559379066</c:v>
                </c:pt>
                <c:pt idx="828">
                  <c:v>-4.9079431411573458</c:v>
                </c:pt>
                <c:pt idx="829">
                  <c:v>-4.9200826486861455</c:v>
                </c:pt>
                <c:pt idx="830">
                  <c:v>-4.9322221785239417</c:v>
                </c:pt>
                <c:pt idx="831">
                  <c:v>-4.9443617306703711</c:v>
                </c:pt>
                <c:pt idx="832">
                  <c:v>-4.9565013051250695</c:v>
                </c:pt>
                <c:pt idx="833">
                  <c:v>-4.9686409018876736</c:v>
                </c:pt>
                <c:pt idx="834">
                  <c:v>-4.9807805209578193</c:v>
                </c:pt>
                <c:pt idx="835">
                  <c:v>-4.9929201623351434</c:v>
                </c:pt>
                <c:pt idx="836">
                  <c:v>-5.0050598260192825</c:v>
                </c:pt>
                <c:pt idx="837">
                  <c:v>-5.0171995120098716</c:v>
                </c:pt>
                <c:pt idx="838">
                  <c:v>-5.0293392203065483</c:v>
                </c:pt>
                <c:pt idx="839">
                  <c:v>-5.0414789509089486</c:v>
                </c:pt>
                <c:pt idx="840">
                  <c:v>-5.0536187038167082</c:v>
                </c:pt>
                <c:pt idx="841">
                  <c:v>-5.0657584790294639</c:v>
                </c:pt>
                <c:pt idx="842">
                  <c:v>-5.0778982765468523</c:v>
                </c:pt>
                <c:pt idx="843">
                  <c:v>-5.0900380963685095</c:v>
                </c:pt>
                <c:pt idx="844">
                  <c:v>-5.1021779384940711</c:v>
                </c:pt>
                <c:pt idx="845">
                  <c:v>-5.114317802923174</c:v>
                </c:pt>
                <c:pt idx="846">
                  <c:v>-5.1264576896554548</c:v>
                </c:pt>
                <c:pt idx="847">
                  <c:v>-5.1385975986905494</c:v>
                </c:pt>
                <c:pt idx="848">
                  <c:v>-5.1507375300280946</c:v>
                </c:pt>
                <c:pt idx="849">
                  <c:v>-5.1628774836677263</c:v>
                </c:pt>
                <c:pt idx="850">
                  <c:v>-5.175017459609081</c:v>
                </c:pt>
                <c:pt idx="851">
                  <c:v>-5.1871574578517947</c:v>
                </c:pt>
                <c:pt idx="852">
                  <c:v>-5.1992974783955042</c:v>
                </c:pt>
                <c:pt idx="853">
                  <c:v>-5.211437521239846</c:v>
                </c:pt>
                <c:pt idx="854">
                  <c:v>-5.2235775863844562</c:v>
                </c:pt>
                <c:pt idx="855">
                  <c:v>-5.2357176738289706</c:v>
                </c:pt>
                <c:pt idx="856">
                  <c:v>-5.2478577835730267</c:v>
                </c:pt>
                <c:pt idx="857">
                  <c:v>-5.2599979156162595</c:v>
                </c:pt>
                <c:pt idx="858">
                  <c:v>-5.2721380699583067</c:v>
                </c:pt>
                <c:pt idx="859">
                  <c:v>-5.2842782465988041</c:v>
                </c:pt>
                <c:pt idx="860">
                  <c:v>-5.2964184455373875</c:v>
                </c:pt>
                <c:pt idx="861">
                  <c:v>-5.3085586667736937</c:v>
                </c:pt>
                <c:pt idx="862">
                  <c:v>-5.3206989103073594</c:v>
                </c:pt>
                <c:pt idx="863">
                  <c:v>-5.3328391761380214</c:v>
                </c:pt>
                <c:pt idx="864">
                  <c:v>-5.3449794642653146</c:v>
                </c:pt>
                <c:pt idx="865">
                  <c:v>-5.3571197746888766</c:v>
                </c:pt>
                <c:pt idx="866">
                  <c:v>-5.3692601074083433</c:v>
                </c:pt>
                <c:pt idx="867">
                  <c:v>-5.3814004624233513</c:v>
                </c:pt>
                <c:pt idx="868">
                  <c:v>-5.3935408397335367</c:v>
                </c:pt>
                <c:pt idx="869">
                  <c:v>-5.4056812393385361</c:v>
                </c:pt>
                <c:pt idx="870">
                  <c:v>-5.4178216612379861</c:v>
                </c:pt>
                <c:pt idx="871">
                  <c:v>-5.4299621054315228</c:v>
                </c:pt>
                <c:pt idx="872">
                  <c:v>-5.4421025719187828</c:v>
                </c:pt>
                <c:pt idx="873">
                  <c:v>-5.4542430606994028</c:v>
                </c:pt>
                <c:pt idx="874">
                  <c:v>-5.4663835717730187</c:v>
                </c:pt>
                <c:pt idx="875">
                  <c:v>-5.4785241051392672</c:v>
                </c:pt>
                <c:pt idx="876">
                  <c:v>-5.4906646607977843</c:v>
                </c:pt>
                <c:pt idx="877">
                  <c:v>-5.5028052387482065</c:v>
                </c:pt>
                <c:pt idx="878">
                  <c:v>-5.5149458389901707</c:v>
                </c:pt>
                <c:pt idx="879">
                  <c:v>-5.5270864615233135</c:v>
                </c:pt>
                <c:pt idx="880">
                  <c:v>-5.5392271063472709</c:v>
                </c:pt>
                <c:pt idx="881">
                  <c:v>-5.5513677734616786</c:v>
                </c:pt>
                <c:pt idx="882">
                  <c:v>-5.5635084628661744</c:v>
                </c:pt>
                <c:pt idx="883">
                  <c:v>-5.575649174560394</c:v>
                </c:pt>
                <c:pt idx="884">
                  <c:v>-5.5877899085439742</c:v>
                </c:pt>
                <c:pt idx="885">
                  <c:v>-5.5999306648165508</c:v>
                </c:pt>
                <c:pt idx="886">
                  <c:v>-5.6120714433777605</c:v>
                </c:pt>
                <c:pt idx="887">
                  <c:v>-5.6242122442272402</c:v>
                </c:pt>
                <c:pt idx="888">
                  <c:v>-5.6363530673646256</c:v>
                </c:pt>
                <c:pt idx="889">
                  <c:v>-5.6484939127895544</c:v>
                </c:pt>
                <c:pt idx="890">
                  <c:v>-5.6606347805016615</c:v>
                </c:pt>
                <c:pt idx="891">
                  <c:v>-5.6727756705005845</c:v>
                </c:pt>
                <c:pt idx="892">
                  <c:v>-5.6849165827859593</c:v>
                </c:pt>
                <c:pt idx="893">
                  <c:v>-5.6970575173574227</c:v>
                </c:pt>
                <c:pt idx="894">
                  <c:v>-5.7091984742146114</c:v>
                </c:pt>
                <c:pt idx="895">
                  <c:v>-5.7213394533571611</c:v>
                </c:pt>
                <c:pt idx="896">
                  <c:v>-5.7334804547847087</c:v>
                </c:pt>
                <c:pt idx="897">
                  <c:v>-5.7456214784968909</c:v>
                </c:pt>
                <c:pt idx="898">
                  <c:v>-5.7577625244933444</c:v>
                </c:pt>
                <c:pt idx="899">
                  <c:v>-5.769903592773705</c:v>
                </c:pt>
                <c:pt idx="900">
                  <c:v>-5.7820446833376096</c:v>
                </c:pt>
                <c:pt idx="901">
                  <c:v>-5.7941857961846939</c:v>
                </c:pt>
                <c:pt idx="902">
                  <c:v>-5.8063269313145955</c:v>
                </c:pt>
                <c:pt idx="903">
                  <c:v>-5.8184680887269504</c:v>
                </c:pt>
                <c:pt idx="904">
                  <c:v>-5.8306092684213953</c:v>
                </c:pt>
                <c:pt idx="905">
                  <c:v>-5.8427504703975659</c:v>
                </c:pt>
                <c:pt idx="906">
                  <c:v>-5.8548916946551</c:v>
                </c:pt>
                <c:pt idx="907">
                  <c:v>-5.8670329411936333</c:v>
                </c:pt>
                <c:pt idx="908">
                  <c:v>-5.8791742100128026</c:v>
                </c:pt>
                <c:pt idx="909">
                  <c:v>-5.8913155011122438</c:v>
                </c:pt>
                <c:pt idx="910">
                  <c:v>-5.9034568144915944</c:v>
                </c:pt>
                <c:pt idx="911">
                  <c:v>-5.9155981501504904</c:v>
                </c:pt>
                <c:pt idx="912">
                  <c:v>-5.9277395080885684</c:v>
                </c:pt>
                <c:pt idx="913">
                  <c:v>-5.9398808883054652</c:v>
                </c:pt>
                <c:pt idx="914">
                  <c:v>-5.9520222908008167</c:v>
                </c:pt>
                <c:pt idx="915">
                  <c:v>-5.9641637155742595</c:v>
                </c:pt>
                <c:pt idx="916">
                  <c:v>-5.9763051626254304</c:v>
                </c:pt>
                <c:pt idx="917">
                  <c:v>-5.9884466319539662</c:v>
                </c:pt>
                <c:pt idx="918">
                  <c:v>-6.0005881235595036</c:v>
                </c:pt>
                <c:pt idx="919">
                  <c:v>-6.0127296374416783</c:v>
                </c:pt>
                <c:pt idx="920">
                  <c:v>-6.0248711736001272</c:v>
                </c:pt>
                <c:pt idx="921">
                  <c:v>-6.0370127320344871</c:v>
                </c:pt>
                <c:pt idx="922">
                  <c:v>-6.0491543127443945</c:v>
                </c:pt>
                <c:pt idx="923">
                  <c:v>-6.0612959157294863</c:v>
                </c:pt>
                <c:pt idx="924">
                  <c:v>-6.0734375409893984</c:v>
                </c:pt>
                <c:pt idx="925">
                  <c:v>-6.0855791885237673</c:v>
                </c:pt>
                <c:pt idx="926">
                  <c:v>-6.09772085833223</c:v>
                </c:pt>
                <c:pt idx="927">
                  <c:v>-6.1098625504144231</c:v>
                </c:pt>
                <c:pt idx="928">
                  <c:v>-6.1220042647699833</c:v>
                </c:pt>
                <c:pt idx="929">
                  <c:v>-6.1341460013985465</c:v>
                </c:pt>
                <c:pt idx="930">
                  <c:v>-6.1462877602997494</c:v>
                </c:pt>
                <c:pt idx="931">
                  <c:v>-6.1584295414732297</c:v>
                </c:pt>
                <c:pt idx="932">
                  <c:v>-6.1705713449186232</c:v>
                </c:pt>
                <c:pt idx="933">
                  <c:v>-6.1827131706355658</c:v>
                </c:pt>
                <c:pt idx="934">
                  <c:v>-6.194855018623695</c:v>
                </c:pt>
                <c:pt idx="935">
                  <c:v>-6.2069968888826477</c:v>
                </c:pt>
                <c:pt idx="936">
                  <c:v>-6.2191387814120596</c:v>
                </c:pt>
                <c:pt idx="937">
                  <c:v>-6.2312806962115674</c:v>
                </c:pt>
                <c:pt idx="938">
                  <c:v>-6.243422633280808</c:v>
                </c:pt>
                <c:pt idx="939">
                  <c:v>-6.2555645926194181</c:v>
                </c:pt>
                <c:pt idx="940">
                  <c:v>-6.2677065742270344</c:v>
                </c:pt>
                <c:pt idx="941">
                  <c:v>-6.2798485781032927</c:v>
                </c:pt>
                <c:pt idx="942">
                  <c:v>-6.2919906042478306</c:v>
                </c:pt>
                <c:pt idx="943">
                  <c:v>-6.3041326526602841</c:v>
                </c:pt>
                <c:pt idx="944">
                  <c:v>-6.3162747233402898</c:v>
                </c:pt>
                <c:pt idx="945">
                  <c:v>-6.3284168162874854</c:v>
                </c:pt>
                <c:pt idx="946">
                  <c:v>-6.3405589315015067</c:v>
                </c:pt>
                <c:pt idx="947">
                  <c:v>-6.3527010689819905</c:v>
                </c:pt>
                <c:pt idx="948">
                  <c:v>-6.3648432287285726</c:v>
                </c:pt>
                <c:pt idx="949">
                  <c:v>-6.3769854107408905</c:v>
                </c:pt>
                <c:pt idx="950">
                  <c:v>-6.3891276150185812</c:v>
                </c:pt>
                <c:pt idx="951">
                  <c:v>-6.4012698415612803</c:v>
                </c:pt>
                <c:pt idx="952">
                  <c:v>-6.4134120903686247</c:v>
                </c:pt>
                <c:pt idx="953">
                  <c:v>-6.4255543614402519</c:v>
                </c:pt>
                <c:pt idx="954">
                  <c:v>-6.4376966547757979</c:v>
                </c:pt>
                <c:pt idx="955">
                  <c:v>-6.4498389703748993</c:v>
                </c:pt>
                <c:pt idx="956">
                  <c:v>-6.4619813082371929</c:v>
                </c:pt>
                <c:pt idx="957">
                  <c:v>-6.4741236683623153</c:v>
                </c:pt>
                <c:pt idx="958">
                  <c:v>-6.4862660507499035</c:v>
                </c:pt>
                <c:pt idx="959">
                  <c:v>-6.498408455399594</c:v>
                </c:pt>
                <c:pt idx="960">
                  <c:v>-6.5105508823110227</c:v>
                </c:pt>
                <c:pt idx="961">
                  <c:v>-6.5226933314838274</c:v>
                </c:pt>
                <c:pt idx="962">
                  <c:v>-6.5348358029176437</c:v>
                </c:pt>
                <c:pt idx="963">
                  <c:v>-6.5469782966121093</c:v>
                </c:pt>
                <c:pt idx="964">
                  <c:v>-6.5591208125668601</c:v>
                </c:pt>
                <c:pt idx="965">
                  <c:v>-6.5712633507815337</c:v>
                </c:pt>
                <c:pt idx="966">
                  <c:v>-6.5834059112557659</c:v>
                </c:pt>
                <c:pt idx="967">
                  <c:v>-6.5955484939891944</c:v>
                </c:pt>
                <c:pt idx="968">
                  <c:v>-6.607691098981455</c:v>
                </c:pt>
                <c:pt idx="969">
                  <c:v>-6.6198337262321845</c:v>
                </c:pt>
                <c:pt idx="970">
                  <c:v>-6.6319763757410195</c:v>
                </c:pt>
                <c:pt idx="971">
                  <c:v>-6.6441190475075969</c:v>
                </c:pt>
                <c:pt idx="972">
                  <c:v>-6.6562617415315533</c:v>
                </c:pt>
                <c:pt idx="973">
                  <c:v>-6.6684044578125263</c:v>
                </c:pt>
                <c:pt idx="974">
                  <c:v>-6.6805471963501519</c:v>
                </c:pt>
                <c:pt idx="975">
                  <c:v>-6.6926899571440668</c:v>
                </c:pt>
                <c:pt idx="976">
                  <c:v>-6.7048327401939076</c:v>
                </c:pt>
                <c:pt idx="977">
                  <c:v>-6.7169755454993112</c:v>
                </c:pt>
                <c:pt idx="978">
                  <c:v>-6.7291183730599142</c:v>
                </c:pt>
                <c:pt idx="979">
                  <c:v>-6.7412612228753535</c:v>
                </c:pt>
                <c:pt idx="980">
                  <c:v>-6.7534040949452656</c:v>
                </c:pt>
                <c:pt idx="981">
                  <c:v>-6.7655469892692874</c:v>
                </c:pt>
                <c:pt idx="982">
                  <c:v>-6.7776899058470557</c:v>
                </c:pt>
                <c:pt idx="983">
                  <c:v>-6.789832844678207</c:v>
                </c:pt>
                <c:pt idx="984">
                  <c:v>-6.8019758057623783</c:v>
                </c:pt>
                <c:pt idx="985">
                  <c:v>-6.8141187890992061</c:v>
                </c:pt>
                <c:pt idx="986">
                  <c:v>-6.8262617946883273</c:v>
                </c:pt>
                <c:pt idx="987">
                  <c:v>-6.8384048225293785</c:v>
                </c:pt>
                <c:pt idx="988">
                  <c:v>-6.8505478726219966</c:v>
                </c:pt>
                <c:pt idx="989">
                  <c:v>-6.8626909449658182</c:v>
                </c:pt>
                <c:pt idx="990">
                  <c:v>-6.874834039560481</c:v>
                </c:pt>
                <c:pt idx="991">
                  <c:v>-6.8869771564056208</c:v>
                </c:pt>
                <c:pt idx="992">
                  <c:v>-6.8991202955008744</c:v>
                </c:pt>
                <c:pt idx="993">
                  <c:v>-6.9112634568458784</c:v>
                </c:pt>
                <c:pt idx="994">
                  <c:v>-6.9234066404402705</c:v>
                </c:pt>
                <c:pt idx="995">
                  <c:v>-6.9355498462836866</c:v>
                </c:pt>
                <c:pt idx="996">
                  <c:v>-6.9476930743757643</c:v>
                </c:pt>
                <c:pt idx="997">
                  <c:v>-6.9598363247161394</c:v>
                </c:pt>
                <c:pt idx="998">
                  <c:v>-6.9719795973044496</c:v>
                </c:pt>
                <c:pt idx="999">
                  <c:v>-6.9841228921403307</c:v>
                </c:pt>
                <c:pt idx="1000">
                  <c:v>-6.9962662092234202</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Abaco!$K$43:$K$51</c:f>
              <c:numCache>
                <c:formatCode>General" m/s"</c:formatCode>
                <c:ptCount val="9"/>
                <c:pt idx="0">
                  <c:v>740.86493375900318</c:v>
                </c:pt>
                <c:pt idx="1">
                  <c:v>528.73772959804114</c:v>
                </c:pt>
                <c:pt idx="2">
                  <c:v>363.29532408852629</c:v>
                </c:pt>
                <c:pt idx="3">
                  <c:v>266.46540476603809</c:v>
                </c:pt>
                <c:pt idx="4">
                  <c:v>205.92159522149302</c:v>
                </c:pt>
                <c:pt idx="5">
                  <c:v>165.09320566415232</c:v>
                </c:pt>
                <c:pt idx="6">
                  <c:v>135.8756918862216</c:v>
                </c:pt>
                <c:pt idx="7">
                  <c:v>113.99728084487982</c:v>
                </c:pt>
                <c:pt idx="8">
                  <c:v>97.028604920799452</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Abaco!$K$52:$K$60</c:f>
              <c:numCache>
                <c:formatCode>General" m/s"</c:formatCode>
                <c:ptCount val="9"/>
                <c:pt idx="0">
                  <c:v>432.73960905359797</c:v>
                </c:pt>
                <c:pt idx="1">
                  <c:v>389.49523129730068</c:v>
                </c:pt>
                <c:pt idx="2">
                  <c:v>310.23809582018015</c:v>
                </c:pt>
                <c:pt idx="3">
                  <c:v>243.46642515111304</c:v>
                </c:pt>
                <c:pt idx="4">
                  <c:v>194.59124806680566</c:v>
                </c:pt>
                <c:pt idx="5">
                  <c:v>158.9360084642307</c:v>
                </c:pt>
                <c:pt idx="6">
                  <c:v>132.27509026614084</c:v>
                </c:pt>
                <c:pt idx="7">
                  <c:v>111.77161600181233</c:v>
                </c:pt>
                <c:pt idx="8">
                  <c:v>95.59284153437774</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141 mm</c:v>
                </c:pt>
              </c:strCache>
            </c:strRef>
          </c:tx>
          <c:xVal>
            <c:numRef>
              <c:f>Abaco!$D$61:$D$69</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Abaco!$K$61:$K$69</c:f>
              <c:numCache>
                <c:formatCode>General" m/s"</c:formatCode>
                <c:ptCount val="9"/>
                <c:pt idx="0">
                  <c:v>288.68827903690323</c:v>
                </c:pt>
                <c:pt idx="1">
                  <c:v>278.76998437861118</c:v>
                </c:pt>
                <c:pt idx="2">
                  <c:v>248.98293239842312</c:v>
                </c:pt>
                <c:pt idx="3">
                  <c:v>211.34220095440432</c:v>
                </c:pt>
                <c:pt idx="4">
                  <c:v>177.07117778369263</c:v>
                </c:pt>
                <c:pt idx="5">
                  <c:v>148.84147984585707</c:v>
                </c:pt>
                <c:pt idx="6">
                  <c:v>126.15556866291543</c:v>
                </c:pt>
                <c:pt idx="7">
                  <c:v>107.89921696012691</c:v>
                </c:pt>
                <c:pt idx="8">
                  <c:v>93.054590814809657</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Abaco!$L$43:$L$51</c:f>
              <c:numCache>
                <c:formatCode>General" m"</c:formatCode>
                <c:ptCount val="9"/>
                <c:pt idx="0">
                  <c:v>3379.1781597853906</c:v>
                </c:pt>
                <c:pt idx="1">
                  <c:v>4192.6032979354004</c:v>
                </c:pt>
                <c:pt idx="2">
                  <c:v>3733.7579267385991</c:v>
                </c:pt>
                <c:pt idx="3">
                  <c:v>2879.6151508472808</c:v>
                </c:pt>
                <c:pt idx="4">
                  <c:v>2101.0327891240649</c:v>
                </c:pt>
                <c:pt idx="5">
                  <c:v>1521.8462703765285</c:v>
                </c:pt>
                <c:pt idx="6">
                  <c:v>1117.5398933055637</c:v>
                </c:pt>
                <c:pt idx="7">
                  <c:v>837.29092906434062</c:v>
                </c:pt>
                <c:pt idx="8">
                  <c:v>640.15097294239251</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Abaco!$L$52:$L$60</c:f>
              <c:numCache>
                <c:formatCode>General" m"</c:formatCode>
                <c:ptCount val="9"/>
                <c:pt idx="0">
                  <c:v>1772.4514825487752</c:v>
                </c:pt>
                <c:pt idx="1">
                  <c:v>2109.3357230351735</c:v>
                </c:pt>
                <c:pt idx="2">
                  <c:v>2091.299488238737</c:v>
                </c:pt>
                <c:pt idx="3">
                  <c:v>1862.1096824530659</c:v>
                </c:pt>
                <c:pt idx="4">
                  <c:v>1548.4513171083813</c:v>
                </c:pt>
                <c:pt idx="5">
                  <c:v>1238.3277967435083</c:v>
                </c:pt>
                <c:pt idx="6">
                  <c:v>973.40201223888346</c:v>
                </c:pt>
                <c:pt idx="7">
                  <c:v>762.79248259238602</c:v>
                </c:pt>
                <c:pt idx="8">
                  <c:v>600.56065763803622</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141 mm</c:v>
                </c:pt>
              </c:strCache>
            </c:strRef>
          </c:tx>
          <c:xVal>
            <c:numRef>
              <c:f>Abaco!$D$61:$D$69</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Abaco!$L$61:$L$69</c:f>
              <c:numCache>
                <c:formatCode>General" m"</c:formatCode>
                <c:ptCount val="9"/>
                <c:pt idx="0">
                  <c:v>1133.2303457424821</c:v>
                </c:pt>
                <c:pt idx="1">
                  <c:v>1286.8680675782907</c:v>
                </c:pt>
                <c:pt idx="2">
                  <c:v>1309.3612127833269</c:v>
                </c:pt>
                <c:pt idx="3">
                  <c:v>1240.9050132338066</c:v>
                </c:pt>
                <c:pt idx="4">
                  <c:v>1113.8222316475267</c:v>
                </c:pt>
                <c:pt idx="5">
                  <c:v>960.13089789925016</c:v>
                </c:pt>
                <c:pt idx="6">
                  <c:v>804.97626778812253</c:v>
                </c:pt>
                <c:pt idx="7">
                  <c:v>663.67497625560986</c:v>
                </c:pt>
                <c:pt idx="8">
                  <c:v>542.7344781793347</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Abaco!$M$43:$M$51</c:f>
              <c:numCache>
                <c:formatCode>General" s"</c:formatCode>
                <c:ptCount val="9"/>
                <c:pt idx="0">
                  <c:v>15.620425339981127</c:v>
                </c:pt>
                <c:pt idx="1">
                  <c:v>24.023463422765417</c:v>
                </c:pt>
                <c:pt idx="2">
                  <c:v>25.715977303579471</c:v>
                </c:pt>
                <c:pt idx="3">
                  <c:v>24.259840940519293</c:v>
                </c:pt>
                <c:pt idx="4">
                  <c:v>21.677769481162265</c:v>
                </c:pt>
                <c:pt idx="5">
                  <c:v>19.051075439524183</c:v>
                </c:pt>
                <c:pt idx="6">
                  <c:v>16.756852425146775</c:v>
                </c:pt>
                <c:pt idx="7">
                  <c:v>14.849255675159604</c:v>
                </c:pt>
                <c:pt idx="8">
                  <c:v>13.280671647594065</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Abaco!$M$52:$M$60</c:f>
              <c:numCache>
                <c:formatCode>General" s"</c:formatCode>
                <c:ptCount val="9"/>
                <c:pt idx="0">
                  <c:v>10.486932697479894</c:v>
                </c:pt>
                <c:pt idx="1">
                  <c:v>15.848265947129564</c:v>
                </c:pt>
                <c:pt idx="2">
                  <c:v>18.083952078552649</c:v>
                </c:pt>
                <c:pt idx="3">
                  <c:v>18.583216594598227</c:v>
                </c:pt>
                <c:pt idx="4">
                  <c:v>17.981112374376096</c:v>
                </c:pt>
                <c:pt idx="5">
                  <c:v>16.797619815192085</c:v>
                </c:pt>
                <c:pt idx="6">
                  <c:v>15.411678918324281</c:v>
                </c:pt>
                <c:pt idx="7">
                  <c:v>14.042467117891391</c:v>
                </c:pt>
                <c:pt idx="8">
                  <c:v>12.788473360908645</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141 mm</c:v>
                </c:pt>
              </c:strCache>
            </c:strRef>
          </c:tx>
          <c:xVal>
            <c:numRef>
              <c:f>Abaco!$D$61:$D$69</c:f>
              <c:numCache>
                <c:formatCode>General\ "kg"</c:formatCode>
                <c:ptCount val="9"/>
                <c:pt idx="0">
                  <c:v>1.6850000000000001</c:v>
                </c:pt>
                <c:pt idx="1">
                  <c:v>3.4740000000000002</c:v>
                </c:pt>
                <c:pt idx="2">
                  <c:v>5.2629999999999999</c:v>
                </c:pt>
                <c:pt idx="3">
                  <c:v>7.0519999999999996</c:v>
                </c:pt>
                <c:pt idx="4">
                  <c:v>8.8409999999999993</c:v>
                </c:pt>
                <c:pt idx="5">
                  <c:v>10.63</c:v>
                </c:pt>
                <c:pt idx="6">
                  <c:v>12.419</c:v>
                </c:pt>
                <c:pt idx="7">
                  <c:v>14.208</c:v>
                </c:pt>
                <c:pt idx="8">
                  <c:v>15.997</c:v>
                </c:pt>
              </c:numCache>
            </c:numRef>
          </c:xVal>
          <c:yVal>
            <c:numRef>
              <c:f>Abaco!$M$61:$M$69</c:f>
              <c:numCache>
                <c:formatCode>General" s"</c:formatCode>
                <c:ptCount val="9"/>
                <c:pt idx="0">
                  <c:v>8.1881792456168494</c:v>
                </c:pt>
                <c:pt idx="1">
                  <c:v>11.853266556097932</c:v>
                </c:pt>
                <c:pt idx="2">
                  <c:v>13.710929458082333</c:v>
                </c:pt>
                <c:pt idx="3">
                  <c:v>14.59819234710602</c:v>
                </c:pt>
                <c:pt idx="4">
                  <c:v>14.769749205971433</c:v>
                </c:pt>
                <c:pt idx="5">
                  <c:v>14.428476810387579</c:v>
                </c:pt>
                <c:pt idx="6">
                  <c:v>13.763263235927459</c:v>
                </c:pt>
                <c:pt idx="7">
                  <c:v>12.933231530984781</c:v>
                </c:pt>
                <c:pt idx="8">
                  <c:v>12.052975271328286</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156"/>
</file>

<file path=xl/ctrlProps/ctrlProp3.xml><?xml version="1.0" encoding="utf-8"?>
<formControlPr xmlns="http://schemas.microsoft.com/office/spreadsheetml/2009/9/main" objectType="Spin" dx="15" fmlaLink="$C$13" inc="50" max="30000" noThreeD="1" page="10" val="109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9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052"/>
</file>

<file path=xl/ctrlProps/ctrlProp12.xml><?xml version="1.0" encoding="utf-8"?>
<formControlPr xmlns="http://schemas.microsoft.com/office/spreadsheetml/2009/9/main" objectType="Spin" dx="15" fmlaLink="$C$12" inc="100" max="30000" noThreeD="1" page="10" val="7156"/>
</file>

<file path=xl/ctrlProps/ctrlProp13.xml><?xml version="1.0" encoding="utf-8"?>
<formControlPr xmlns="http://schemas.microsoft.com/office/spreadsheetml/2009/9/main" objectType="Spin" dx="15" fmlaLink="$C$12" inc="100" max="30000" noThreeD="1" page="10" val="7156"/>
</file>

<file path=xl/ctrlProps/ctrlProp14.xml><?xml version="1.0" encoding="utf-8"?>
<formControlPr xmlns="http://schemas.microsoft.com/office/spreadsheetml/2009/9/main" objectType="Spin" dx="15" fmlaLink="Stabilito!C12" inc="100" max="30000" noThreeD="1" page="10" val="7156"/>
</file>

<file path=xl/ctrlProps/ctrlProp15.xml><?xml version="1.0" encoding="utf-8"?>
<formControlPr xmlns="http://schemas.microsoft.com/office/spreadsheetml/2009/9/main" objectType="Spin" dx="15" fmlaLink="$B$44" inc="50" max="30000" noThreeD="1" page="10" val="32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156"/>
</file>

<file path=xl/ctrlProps/ctrlProp20.xml><?xml version="1.0" encoding="utf-8"?>
<formControlPr xmlns="http://schemas.microsoft.com/office/spreadsheetml/2009/9/main" objectType="Spin" dx="15" fmlaLink="Stabilito!C12" inc="100" max="30000" noThreeD="1" page="10" val="7156"/>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_Beta\alpha_beta_actif.xlsx" TargetMode="External"/><Relationship Id="rId1" Type="http://schemas.openxmlformats.org/officeDocument/2006/relationships/externalLinkPath" Target="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definedNames>
      <definedName name="D_ref" refersTo="='Stabilito'!$C$15"/>
    </definedNames>
    <sheetDataSet>
      <sheetData sheetId="0">
        <row r="15">
          <cell r="C15">
            <v>94.331384015594537</v>
          </cell>
        </row>
      </sheetData>
      <sheetData sheetId="1">
        <row r="15">
          <cell r="C15">
            <v>9.3087948792451754E-3</v>
          </cell>
        </row>
      </sheetData>
      <sheetData sheetId="2"/>
      <sheetData sheetId="3"/>
      <sheetData sheetId="4"/>
      <sheetData sheetId="5">
        <row r="15">
          <cell r="C15" t="str">
            <v>Traînée Aérdynamique</v>
          </cell>
        </row>
      </sheetData>
      <sheetData sheetId="6">
        <row r="15">
          <cell r="C15" t="str">
            <v>Pour les experts :</v>
          </cell>
        </row>
      </sheetData>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topLeftCell="A4" zoomScale="115" zoomScaleNormal="115" zoomScaleSheetLayoutView="100" workbookViewId="0">
      <selection activeCell="C14" sqref="C14:D1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99" t="s">
        <v>53</v>
      </c>
      <c r="D2" s="599"/>
      <c r="L2" s="147" t="str">
        <f>"Language/Langue"</f>
        <v>Language/Langue</v>
      </c>
      <c r="M2" s="624" t="s">
        <v>1</v>
      </c>
      <c r="N2" s="624"/>
      <c r="O2" s="624"/>
      <c r="P2" s="625"/>
      <c r="Q2" s="27"/>
    </row>
    <row r="3" spans="1:20" ht="12.75" customHeight="1" x14ac:dyDescent="0.2">
      <c r="A3" s="25"/>
      <c r="C3" s="599"/>
      <c r="D3" s="599"/>
      <c r="L3" s="632"/>
      <c r="M3" s="632"/>
      <c r="N3" s="45"/>
      <c r="Q3" s="27"/>
    </row>
    <row r="4" spans="1:20" ht="12.75" customHeight="1" x14ac:dyDescent="0.2">
      <c r="A4" s="25"/>
      <c r="C4" s="600" t="str">
        <f>IF(Lang="Français","Stabilité de fusée à ailerons",IF(Lang="English","Stability for rocket with fins",""))</f>
        <v>Stabilité de fusée à ailerons</v>
      </c>
      <c r="D4" s="600"/>
      <c r="L4" s="33"/>
      <c r="M4" s="624" t="s">
        <v>571</v>
      </c>
      <c r="N4" s="624"/>
      <c r="O4" s="624"/>
      <c r="P4" s="625"/>
      <c r="Q4" s="27"/>
    </row>
    <row r="5" spans="1:20" ht="12.75" customHeight="1" x14ac:dyDescent="0.25">
      <c r="A5" s="25"/>
      <c r="B5" s="28"/>
      <c r="C5" s="581"/>
      <c r="D5" s="581"/>
      <c r="L5" s="33"/>
      <c r="M5" s="606" t="s">
        <v>156</v>
      </c>
      <c r="N5" s="607"/>
      <c r="O5" s="635" t="s">
        <v>157</v>
      </c>
      <c r="P5" s="635"/>
      <c r="Q5" s="29"/>
    </row>
    <row r="6" spans="1:20" ht="12.75" customHeight="1" thickBot="1" x14ac:dyDescent="0.25">
      <c r="A6" s="25"/>
      <c r="B6" s="87"/>
      <c r="C6" s="594" t="str">
        <f>IF(Lang="Français","Remplir les cases jaunes",IF(Lang="English","Fill-in yellow cells only",""))</f>
        <v>Remplir les cases jaunes</v>
      </c>
      <c r="D6" s="594"/>
      <c r="L6" s="139" t="str">
        <f>IF(Lang="Français","Longueur      'L'",IF(Lang="English","Length      'L'",""))</f>
        <v>Longueur      'L'</v>
      </c>
      <c r="M6" s="595">
        <v>60</v>
      </c>
      <c r="N6" s="596"/>
      <c r="O6" s="616">
        <v>50</v>
      </c>
      <c r="P6" s="616"/>
      <c r="Q6" s="29"/>
    </row>
    <row r="7" spans="1:20" ht="12.75" customHeight="1" thickTop="1" thickBot="1" x14ac:dyDescent="0.25">
      <c r="A7" s="25"/>
      <c r="B7" s="31"/>
      <c r="C7" s="602" t="str">
        <f>IF(Lang="Français","Fusée",IF(Lang="English","Rocket",""))</f>
        <v>Fusée</v>
      </c>
      <c r="D7" s="603"/>
      <c r="L7" s="139" t="str">
        <f>IF(Lang="Français","Diamètre     'D1'",IF(Lang="English","Diameter 'D1'",""))</f>
        <v>Diamètre     'D1'</v>
      </c>
      <c r="M7" s="595">
        <v>84</v>
      </c>
      <c r="N7" s="596"/>
      <c r="O7" s="616">
        <v>104</v>
      </c>
      <c r="P7" s="616"/>
      <c r="Q7" s="29"/>
    </row>
    <row r="8" spans="1:20" ht="12.75" customHeight="1" thickTop="1" x14ac:dyDescent="0.2">
      <c r="A8" s="25"/>
      <c r="B8" s="138" t="str">
        <f>IF(Lang="Français","Nom",IF(Lang="English","Name",""))</f>
        <v>Nom</v>
      </c>
      <c r="C8" s="597" t="s">
        <v>572</v>
      </c>
      <c r="D8" s="597"/>
      <c r="E8" s="90"/>
      <c r="K8" s="33"/>
      <c r="L8" s="139" t="str">
        <f>IF(Lang="Français","Diamètre     'D2'",IF(Lang="English","Diameter 'D2'",""))</f>
        <v>Diamètre     'D2'</v>
      </c>
      <c r="M8" s="595">
        <v>104</v>
      </c>
      <c r="N8" s="596"/>
      <c r="O8" s="616">
        <v>84</v>
      </c>
      <c r="P8" s="616"/>
      <c r="Q8" s="29"/>
    </row>
    <row r="9" spans="1:20" ht="12.75" customHeight="1" x14ac:dyDescent="0.2">
      <c r="A9" s="25"/>
      <c r="B9" s="138" t="s">
        <v>4</v>
      </c>
      <c r="C9" s="598" t="s">
        <v>569</v>
      </c>
      <c r="D9" s="598"/>
      <c r="E9" s="90"/>
      <c r="K9" s="33"/>
      <c r="L9" s="139" t="str">
        <f>IF(Lang="Français","Implantation 'x'",IF(Lang="English","Basement 'x'",""))</f>
        <v>Implantation 'x'</v>
      </c>
      <c r="M9" s="595">
        <v>932</v>
      </c>
      <c r="N9" s="596"/>
      <c r="O9" s="616">
        <v>2002</v>
      </c>
      <c r="P9" s="616"/>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604" t="s">
        <v>568</v>
      </c>
      <c r="D11" s="605"/>
      <c r="E11" s="90"/>
      <c r="K11" s="33"/>
      <c r="L11" s="107"/>
      <c r="M11" s="224" t="str">
        <f>IF(Lang="Français","Propu plein",IF(Lang="English","Loaded Motor",""))</f>
        <v>Propu plein</v>
      </c>
      <c r="N11" s="633" t="str">
        <f>IF(Lang="Français","Propu vide",IF(Lang="English","Empty Motor",""))</f>
        <v>Propu vide</v>
      </c>
      <c r="O11" s="634"/>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7156</v>
      </c>
      <c r="D12" s="34" t="s">
        <v>423</v>
      </c>
      <c r="L12" s="108" t="str">
        <f>IF(Lang="Français","Masse propu",IF(Lang="English","Motor Mass",""))</f>
        <v>Masse propu</v>
      </c>
      <c r="M12" s="109">
        <f ca="1">MpropuPlein</f>
        <v>1.6850000000000001</v>
      </c>
      <c r="N12" s="628">
        <f ca="1">MpropuVide</f>
        <v>0.65200000000000002</v>
      </c>
      <c r="O12" s="629"/>
      <c r="P12" s="110" t="s">
        <v>14</v>
      </c>
      <c r="Q12" s="29"/>
      <c r="S12" s="386" t="str">
        <f>IF(Lang="Français","Haut",IF(Lang="English","Top",""))</f>
        <v>Haut</v>
      </c>
      <c r="T12" s="387">
        <f ca="1">XpropuRef-Long_propu</f>
        <v>1564</v>
      </c>
    </row>
    <row r="13" spans="1:20" ht="12.75" customHeight="1" x14ac:dyDescent="0.2">
      <c r="A13" s="25"/>
      <c r="B13" s="139" t="str">
        <f>IF(Lang="Français","Centre de Masse",IF(Lang="English","Center of Mass",""))</f>
        <v>Centre de Masse</v>
      </c>
      <c r="C13" s="35">
        <v>1090</v>
      </c>
      <c r="D13" s="34" t="s">
        <v>423</v>
      </c>
      <c r="L13" s="108" t="str">
        <f>IF(Lang="Français","CdM propu",IF(Lang="English","Motor CoM",""))</f>
        <v>CdM propu</v>
      </c>
      <c r="M13" s="111">
        <f ca="1">XpropuPlein</f>
        <v>250</v>
      </c>
      <c r="N13" s="626">
        <f ca="1">XpropuVide</f>
        <v>240</v>
      </c>
      <c r="O13" s="62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95">
        <v>2052</v>
      </c>
      <c r="D14" s="596"/>
      <c r="L14" s="108" t="str">
        <f>IF(Lang="Français","Masse fusée",IF(Lang="English","Rocket Mass",""))</f>
        <v>Masse fusée</v>
      </c>
      <c r="M14" s="112">
        <f ca="1">MasseSans+MpropuPlein</f>
        <v>8.8409999999999993</v>
      </c>
      <c r="N14" s="608">
        <f ca="1">MasseSans+MpropuVide</f>
        <v>7.8079999999999998</v>
      </c>
      <c r="O14" s="609"/>
      <c r="P14" s="109">
        <f>IF(OR(D12="sans propu",D12="without motor"),C12/1000,IF(OR(D12="avec propu vide",D12="with empty motor"),C12/1000-MpropuVide,IF(OR(D12="avec propu plein",D12="with loaded motor"),C12/1000-MpropuPlein,"Erreur")))</f>
        <v>7.1559999999999997</v>
      </c>
      <c r="Q14" s="29"/>
      <c r="S14" s="386" t="str">
        <f>IF(Lang="Français","Bas",IF(Lang="English","Base",""))</f>
        <v>Bas</v>
      </c>
      <c r="T14" s="387">
        <f>XpropuRef</f>
        <v>2052</v>
      </c>
    </row>
    <row r="15" spans="1:20" ht="12.75" customHeight="1" x14ac:dyDescent="0.2">
      <c r="A15" s="25"/>
      <c r="B15" s="139" t="str">
        <f>IF(Lang="Français","Diamètre Réf.",IF(Lang="English","Ref. Diameter",""))</f>
        <v>Diamètre Réf.</v>
      </c>
      <c r="C15" s="595" cm="1">
        <f t="array" ref="C15">[1]!D_ref</f>
        <v>94.331384015594537</v>
      </c>
      <c r="D15" s="596"/>
      <c r="L15" s="175" t="str">
        <f>IF(Lang="Français","CdM fusée",IF(Lang="English","Rocket CoM",""))</f>
        <v>CdM fusée</v>
      </c>
      <c r="M15" s="176">
        <f ca="1">(XcgSans*MasseSans+(XpropuRef-Long_propu+XpropuPlein)*MpropuPlein)/MassePlein</f>
        <v>1227.9866530935417</v>
      </c>
      <c r="N15" s="610">
        <f ca="1">(XcgSans*MasseSans+(XpropuRef-Long_propu+XpropuVide)*MpropuVide)/MasseVide</f>
        <v>1149.6219262295081</v>
      </c>
      <c r="O15" s="611"/>
      <c r="P15" s="113">
        <f>IF(OR(D13="sans propu",D13="without motor"),C13,IF(OR(D13="avec propu vide",D13="with empty motor"),(C13*MasseVide-(XpropuRef-Long_propu+XpropuVide)*MpropuVide)/MasseSans,IF(OR(D13="avec propu plein",D13="with loaded motor"),(C13*MassePlein-(XpropuRef-Long_propu+XpropuPlein)*MpropuPlein)/MasseSans,"Erreur")))</f>
        <v>1090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3" t="str">
        <f>IF(Lang="Français","Propulseur",IF(Lang="English","Motor",""))</f>
        <v>Propulseur</v>
      </c>
      <c r="D17" s="584"/>
      <c r="L17" s="114"/>
      <c r="M17" s="612" t="s">
        <v>55</v>
      </c>
      <c r="N17" s="613"/>
      <c r="O17" s="636" t="s">
        <v>65</v>
      </c>
      <c r="P17" s="636"/>
      <c r="Q17" s="29"/>
      <c r="S17" s="386" t="str">
        <f>IF(Lang="Français","Haut","Top")</f>
        <v>Haut</v>
      </c>
      <c r="T17" s="387">
        <f>X_ail-m_ail</f>
        <v>1792</v>
      </c>
    </row>
    <row r="18" spans="1:22" ht="12.75" customHeight="1" thickTop="1" x14ac:dyDescent="0.2">
      <c r="A18" s="25"/>
      <c r="B18" s="139" t="s">
        <v>54</v>
      </c>
      <c r="C18" s="585" t="s">
        <v>549</v>
      </c>
      <c r="D18" s="586"/>
      <c r="K18" s="37"/>
      <c r="L18" s="108" t="str">
        <f>IF(Lang="Français","Coiffe",IF(Lang="English","Nose Cone",""))</f>
        <v>Coiffe</v>
      </c>
      <c r="M18" s="588">
        <f>IF(LEFT(Forme_ogive,5)="Parab",1/2*Long_ogive,IF(LEFT(Forme_ogive,4)="Ogiv",7/15*Long_ogive,IF(LEFT(Forme_ogive,3)="Con",2/3*Long_ogive)))</f>
        <v>168</v>
      </c>
      <c r="N18" s="589"/>
      <c r="O18" s="587">
        <f>2*POWER(D_og/D_ref, 2)</f>
        <v>1.585901299633202</v>
      </c>
      <c r="P18" s="587"/>
      <c r="Q18" s="29"/>
      <c r="S18" s="386" t="str">
        <f>IF(Lang="Français","Emplanture","Root edge")</f>
        <v>Emplanture</v>
      </c>
      <c r="T18" s="387">
        <f>m_ail</f>
        <v>210</v>
      </c>
    </row>
    <row r="19" spans="1:22" ht="12.75" customHeight="1" x14ac:dyDescent="0.2">
      <c r="A19" s="25"/>
      <c r="B19" s="139" t="str">
        <f>IF(Lang="Français","Position du bas",IF(Lang="English","Basement",""))</f>
        <v>Position du bas</v>
      </c>
      <c r="C19" s="616">
        <v>2052</v>
      </c>
      <c r="D19" s="616"/>
      <c r="L19" s="108" t="str">
        <f>IF(Lang="Français","Ailerons",IF(Lang="English","Fins",""))</f>
        <v>Ailerons</v>
      </c>
      <c r="M19" s="588">
        <f>(XCpa*Cnail-0.5*XCpi*Cni)/Cnai</f>
        <v>1911.4827586206895</v>
      </c>
      <c r="N19" s="589"/>
      <c r="O19" s="590">
        <f>Cnail-Cni/2</f>
        <v>17.989032449950781</v>
      </c>
      <c r="P19" s="591"/>
      <c r="Q19" s="29"/>
      <c r="S19" s="386" t="str">
        <f>IF(Lang="Français","Bas","Base")</f>
        <v>Bas</v>
      </c>
      <c r="T19" s="387">
        <f>X_ail</f>
        <v>2002</v>
      </c>
    </row>
    <row r="20" spans="1:22" ht="12.75" customHeight="1" thickBot="1" x14ac:dyDescent="0.25">
      <c r="A20" s="25"/>
      <c r="B20" s="428" t="str">
        <f>IF(Propu="Cariacou","Cariacou :"," ")</f>
        <v xml:space="preserve"> </v>
      </c>
      <c r="C20" s="617" t="str">
        <f>IF(Propu="Pandora (Pro24-6G)",IF(Lang="Français","C'Space Seulement",IF(Lang="English","C'Space only","")),"")</f>
        <v/>
      </c>
      <c r="D20" s="617"/>
      <c r="L20" s="108" t="str">
        <f>IF(Lang="Français","Ail bas entier",IF(Lang="English","Total Lower Fins",""))</f>
        <v>Ail bas entier</v>
      </c>
      <c r="M20" s="588">
        <f>X_ail-m_ail+p_ail*(m_ail+2*n_ail)/(3*(m_ail+n_ail))+(m_ail+n_ail-m_ail*n_ail/(m_ail+n_ail))/6</f>
        <v>1911.4827586206895</v>
      </c>
      <c r="N20" s="589"/>
      <c r="O20" s="587">
        <f>4*Q_ail*POWER((E_ail/D_ref),2)*(1+D_ail/(2*E_ail+D_ail))/(1+SQRT(1+POWER(2*f_ail/(m_ail+n_ail),2)))</f>
        <v>17.989032449950781</v>
      </c>
      <c r="P20" s="587"/>
      <c r="Q20" s="29"/>
    </row>
    <row r="21" spans="1:22" ht="12.75" customHeight="1" thickTop="1" thickBot="1" x14ac:dyDescent="0.25">
      <c r="A21" s="25"/>
      <c r="B21" s="30"/>
      <c r="C21" s="592" t="str">
        <f>IF(Lang="Français","Coiffe",IF(Lang="English","Nose Cone",""))</f>
        <v>Coiffe</v>
      </c>
      <c r="D21" s="593"/>
      <c r="L21" s="108" t="str">
        <f>IF(Lang="Français","Ailerons haut",IF(Lang="English","Upper Fins",""))</f>
        <v>Ailerons haut</v>
      </c>
      <c r="M21" s="588">
        <f>IF(LEFT(Type_masquage,1)="M",0, X_can-m_can+p_can*(m_can+2*n_can)/(3*(m_can+n_can))+(m_can+n_can-m_can*n_can/(m_can+n_can))/6)</f>
        <v>847.4</v>
      </c>
      <c r="N21" s="589"/>
      <c r="O21" s="587">
        <f>IF(LEFT(Type_masquage,1)="M",0, 4*Q_can*POWER((E_can/D_ref),2)*(1+D_can/(2*E_can+D_can))/(1+SQRT(1+POWER(2*f_can/(m_can+n_can),2))))</f>
        <v>10.457695362476004</v>
      </c>
      <c r="P21" s="587"/>
      <c r="Q21" s="29"/>
    </row>
    <row r="22" spans="1:22" ht="12.75" customHeight="1" thickTop="1" x14ac:dyDescent="0.2">
      <c r="A22" s="25"/>
      <c r="B22" s="139" t="str">
        <f>IF(Lang="Français","Forme",IF(Lang="English","Shape",""))</f>
        <v>Forme</v>
      </c>
      <c r="C22" s="618" t="s">
        <v>570</v>
      </c>
      <c r="D22" s="619"/>
      <c r="L22" s="108" t="str">
        <f>IF(Lang="Français","Partie masquée",IF(Lang="English","Interation zone",""))</f>
        <v>Partie masquée</v>
      </c>
      <c r="M22" s="601">
        <f>IF(LEFT(Type_masquage,1)="B", X_int-m_int+p_int*(m_int+2*n_int)/(3*(m_int+n_int))+(m_int+n_int-m_int*n_int/(m_int+n_int))/6, 0 )</f>
        <v>1844.5</v>
      </c>
      <c r="N22" s="601"/>
      <c r="O22" s="590">
        <f>IF(LEFT(Type_masquage,1)="B", 4*Q_int*POWER((E_int/D_ref),2)*(1+D_int/(2*E_int+D_int))/(1+SQRT(1+POWER(2*f_int/(m_int+n_int),2))), 0 )</f>
        <v>0</v>
      </c>
      <c r="P22" s="591"/>
      <c r="Q22" s="29"/>
    </row>
    <row r="23" spans="1:22" ht="12.75" customHeight="1" x14ac:dyDescent="0.2">
      <c r="A23" s="25"/>
      <c r="B23" s="139" t="str">
        <f>IF(Lang="Français","Hauteur",IF(Lang="English","Heigth",""))</f>
        <v>Hauteur</v>
      </c>
      <c r="C23" s="595">
        <v>252</v>
      </c>
      <c r="D23" s="596"/>
      <c r="L23" s="108" t="s">
        <v>156</v>
      </c>
      <c r="M23" s="588">
        <f>IF(OR(RIGHT(Nb_diam,1)=",",D2j=0),0, X_j+l_j/3*(1+1/(1+D1j/D2j)) )</f>
        <v>963.063829787234</v>
      </c>
      <c r="N23" s="589"/>
      <c r="O23" s="587">
        <f>IF(OR(RIGHT(Nb_diam,1)=",",D2j=0),0,2*(POWER(D2j/D_ref,2)-POWER(D1j/D_ref,2)))</f>
        <v>0.84509479685669442</v>
      </c>
      <c r="P23" s="587"/>
      <c r="Q23" s="29"/>
    </row>
    <row r="24" spans="1:22" ht="12.75" customHeight="1" thickBot="1" x14ac:dyDescent="0.25">
      <c r="A24" s="25"/>
      <c r="B24" s="139" t="str">
        <f>IF(Lang="Français","Diamètre",IF(Lang="English","Diameter",""))</f>
        <v>Diamètre</v>
      </c>
      <c r="C24" s="595">
        <v>84</v>
      </c>
      <c r="D24" s="596"/>
      <c r="L24" s="108" t="s">
        <v>157</v>
      </c>
      <c r="M24" s="588">
        <f>IF( OR(RIGHT(Nb_diam,1)=",",D2r=0), 0, X_r+l_r/3*(1+1/(1+D1r/D2r)) )</f>
        <v>2026.113475177305</v>
      </c>
      <c r="N24" s="589"/>
      <c r="O24" s="587">
        <f>IF( OR(RIGHT(Nb_diam,1)=",",D2r=0), 0, 2*(POWER(D2r/D_ref,2)-POWER(D1r/D_ref,2)) )</f>
        <v>-0.84509479685669442</v>
      </c>
      <c r="P24" s="587"/>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46116</v>
      </c>
      <c r="G26" s="137" t="s">
        <v>62</v>
      </c>
      <c r="H26" s="582" t="str">
        <f>IF(Lang="Français","Résultats",IF(Lang="English","Results",""))</f>
        <v>Résultats</v>
      </c>
      <c r="I26" s="582"/>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614" t="s">
        <v>425</v>
      </c>
      <c r="D27" s="615"/>
      <c r="E27" s="146">
        <f>m_ail</f>
        <v>210</v>
      </c>
      <c r="F27" s="105" t="s">
        <v>64</v>
      </c>
      <c r="G27" s="104">
        <f>IF(RIGHT(Type_fusee,1)=".",10, IF(OR(LEFT(Type_fusee,1)="R",LEFT(Type_fusee,1)=",",LEFT(Type_fusee,4)="Mini"),10, IF(LEFT(Type_fusee,5)="Micro",10, IF(RIGHT(Type_fusee,1)=" ",1))))</f>
        <v>10</v>
      </c>
      <c r="H27" s="630">
        <f>Long_tot/D_ref</f>
        <v>21.753099685898498</v>
      </c>
      <c r="I27" s="631"/>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210</v>
      </c>
      <c r="F28" s="105" t="str">
        <f>IF(Lang="Français","Portance","Lift")</f>
        <v>Portance</v>
      </c>
      <c r="G28" s="104">
        <f>IF(RIGHT(Type_fusee,1)=".",15,IF(OR(LEFT(Type_fusee,1)="R",LEFT(Type_fusee,1)=",",LEFT(Type_fusee,4)="Mini"),15, IF(LEFT(Type_fusee,5)="Micro",15, IF(RIGHT(Type_fusee,1)=" ",15))))</f>
        <v>15</v>
      </c>
      <c r="H28" s="508">
        <f>Cnai+Cnc+Cno+Cnj+Cnr</f>
        <v>30.03262911205999</v>
      </c>
      <c r="I28" s="508">
        <f>Cnail+Cnc+Cno+Cnj+Cnr</f>
        <v>30.03262911205999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0</v>
      </c>
      <c r="F29" s="515" t="str">
        <f>IF(Lang="Français","MargeStat.","StatMargin")</f>
        <v>MargeStat.</v>
      </c>
      <c r="G29" s="510">
        <f>IF(RIGHT(Type_fusee,1)=".",2, IF(OR(LEFT(Type_fusee,1)="R",LEFT(Type_fusee,1)=",",LEFT(Type_fusee,4)="Mini"),1.5, IF(LEFT(Type_fusee,5)="Micro",1, IF(RIGHT(Type_fusee,1)=" ",1))))</f>
        <v>2</v>
      </c>
      <c r="H29" s="97">
        <f ca="1">(XCp-XcgPlein)/D_ref</f>
        <v>2.0246816059764923</v>
      </c>
      <c r="I29" s="98">
        <f ca="1">(XCp0-XcgVide)/D_ref</f>
        <v>2.8554202586721704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573</v>
      </c>
    </row>
    <row r="30" spans="1:22" ht="12.75" customHeight="1" x14ac:dyDescent="0.2">
      <c r="A30" s="25"/>
      <c r="B30" s="524" t="str">
        <f>IF(Lang="Français"," Flèche          'p'"," Offset         'p'")</f>
        <v xml:space="preserve"> Flèche          'p'</v>
      </c>
      <c r="C30" s="35">
        <v>190</v>
      </c>
      <c r="D30" s="35">
        <v>120</v>
      </c>
      <c r="E30" s="146">
        <v>0</v>
      </c>
      <c r="F30" s="516" t="str">
        <f>IF(Lang="Français","Couple","Torque")</f>
        <v>Couple</v>
      </c>
      <c r="G30" s="511">
        <f>IF(RIGHT(Type_fusee,1)=".",40, IF(OR(LEFT(Type_fusee,1)="R",LEFT(Type_fusee,1)=",",LEFT(Type_fusee,4)="Mini"),30, IF(LEFT(Type_fusee,5)="Micro",15, IF(RIGHT(Type_fusee,1)=" ",15))))</f>
        <v>40</v>
      </c>
      <c r="H30" s="99">
        <f ca="1">MS_min*Cn</f>
        <v>60.806511742301979</v>
      </c>
      <c r="I30" s="96">
        <f ca="1">MS_max*Cn0</f>
        <v>85.755777587763689</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575</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(Cnai*XCpa+Cnc*XCpc+Cnj*XCpj+Cnr*XCpr+Cno*XCpo)/(Cnai+Cnc+Cnr+Cnj+Cno)</f>
        <v>1418.9776711762208</v>
      </c>
      <c r="I31" s="509">
        <f>(Cnail*XCpa+Cnc*XCpc+Cnj*XCpj+Cnr*XCpr+Cno*XCpo)/(Cnail+Cnc+Cnr+Cnj+Cno)</f>
        <v>1418.9776711762208</v>
      </c>
      <c r="J31" s="102"/>
      <c r="K31" s="32"/>
      <c r="Q31" s="29"/>
      <c r="R31" s="38"/>
      <c r="S31" s="388"/>
      <c r="U31" s="24">
        <v>2.12</v>
      </c>
      <c r="V31" s="24">
        <v>24.960999999999999</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9.3075544874599974</v>
      </c>
      <c r="I32" s="101">
        <f ca="1">(XCp-XcgVide)/Long_tot*100</f>
        <v>13.126498291750135</v>
      </c>
      <c r="J32" s="102"/>
      <c r="K32" s="32"/>
      <c r="Q32" s="29"/>
      <c r="R32" s="38"/>
      <c r="U32" s="24">
        <v>2.9</v>
      </c>
      <c r="V32" s="24">
        <v>24.960999999999999</v>
      </c>
    </row>
    <row r="33" spans="1:23" ht="12.75" customHeight="1" x14ac:dyDescent="0.2">
      <c r="A33" s="25"/>
      <c r="B33" s="524" t="str">
        <f>IF(Lang="Français"," Nombre            ",IF(Lang="English"," Number of fins",""))</f>
        <v xml:space="preserve"> Nombre            </v>
      </c>
      <c r="C33" s="36">
        <v>4</v>
      </c>
      <c r="D33" s="36">
        <v>4</v>
      </c>
      <c r="E33" s="146">
        <f>X_ail</f>
        <v>2002</v>
      </c>
      <c r="G33" s="24"/>
      <c r="H33" s="620" t="str">
        <f ca="1">IF(AND(CritCnmin&lt;Cn,Cn0&lt;CritCnmax,CritMsmin&lt;MS_min,MS_max&lt;CritMsmax,CritMsCnmin&lt;MS_Cn_min,MS_Cn_max&lt;CritMsCnmax),"STABLE",IF(OR(Cn&lt;CritCnmin,MS_min&lt;CritMsmin,MS_Cn_min&lt;CritMsCnmin),"INSTABLE",IF(Lang="Français","SURSTABLE","OVERSTABLE")))</f>
        <v>STABLE</v>
      </c>
      <c r="I33" s="621"/>
      <c r="J33" s="31"/>
      <c r="K33" s="32"/>
      <c r="Q33" s="29"/>
      <c r="R33" s="38"/>
    </row>
    <row r="34" spans="1:23" ht="12.75" customHeight="1" x14ac:dyDescent="0.2">
      <c r="A34" s="25"/>
      <c r="B34" s="524" t="str">
        <f>IF(Lang="Français"," Position du bas",IF(Lang="English"," Basement",""))</f>
        <v xml:space="preserve"> Position du bas</v>
      </c>
      <c r="C34" s="35">
        <v>2002</v>
      </c>
      <c r="D34" s="35">
        <v>932</v>
      </c>
      <c r="E34" s="146">
        <f>D_ail</f>
        <v>104</v>
      </c>
      <c r="G34" s="24"/>
      <c r="H34" s="622"/>
      <c r="I34" s="623"/>
      <c r="K34" s="32"/>
      <c r="Q34" s="29"/>
      <c r="R34" s="38"/>
    </row>
    <row r="35" spans="1:23" ht="12.75" customHeight="1" x14ac:dyDescent="0.2">
      <c r="A35" s="25"/>
      <c r="B35" s="524" t="str">
        <f>IF(Lang="Français"," Diamètre         ",IF(Lang="English"," Diameter at Fins",""))</f>
        <v xml:space="preserve"> Diamètre         </v>
      </c>
      <c r="C35" s="35">
        <v>104</v>
      </c>
      <c r="D35" s="35">
        <v>84</v>
      </c>
      <c r="E35" s="146">
        <f>SQRT(POWER(p_int+n_int/2-m_int/2,2)+POWER(E_int,2))</f>
        <v>0</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129.0348790056394</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-932</v>
      </c>
      <c r="D126" s="46">
        <f>IF(AND(RIGHT(Nb_diam,1)=".",X_j), D1j/2, D125 )</f>
        <v>42</v>
      </c>
      <c r="E126" s="93">
        <f t="shared" si="0"/>
        <v>-42</v>
      </c>
      <c r="K126" s="46"/>
    </row>
    <row r="127" spans="2:18" x14ac:dyDescent="0.2">
      <c r="B127" s="45" t="s">
        <v>74</v>
      </c>
      <c r="C127" s="46">
        <f>IF(AND(RIGHT(Nb_diam,1)=".",X_j), -X_j-l_j, C126 )</f>
        <v>-992</v>
      </c>
      <c r="D127" s="46">
        <f>IF(AND(RIGHT(Nb_diam,1)=".",X_j), D2j/2, D126 )</f>
        <v>52</v>
      </c>
      <c r="E127" s="93">
        <f t="shared" si="0"/>
        <v>-52</v>
      </c>
      <c r="K127" s="46"/>
    </row>
    <row r="128" spans="2:18" x14ac:dyDescent="0.2">
      <c r="B128" s="45" t="s">
        <v>75</v>
      </c>
      <c r="C128" s="46">
        <f>IF(AND(RIGHT(Nb_diam,1)=".",X_r), -X_r, C127 )</f>
        <v>-2002</v>
      </c>
      <c r="D128" s="46">
        <f>IF(AND(RIGHT(Nb_diam,1)=".",X_r), D1r/2, D127 )</f>
        <v>52</v>
      </c>
      <c r="E128" s="93">
        <f t="shared" si="0"/>
        <v>-52</v>
      </c>
      <c r="K128" s="46"/>
    </row>
    <row r="129" spans="2:11" x14ac:dyDescent="0.2">
      <c r="B129" s="45" t="s">
        <v>76</v>
      </c>
      <c r="C129" s="46">
        <f>IF(AND(RIGHT(Nb_diam,1)=".",X_r), -X_r-l_r, C128 )</f>
        <v>-2052</v>
      </c>
      <c r="D129" s="46">
        <f>IF(AND(RIGHT(Nb_diam,1)=".",X_r), D2r/2, D128 )</f>
        <v>42</v>
      </c>
      <c r="E129" s="93">
        <f t="shared" si="0"/>
        <v>-42</v>
      </c>
      <c r="K129" s="46"/>
    </row>
    <row r="130" spans="2:11" x14ac:dyDescent="0.2">
      <c r="B130" s="45" t="s">
        <v>77</v>
      </c>
      <c r="C130" s="46">
        <f>-Long_tot</f>
        <v>-2052</v>
      </c>
      <c r="D130" s="46">
        <f>D129</f>
        <v>42</v>
      </c>
      <c r="E130" s="93">
        <f t="shared" si="0"/>
        <v>-42</v>
      </c>
      <c r="K130" s="46"/>
    </row>
    <row r="131" spans="2:11" x14ac:dyDescent="0.2">
      <c r="B131" s="45" t="s">
        <v>77</v>
      </c>
      <c r="C131" s="46">
        <f>-Long_tot</f>
        <v>-2052</v>
      </c>
      <c r="D131" s="46">
        <v>0</v>
      </c>
      <c r="E131" s="93">
        <f t="shared" si="0"/>
        <v>0</v>
      </c>
      <c r="K131" s="46"/>
    </row>
    <row r="132" spans="2:11" x14ac:dyDescent="0.2">
      <c r="B132" s="183" t="s">
        <v>78</v>
      </c>
      <c r="C132" s="197">
        <f>-X_ail+m_ail</f>
        <v>-1792</v>
      </c>
      <c r="D132" s="197">
        <f>D_ail/2</f>
        <v>52</v>
      </c>
      <c r="E132" s="198">
        <f t="shared" si="0"/>
        <v>-52</v>
      </c>
      <c r="K132" s="46"/>
    </row>
    <row r="133" spans="2:11" x14ac:dyDescent="0.2">
      <c r="B133" s="185" t="s">
        <v>79</v>
      </c>
      <c r="C133" s="46">
        <f>-X_ail+m_ail-p_ail</f>
        <v>-1982</v>
      </c>
      <c r="D133" s="46">
        <f>D_ail/2+E_ail</f>
        <v>197</v>
      </c>
      <c r="E133" s="199">
        <f t="shared" si="0"/>
        <v>-197</v>
      </c>
      <c r="K133" s="46"/>
    </row>
    <row r="134" spans="2:11" x14ac:dyDescent="0.2">
      <c r="B134" s="185" t="s">
        <v>80</v>
      </c>
      <c r="C134" s="46">
        <f>-X_ail+m_ail-p_ail-n_ail</f>
        <v>-2062</v>
      </c>
      <c r="D134" s="46">
        <f>D_ail/2+E_ail</f>
        <v>197</v>
      </c>
      <c r="E134" s="199">
        <f t="shared" si="0"/>
        <v>-197</v>
      </c>
      <c r="K134" s="46"/>
    </row>
    <row r="135" spans="2:11" x14ac:dyDescent="0.2">
      <c r="B135" s="185" t="s">
        <v>81</v>
      </c>
      <c r="C135" s="46">
        <f>-X_ail</f>
        <v>-2002</v>
      </c>
      <c r="D135" s="46">
        <f>D_ail/2</f>
        <v>52</v>
      </c>
      <c r="E135" s="199">
        <f t="shared" si="0"/>
        <v>-52</v>
      </c>
      <c r="K135" s="46"/>
    </row>
    <row r="136" spans="2:11" x14ac:dyDescent="0.2">
      <c r="B136" s="187" t="s">
        <v>78</v>
      </c>
      <c r="C136" s="200">
        <f>-X_ail+m_ail</f>
        <v>-1792</v>
      </c>
      <c r="D136" s="200">
        <f>D_ail/2</f>
        <v>52</v>
      </c>
      <c r="E136" s="201">
        <f t="shared" si="0"/>
        <v>-52</v>
      </c>
      <c r="K136" s="46"/>
    </row>
    <row r="137" spans="2:11" x14ac:dyDescent="0.2">
      <c r="B137" s="192" t="str">
        <f>IF(E_ail&gt;0,IF(Lang="Français","Envergure","Span"),"")</f>
        <v>Envergure</v>
      </c>
      <c r="C137" s="197">
        <f>MIN(-X_ail,-X_ail+m_ail-p_ail-n_ail)-Long_tot/30</f>
        <v>-2130.4</v>
      </c>
      <c r="D137" s="207">
        <f>-D_ail/2-E_ail</f>
        <v>-197</v>
      </c>
      <c r="E137" s="93"/>
      <c r="K137" s="46"/>
    </row>
    <row r="138" spans="2:11" x14ac:dyDescent="0.2">
      <c r="B138" s="195" t="s">
        <v>166</v>
      </c>
      <c r="C138" s="46">
        <f>MIN(-X_ail,-X_ail+m_ail-p_ail-n_ail)-Long_tot/30</f>
        <v>-2130.4</v>
      </c>
      <c r="D138" s="208">
        <f>-D_ail/2-E_ail/2</f>
        <v>-124.5</v>
      </c>
      <c r="E138" s="93"/>
      <c r="K138" s="46"/>
    </row>
    <row r="139" spans="2:11" x14ac:dyDescent="0.2">
      <c r="B139" s="212" t="s">
        <v>162</v>
      </c>
      <c r="C139" s="200">
        <f>MIN(-X_ail,-X_ail+m_ail-p_ail-n_ail)-Long_tot/30</f>
        <v>-2130.4</v>
      </c>
      <c r="D139" s="209">
        <f>-D_ail/2</f>
        <v>-52</v>
      </c>
      <c r="E139" s="93"/>
      <c r="K139" s="46"/>
    </row>
    <row r="140" spans="2:11" x14ac:dyDescent="0.2">
      <c r="B140" s="192" t="str">
        <f>IF(Lang="Français","Emplanture","Root edge")</f>
        <v>Emplanture</v>
      </c>
      <c r="C140" s="197">
        <f>-X_ail+m_ail</f>
        <v>-1792</v>
      </c>
      <c r="D140" s="207">
        <f>D_ail/2+E_ail+Long_tot/20</f>
        <v>299.60000000000002</v>
      </c>
      <c r="E140" s="93"/>
      <c r="K140" s="46"/>
    </row>
    <row r="141" spans="2:11" x14ac:dyDescent="0.2">
      <c r="B141" s="195" t="s">
        <v>168</v>
      </c>
      <c r="C141" s="46">
        <f>-X_ail+m_ail/2</f>
        <v>-1897</v>
      </c>
      <c r="D141" s="208">
        <f>D_ail/2+E_ail+Long_tot/20</f>
        <v>299.60000000000002</v>
      </c>
      <c r="E141" s="93"/>
      <c r="K141" s="46"/>
    </row>
    <row r="142" spans="2:11" x14ac:dyDescent="0.2">
      <c r="B142" s="212" t="s">
        <v>169</v>
      </c>
      <c r="C142" s="200">
        <f>-X_ail</f>
        <v>-2002</v>
      </c>
      <c r="D142" s="209">
        <f>D_ail/2+E_ail+Long_tot/20</f>
        <v>299.60000000000002</v>
      </c>
      <c r="E142" s="93"/>
      <c r="K142" s="46"/>
    </row>
    <row r="143" spans="2:11" x14ac:dyDescent="0.2">
      <c r="B143" s="192" t="str">
        <f>IF(p_ail&lt;&gt;0,IF(Lang="Français","Flèche","Offset"),"")</f>
        <v>Flèche</v>
      </c>
      <c r="C143" s="197">
        <f>-X_ail+m_ail</f>
        <v>-1792</v>
      </c>
      <c r="D143" s="207">
        <f>-D_ail/2-E_ail-Long_tot/30</f>
        <v>-265.39999999999998</v>
      </c>
      <c r="E143" s="93"/>
      <c r="K143" s="46"/>
    </row>
    <row r="144" spans="2:11" x14ac:dyDescent="0.2">
      <c r="B144" s="195" t="s">
        <v>165</v>
      </c>
      <c r="C144" s="46">
        <f>-X_ail+m_ail-p_ail/2</f>
        <v>-1887</v>
      </c>
      <c r="D144" s="208">
        <f>-D_ail/2-E_ail-Long_tot/30</f>
        <v>-265.39999999999998</v>
      </c>
      <c r="E144" s="93"/>
      <c r="K144" s="46"/>
    </row>
    <row r="145" spans="2:11" x14ac:dyDescent="0.2">
      <c r="B145" s="212" t="s">
        <v>163</v>
      </c>
      <c r="C145" s="200">
        <f>-X_ail+m_ail-p_ail</f>
        <v>-1982</v>
      </c>
      <c r="D145" s="209">
        <f>-D_ail/2-E_ail-Long_tot/30</f>
        <v>-265.39999999999998</v>
      </c>
      <c r="E145" s="93"/>
      <c r="K145" s="46"/>
    </row>
    <row r="146" spans="2:11" x14ac:dyDescent="0.2">
      <c r="B146" s="192" t="str">
        <f>IF(n_ail&gt;0,IF(Lang="Français","Saumon","Tip edge"),"")</f>
        <v>Saumon</v>
      </c>
      <c r="C146" s="197">
        <f>-X_ail+m_ail-p_ail</f>
        <v>-1982</v>
      </c>
      <c r="D146" s="207">
        <f>-D_ail/2-E_ail-Long_tot/20</f>
        <v>-299.60000000000002</v>
      </c>
      <c r="E146" s="93"/>
      <c r="K146" s="46"/>
    </row>
    <row r="147" spans="2:11" x14ac:dyDescent="0.2">
      <c r="B147" s="195" t="s">
        <v>167</v>
      </c>
      <c r="C147" s="46">
        <f>-X_ail+m_ail-p_ail-n_ail/2</f>
        <v>-2022</v>
      </c>
      <c r="D147" s="208">
        <f>-D_ail/2-E_ail-Long_tot/20</f>
        <v>-299.60000000000002</v>
      </c>
      <c r="E147" s="93"/>
      <c r="K147" s="46"/>
    </row>
    <row r="148" spans="2:11" x14ac:dyDescent="0.2">
      <c r="B148" s="212" t="s">
        <v>164</v>
      </c>
      <c r="C148" s="200">
        <f>-X_ail+m_ail-p_ail-n_ail</f>
        <v>-2062</v>
      </c>
      <c r="D148" s="209">
        <f>-D_ail/2-E_ail-Long_tot/20</f>
        <v>-299.60000000000002</v>
      </c>
      <c r="E148" s="93"/>
      <c r="K148" s="46"/>
    </row>
    <row r="149" spans="2:11" x14ac:dyDescent="0.2">
      <c r="B149" s="183" t="s">
        <v>82</v>
      </c>
      <c r="C149" s="197">
        <f ca="1">-XcgPlein</f>
        <v>-1227.9866530935417</v>
      </c>
      <c r="D149" s="207">
        <v>0</v>
      </c>
      <c r="E149" s="93"/>
      <c r="K149" s="46"/>
    </row>
    <row r="150" spans="2:11" x14ac:dyDescent="0.2">
      <c r="B150" s="187" t="s">
        <v>83</v>
      </c>
      <c r="C150" s="200">
        <f ca="1">-XcgVide</f>
        <v>-1149.6219262295081</v>
      </c>
      <c r="D150" s="209">
        <v>0</v>
      </c>
      <c r="E150" s="93"/>
      <c r="K150" s="46"/>
    </row>
    <row r="151" spans="2:11" x14ac:dyDescent="0.2">
      <c r="B151" s="183" t="s">
        <v>84</v>
      </c>
      <c r="C151" s="197">
        <f>-XCp</f>
        <v>-1418.9776711762208</v>
      </c>
      <c r="D151" s="207">
        <v>0</v>
      </c>
      <c r="E151" s="93"/>
      <c r="K151" s="46"/>
    </row>
    <row r="152" spans="2:11" x14ac:dyDescent="0.2">
      <c r="B152" s="187" t="s">
        <v>84</v>
      </c>
      <c r="C152" s="200">
        <f>-XCp</f>
        <v>-1418.9776711762208</v>
      </c>
      <c r="D152" s="209">
        <f>Cn*D_ref/CritCnmin</f>
        <v>188.86796465117698</v>
      </c>
      <c r="E152" s="93"/>
      <c r="K152" s="46"/>
    </row>
    <row r="153" spans="2:11" x14ac:dyDescent="0.2">
      <c r="B153" s="185" t="s">
        <v>422</v>
      </c>
      <c r="C153" s="46">
        <f>-XCp0</f>
        <v>-1418.9776711762208</v>
      </c>
      <c r="D153" s="208">
        <f>Cn0*D_ref/CritCnmin</f>
        <v>188.86796465117698</v>
      </c>
      <c r="E153" s="93"/>
      <c r="K153" s="46"/>
    </row>
    <row r="154" spans="2:11" x14ac:dyDescent="0.2">
      <c r="B154" s="185" t="s">
        <v>422</v>
      </c>
      <c r="C154" s="46">
        <f>-XCp0</f>
        <v>-1418.9776711762208</v>
      </c>
      <c r="D154" s="208">
        <v>0</v>
      </c>
      <c r="E154" s="93"/>
      <c r="K154" s="46"/>
    </row>
    <row r="155" spans="2:11" x14ac:dyDescent="0.2">
      <c r="B155" s="192" t="str">
        <f>IF(n_ail&gt;0,IF(Lang="Français","Marge Statique","Static Margin"),"")</f>
        <v>Marge Statique</v>
      </c>
      <c r="C155" s="197">
        <f ca="1">(-XcgPlein-XcgVide)/2</f>
        <v>-1188.8042896615248</v>
      </c>
      <c r="D155" s="207">
        <f>-D_ail/2-E_ail-Long_tot/20</f>
        <v>-299.60000000000002</v>
      </c>
      <c r="E155" s="93"/>
      <c r="K155" s="46"/>
    </row>
    <row r="156" spans="2:11" x14ac:dyDescent="0.2">
      <c r="B156" s="195" t="s">
        <v>170</v>
      </c>
      <c r="C156" s="46">
        <f ca="1">(C155+C157)/2</f>
        <v>-1303.8909804188729</v>
      </c>
      <c r="D156" s="208">
        <f>-D_ail/2-E_ail-Long_tot/20</f>
        <v>-299.60000000000002</v>
      </c>
      <c r="E156" s="93"/>
      <c r="K156" s="46"/>
    </row>
    <row r="157" spans="2:11" x14ac:dyDescent="0.2">
      <c r="B157" s="212" t="s">
        <v>171</v>
      </c>
      <c r="C157" s="200">
        <f>-XCp</f>
        <v>-1418.9776711762208</v>
      </c>
      <c r="D157" s="209">
        <f>-D_ail/2-E_ail-Long_tot/20</f>
        <v>-299.60000000000002</v>
      </c>
      <c r="E157" s="93"/>
      <c r="K157" s="46"/>
    </row>
    <row r="158" spans="2:11" x14ac:dyDescent="0.2">
      <c r="B158" s="183" t="s">
        <v>85</v>
      </c>
      <c r="C158" s="197">
        <f>IF(LEFT(Type_masquage,1)="M",0,-X_can+m_can)</f>
        <v>-762</v>
      </c>
      <c r="D158" s="197">
        <f>IF(LEFT(Type_masquage,1)="M",0,D_ail/2)</f>
        <v>52</v>
      </c>
      <c r="E158" s="198">
        <f t="shared" ref="E158:E167" si="1">-D158</f>
        <v>-52</v>
      </c>
      <c r="K158" s="46"/>
    </row>
    <row r="159" spans="2:11" x14ac:dyDescent="0.2">
      <c r="B159" s="185" t="s">
        <v>86</v>
      </c>
      <c r="C159" s="46">
        <f>IF(LEFT(Type_masquage,1)="M",0,-X_can+m_can-p_can)</f>
        <v>-882</v>
      </c>
      <c r="D159" s="46">
        <f>IF(LEFT(Type_masquage,1)="M",0,D_ail/2+E_can)</f>
        <v>157</v>
      </c>
      <c r="E159" s="199">
        <f t="shared" si="1"/>
        <v>-157</v>
      </c>
      <c r="K159" s="46"/>
    </row>
    <row r="160" spans="2:11" x14ac:dyDescent="0.2">
      <c r="B160" s="185" t="s">
        <v>87</v>
      </c>
      <c r="C160" s="46">
        <f>IF(LEFT(Type_masquage,1)="M",0,-X_can+m_can-p_can-n_can)</f>
        <v>-962</v>
      </c>
      <c r="D160" s="46">
        <f>IF(LEFT(Type_masquage,1)="M",0,D_ail/2+E_can)</f>
        <v>157</v>
      </c>
      <c r="E160" s="199">
        <f t="shared" si="1"/>
        <v>-157</v>
      </c>
      <c r="K160" s="46"/>
    </row>
    <row r="161" spans="2:11" x14ac:dyDescent="0.2">
      <c r="B161" s="185" t="s">
        <v>88</v>
      </c>
      <c r="C161" s="46">
        <f>IF(LEFT(Type_masquage,1)="M",0,-X_can)</f>
        <v>-932</v>
      </c>
      <c r="D161" s="46">
        <f>IF(LEFT(Type_masquage,1)="M",0,D_ail/2)</f>
        <v>52</v>
      </c>
      <c r="E161" s="199">
        <f t="shared" si="1"/>
        <v>-52</v>
      </c>
      <c r="K161" s="46"/>
    </row>
    <row r="162" spans="2:11" x14ac:dyDescent="0.2">
      <c r="B162" s="187" t="s">
        <v>85</v>
      </c>
      <c r="C162" s="200">
        <f>IF(LEFT(Type_masquage,1)="M",0,-X_can+m_can)</f>
        <v>-762</v>
      </c>
      <c r="D162" s="200">
        <f>IF(LEFT(Type_masquage,1)="M",0,D_ail/2)</f>
        <v>52</v>
      </c>
      <c r="E162" s="201">
        <f t="shared" si="1"/>
        <v>-52</v>
      </c>
      <c r="K162" s="46"/>
    </row>
    <row r="163" spans="2:11" x14ac:dyDescent="0.2">
      <c r="B163" s="183" t="s">
        <v>89</v>
      </c>
      <c r="C163" s="197">
        <f>IF(LEFT(Type_masquage,1)="B",-X_int+m_int,0)</f>
        <v>-1792</v>
      </c>
      <c r="D163" s="197">
        <f>IF(LEFT(Type_masquage,1)="B",D_int/2,0)</f>
        <v>52</v>
      </c>
      <c r="E163" s="198">
        <f t="shared" si="1"/>
        <v>-52</v>
      </c>
      <c r="K163" s="46"/>
    </row>
    <row r="164" spans="2:11" x14ac:dyDescent="0.2">
      <c r="B164" s="185" t="s">
        <v>90</v>
      </c>
      <c r="C164" s="46">
        <f>IF(LEFT(Type_masquage,1)="B",-X_int+m_int-p_int,0)</f>
        <v>-1792</v>
      </c>
      <c r="D164" s="46">
        <f>IF(LEFT(Type_masquage,1)="B",D_int/2+E_int,0)</f>
        <v>52</v>
      </c>
      <c r="E164" s="199">
        <f t="shared" si="1"/>
        <v>-52</v>
      </c>
      <c r="K164" s="46"/>
    </row>
    <row r="165" spans="2:11" x14ac:dyDescent="0.2">
      <c r="B165" s="185" t="s">
        <v>91</v>
      </c>
      <c r="C165" s="46">
        <f>IF(LEFT(Type_masquage,1)="B",-X_int+m_int-p_int-n_int,0)</f>
        <v>-2002</v>
      </c>
      <c r="D165" s="46">
        <f>IF(LEFT(Type_masquage,1)="B",D_int/2+E_int,0)</f>
        <v>52</v>
      </c>
      <c r="E165" s="199">
        <f t="shared" si="1"/>
        <v>-52</v>
      </c>
      <c r="K165" s="46"/>
    </row>
    <row r="166" spans="2:11" x14ac:dyDescent="0.2">
      <c r="B166" s="185" t="s">
        <v>92</v>
      </c>
      <c r="C166" s="46">
        <f>IF(LEFT(Type_masquage,1)="B",-X_int,0)</f>
        <v>-2002</v>
      </c>
      <c r="D166" s="46">
        <f>IF(LEFT(Type_masquage,1)="B",D_int/2,0)</f>
        <v>52</v>
      </c>
      <c r="E166" s="199">
        <f t="shared" si="1"/>
        <v>-52</v>
      </c>
      <c r="K166" s="46"/>
    </row>
    <row r="167" spans="2:11" x14ac:dyDescent="0.2">
      <c r="B167" s="187" t="s">
        <v>89</v>
      </c>
      <c r="C167" s="200">
        <f>IF(LEFT(Type_masquage,1)="B",-X_int+m_int,0)</f>
        <v>-1792</v>
      </c>
      <c r="D167" s="200">
        <f>IF(LEFT(Type_masquage,1)="B",D_int/2,0)</f>
        <v>52</v>
      </c>
      <c r="E167" s="201">
        <f t="shared" si="1"/>
        <v>-52</v>
      </c>
      <c r="K167" s="46"/>
    </row>
    <row r="168" spans="2:11" x14ac:dyDescent="0.2">
      <c r="B168" s="45" t="s">
        <v>93</v>
      </c>
      <c r="C168" s="46">
        <f>-MAX(Long_tot, X_ail-m_ail+p_ail+n_ail, (E_ail+D_ail/2)*3.2)*1.01</f>
        <v>-2082.62</v>
      </c>
      <c r="D168" s="46">
        <f>MAX(E_ail+D_ail/2, Long_tot/3)</f>
        <v>684</v>
      </c>
      <c r="E168" s="93"/>
      <c r="K168" s="46"/>
    </row>
    <row r="169" spans="2:11" x14ac:dyDescent="0.2">
      <c r="B169" s="45" t="s">
        <v>93</v>
      </c>
      <c r="C169" s="46">
        <f>C168</f>
        <v>-2082.62</v>
      </c>
      <c r="D169" s="46">
        <f>-D168</f>
        <v>-684</v>
      </c>
      <c r="E169" s="93"/>
      <c r="K169" s="46"/>
    </row>
    <row r="170" spans="2:11" x14ac:dyDescent="0.2">
      <c r="B170" s="183" t="s">
        <v>94</v>
      </c>
      <c r="C170" s="197">
        <f ca="1">-XpropuRef+Long_propu</f>
        <v>-1564</v>
      </c>
      <c r="D170" s="207">
        <f ca="1">-Diam_propu/2</f>
        <v>-27</v>
      </c>
      <c r="E170" s="93"/>
      <c r="K170" s="46"/>
    </row>
    <row r="171" spans="2:11" x14ac:dyDescent="0.2">
      <c r="B171" s="185" t="s">
        <v>95</v>
      </c>
      <c r="C171" s="46">
        <f ca="1">-XpropuRef+Long_propu</f>
        <v>-1564</v>
      </c>
      <c r="D171" s="208">
        <f ca="1">Diam_propu/2</f>
        <v>27</v>
      </c>
      <c r="E171" s="93"/>
      <c r="K171" s="46"/>
    </row>
    <row r="172" spans="2:11" x14ac:dyDescent="0.2">
      <c r="B172" s="185" t="s">
        <v>96</v>
      </c>
      <c r="C172" s="46">
        <f>-XpropuRef</f>
        <v>-2052</v>
      </c>
      <c r="D172" s="208">
        <f ca="1">Diam_propu/2</f>
        <v>27</v>
      </c>
      <c r="E172" s="93"/>
      <c r="K172" s="46"/>
    </row>
    <row r="173" spans="2:11" x14ac:dyDescent="0.2">
      <c r="B173" s="185" t="s">
        <v>97</v>
      </c>
      <c r="C173" s="46">
        <f>-XpropuRef</f>
        <v>-2052</v>
      </c>
      <c r="D173" s="208">
        <f ca="1">-Diam_propu/2</f>
        <v>-27</v>
      </c>
      <c r="E173" s="93"/>
      <c r="K173" s="46"/>
    </row>
    <row r="174" spans="2:11" x14ac:dyDescent="0.2">
      <c r="B174" s="187" t="s">
        <v>98</v>
      </c>
      <c r="C174" s="200">
        <f ca="1">-XpropuRef+Long_propu</f>
        <v>-1564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2.0246816059764923</v>
      </c>
      <c r="C190" s="203">
        <f>Cn</f>
        <v>30.03262911205999</v>
      </c>
      <c r="D190" s="185">
        <v>3</v>
      </c>
      <c r="E190" s="205">
        <f t="shared" si="4"/>
        <v>33.333333333333336</v>
      </c>
      <c r="K190" s="45"/>
    </row>
    <row r="191" spans="2:11" x14ac:dyDescent="0.2">
      <c r="B191" s="512">
        <f ca="1">(XCp0-XcgPlein)/D_ref</f>
        <v>2.0246816059764923</v>
      </c>
      <c r="C191" s="513">
        <f>Cn0</f>
        <v>30.03262911205999</v>
      </c>
      <c r="D191" s="185">
        <v>4</v>
      </c>
      <c r="E191" s="205">
        <f t="shared" si="4"/>
        <v>25</v>
      </c>
      <c r="K191" s="45"/>
    </row>
    <row r="192" spans="2:11" x14ac:dyDescent="0.2">
      <c r="B192" s="512">
        <f ca="1">(XCp0-XcgVide)/D_ref</f>
        <v>2.8554202586721704</v>
      </c>
      <c r="C192" s="513">
        <f>Cn0</f>
        <v>30.03262911205999</v>
      </c>
      <c r="D192" s="185">
        <v>6</v>
      </c>
      <c r="E192" s="205">
        <f t="shared" si="4"/>
        <v>16.666666666666668</v>
      </c>
      <c r="K192" s="45"/>
    </row>
    <row r="193" spans="2:11" x14ac:dyDescent="0.2">
      <c r="B193" s="512">
        <f ca="1">(XCp-XcgVide)/D_ref</f>
        <v>2.8554202586721704</v>
      </c>
      <c r="C193" s="513">
        <f>Cn</f>
        <v>30.03262911205999</v>
      </c>
      <c r="D193" s="187">
        <v>7</v>
      </c>
      <c r="E193" s="206">
        <f t="shared" si="4"/>
        <v>14.285714285714286</v>
      </c>
      <c r="K193" s="45"/>
    </row>
    <row r="194" spans="2:11" x14ac:dyDescent="0.2">
      <c r="B194" s="512">
        <f ca="1">MS_min</f>
        <v>2.0246816059764923</v>
      </c>
      <c r="C194" s="514">
        <f>Cn</f>
        <v>30.03262911205999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C21" sqref="C21:D21"/>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76" t="s">
        <v>0</v>
      </c>
      <c r="D2" s="576"/>
      <c r="F2" s="3"/>
      <c r="J2" s="4"/>
      <c r="N2" s="57"/>
    </row>
    <row r="3" spans="1:14" ht="12.75" customHeight="1" x14ac:dyDescent="0.2">
      <c r="A3" s="56"/>
      <c r="B3" s="2"/>
      <c r="C3" s="576"/>
      <c r="D3" s="576"/>
      <c r="H3" s="5"/>
      <c r="J3" s="4"/>
      <c r="N3" s="57"/>
    </row>
    <row r="4" spans="1:14" ht="12.75" customHeight="1" x14ac:dyDescent="0.2">
      <c r="A4" s="56"/>
      <c r="B4" s="2"/>
      <c r="C4" s="580" t="str">
        <f>IF(Lang="Français","Trajectographie de fusée",IF(Lang="English","Rocket Trajectography",""))</f>
        <v>Trajectographie de fusée</v>
      </c>
      <c r="D4" s="580"/>
      <c r="H4" s="5"/>
      <c r="J4" s="4"/>
      <c r="N4" s="57"/>
    </row>
    <row r="5" spans="1:14" ht="12.75" customHeight="1" x14ac:dyDescent="0.2">
      <c r="A5" s="56"/>
      <c r="B5" s="2"/>
      <c r="C5" s="575"/>
      <c r="D5" s="575"/>
      <c r="J5" s="4"/>
      <c r="N5" s="57"/>
    </row>
    <row r="6" spans="1:14" ht="12.95" customHeight="1" x14ac:dyDescent="0.2">
      <c r="A6" s="56"/>
      <c r="B6" s="87"/>
      <c r="C6" s="579" t="str">
        <f>IF(Lang="Français","Remplir les cases jaunes",IF(Lang="English","Fill-in yellow cells only",""))</f>
        <v>Remplir les cases jaunes</v>
      </c>
      <c r="D6" s="579"/>
      <c r="J6" s="4"/>
      <c r="N6" s="57"/>
    </row>
    <row r="7" spans="1:14" x14ac:dyDescent="0.2">
      <c r="A7" s="56"/>
      <c r="B7" s="6"/>
      <c r="C7" s="556" t="str">
        <f>IF(Lang="Français","Fusée",IF(Lang="English","Rocket",""))</f>
        <v>Fusée</v>
      </c>
      <c r="D7" s="556"/>
      <c r="N7" s="58"/>
    </row>
    <row r="8" spans="1:14" ht="12.75" customHeight="1" x14ac:dyDescent="0.25">
      <c r="A8" s="56"/>
      <c r="B8" s="140" t="str">
        <f>IF(Lang="Français","Nom",IF(Lang="English","Name",""))</f>
        <v>Nom</v>
      </c>
      <c r="C8" s="577" t="str">
        <f>Nom</f>
        <v>SP02</v>
      </c>
      <c r="D8" s="577"/>
      <c r="E8" s="5"/>
      <c r="F8" s="5"/>
      <c r="J8" s="4"/>
      <c r="N8" s="57"/>
    </row>
    <row r="9" spans="1:14" ht="12.75" customHeight="1" x14ac:dyDescent="0.25">
      <c r="A9" s="59"/>
      <c r="B9" s="140" t="s">
        <v>4</v>
      </c>
      <c r="C9" s="578" t="str">
        <f>Club</f>
        <v>L'AéroIPSA</v>
      </c>
      <c r="D9" s="578"/>
      <c r="F9" s="5"/>
      <c r="N9" s="58"/>
    </row>
    <row r="10" spans="1:14" ht="12.75" customHeight="1" x14ac:dyDescent="0.25">
      <c r="A10" s="59"/>
      <c r="B10" s="141" t="s">
        <v>563</v>
      </c>
      <c r="C10" s="574" t="str">
        <f>Matricule</f>
        <v>FX0</v>
      </c>
      <c r="D10" s="574"/>
      <c r="F10" s="5"/>
      <c r="N10" s="58"/>
    </row>
    <row r="11" spans="1:14" ht="12.75" customHeight="1" x14ac:dyDescent="0.2">
      <c r="A11" s="59"/>
      <c r="B11" s="140" t="str">
        <f>IF(Lang="Français","Masse totale",IF(Lang="English","Total Mass",""))</f>
        <v>Masse totale</v>
      </c>
      <c r="C11" s="551">
        <f ca="1">MassePlein</f>
        <v>8.8409999999999993</v>
      </c>
      <c r="D11" s="551"/>
      <c r="F11" s="5"/>
      <c r="N11" s="58"/>
    </row>
    <row r="12" spans="1:14" ht="12.75" customHeight="1" x14ac:dyDescent="0.2">
      <c r="A12" s="59"/>
      <c r="B12" s="227" t="str">
        <f>IF(Lang="Français","Propulseur",IF(Lang="English","Motor",""))</f>
        <v>Propulseur</v>
      </c>
      <c r="C12" s="554" t="str">
        <f>Propu</f>
        <v>Barasinga (Pro54-5G C)</v>
      </c>
      <c r="D12" s="555"/>
      <c r="F12" s="5"/>
      <c r="N12" s="58"/>
    </row>
    <row r="13" spans="1:14" ht="12.75" customHeight="1" x14ac:dyDescent="0.2">
      <c r="A13" s="59"/>
      <c r="N13" s="58"/>
    </row>
    <row r="14" spans="1:14" ht="12.75" customHeight="1" x14ac:dyDescent="0.2">
      <c r="A14" s="59"/>
      <c r="B14"/>
      <c r="C14" s="556" t="str">
        <f>IF(Lang="Français","Traînée Aérdynamique",IF(Lang="English","Drag",""))</f>
        <v>Traînée Aérdynamique</v>
      </c>
      <c r="D14" s="556"/>
      <c r="N14" s="58"/>
    </row>
    <row r="15" spans="1:14" ht="12.75" customHeight="1" x14ac:dyDescent="0.2">
      <c r="A15" s="59"/>
      <c r="B15" s="140" t="s">
        <v>40</v>
      </c>
      <c r="C15" s="557">
        <f>(PI()*D_ref^2/4+E_ail*ep_ail*Q_ail)/10^6</f>
        <v>9.3087948792451754E-3</v>
      </c>
      <c r="D15" s="557"/>
      <c r="N15" s="58"/>
    </row>
    <row r="16" spans="1:14" ht="12.75" customHeight="1" x14ac:dyDescent="0.2">
      <c r="A16" s="59"/>
      <c r="B16" s="141" t="s">
        <v>5</v>
      </c>
      <c r="C16" s="549">
        <v>0.7</v>
      </c>
      <c r="D16" s="550"/>
      <c r="N16" s="58"/>
    </row>
    <row r="17" spans="1:18" ht="12.75" customHeight="1" x14ac:dyDescent="0.2">
      <c r="A17" s="59"/>
      <c r="N17" s="58"/>
    </row>
    <row r="18" spans="1:18" ht="12.75" customHeight="1" x14ac:dyDescent="0.2">
      <c r="A18" s="59"/>
      <c r="B18"/>
      <c r="C18" s="556" t="str">
        <f>IF(Lang="Français","Rampe de Lancement",IF(Lang="English","Launch Pad",""))</f>
        <v>Rampe de Lancement</v>
      </c>
      <c r="D18" s="556"/>
      <c r="N18" s="58"/>
    </row>
    <row r="19" spans="1:18" ht="12.75" customHeight="1" x14ac:dyDescent="0.2">
      <c r="A19" s="59"/>
      <c r="B19" s="140" t="str">
        <f>IF(Lang="Français","Longueur",IF(Lang="English","Length",""))</f>
        <v>Longueur</v>
      </c>
      <c r="C19" s="553">
        <f>IF(RIGHT(Type_fusee,1)=".",4, IF(LEFT(Type_fusee,4)="Mini",2.5, IF(LEFT(Type_fusee,5)="Micro",1, IF(RIGHT(Type_fusee,1)=" ",0.1,IF(LEFT(Type_fusee,1)="R",3, 2.5)))))</f>
        <v>4</v>
      </c>
      <c r="D19" s="553"/>
      <c r="N19" s="58"/>
    </row>
    <row r="20" spans="1:18" ht="12.75" customHeight="1" x14ac:dyDescent="0.2">
      <c r="A20" s="59"/>
      <c r="B20" s="140" t="str">
        <f>IF(Lang="Français","Élévation",IF(Lang="English","Angle /horizon",""))</f>
        <v>Élévation</v>
      </c>
      <c r="C20" s="552">
        <v>80</v>
      </c>
      <c r="D20" s="552"/>
      <c r="N20" s="58"/>
    </row>
    <row r="21" spans="1:18" ht="12.75" customHeight="1" x14ac:dyDescent="0.2">
      <c r="A21" s="59"/>
      <c r="B21" s="140" t="s">
        <v>6</v>
      </c>
      <c r="C21" s="553">
        <v>0</v>
      </c>
      <c r="D21" s="553"/>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558" t="str">
        <f>IF(Lang="Français","DescenteSousParachute",IF(Lang="English","Over Parachute",""))</f>
        <v>DescenteSousParachute</v>
      </c>
      <c r="D23" s="559"/>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560" t="str">
        <f>IF(Lang="Français","Sortie de Rampe",IF(Lang="English","Launch-Pad Exit",""))</f>
        <v>Sortie de Rampe</v>
      </c>
      <c r="G24" s="561"/>
      <c r="H24" s="491"/>
      <c r="I24" s="491"/>
      <c r="J24" s="491"/>
      <c r="K24" s="492">
        <f ca="1">INDEX(vit_xz,MATCH("Sortie de rampe",Event,0))</f>
        <v>26.025005554205222</v>
      </c>
      <c r="L24" s="493"/>
      <c r="M24" s="500"/>
      <c r="N24" s="58"/>
    </row>
    <row r="25" spans="1:18" x14ac:dyDescent="0.2">
      <c r="A25" s="59"/>
      <c r="B25" s="466" t="str">
        <f>IF(Lang="Français","Masse",IF(Lang="English","Mass",""))</f>
        <v>Masse</v>
      </c>
      <c r="C25" s="467">
        <f ca="1">IF(Nb_sat="0 satellite",MasseVide,MasseVide-m_satellite)</f>
        <v>6.8079999999999998</v>
      </c>
      <c r="D25" s="480">
        <f>IF(RIGHT(Type_fusee,1)=".",1,0.15)</f>
        <v>1</v>
      </c>
      <c r="F25" s="563" t="str">
        <f>IF(Lang="Français","Vit max &amp; Acc max",IF(Lang="English","Max Velocity &amp; Acc",""))</f>
        <v>Vit max &amp; Acc max</v>
      </c>
      <c r="G25" s="543"/>
      <c r="H25" s="115"/>
      <c r="I25" s="115"/>
      <c r="J25" s="115"/>
      <c r="K25" s="158">
        <f ca="1">MAX(vit_xz)</f>
        <v>186.97416251772825</v>
      </c>
      <c r="L25" s="494">
        <f ca="1">MAX(acc_xz)</f>
        <v>91.403675051839869</v>
      </c>
      <c r="M25" s="500"/>
      <c r="N25" s="58"/>
    </row>
    <row r="26" spans="1:18" x14ac:dyDescent="0.2">
      <c r="A26" s="59"/>
      <c r="B26" s="469" t="str">
        <f>IF(Lang="Français","Dépotage",IF(Lang="English","Delay",""))</f>
        <v>Dépotage</v>
      </c>
      <c r="C26" s="505" t="s">
        <v>407</v>
      </c>
      <c r="D26" s="535"/>
      <c r="F26" s="564" t="str">
        <f>IF(Lang="Français","Largage du satellite",IF(Lang="English","Satellite separation",""))</f>
        <v>Largage du satellite</v>
      </c>
      <c r="G26" s="545"/>
      <c r="H26" s="152">
        <f>IF(T_satellite&lt;&gt;0,T_satellite,"")</f>
        <v>4.5999999999999996</v>
      </c>
      <c r="I26" s="156">
        <f ca="1">IF(T_satellite&lt;&gt;0,INDEX(pos_z,MATCH("Satellite",Event_sat,0)),"")</f>
        <v>586.92645336295391</v>
      </c>
      <c r="J26" s="154">
        <f ca="1">IF(T_satellite&lt;&gt;0,INDEX(pos_x,MATCH("Satellite",Event_sat,0)),"")</f>
        <v>135.21693916290926</v>
      </c>
      <c r="K26" s="159">
        <f ca="1">IF(T_satellite&lt;&gt;0,INDEX(vit_xz,MATCH("Satellite",Event_sat,0)),"")</f>
        <v>158.25107369680703</v>
      </c>
      <c r="L26" s="495"/>
      <c r="M26" s="485">
        <f ca="1">1/2*Rho_moyen*1*V_ouv_sat^2*S_satellite</f>
        <v>1533.9083924792753</v>
      </c>
      <c r="N26" s="58"/>
    </row>
    <row r="27" spans="1:18" x14ac:dyDescent="0.2">
      <c r="A27" s="59"/>
      <c r="B27" s="468" t="str">
        <f>IF(Lang="Français","Ouverture para",IF(Lang="English","Opening time",""))</f>
        <v>Ouverture para</v>
      </c>
      <c r="C27" s="507">
        <v>15.6</v>
      </c>
      <c r="D27" s="507">
        <v>4.5999999999999996</v>
      </c>
      <c r="F27" s="563" t="s">
        <v>15</v>
      </c>
      <c r="G27" s="543"/>
      <c r="H27" s="153">
        <f ca="1">INDEX(t,MATCH("Apogée",Event,0))</f>
        <v>16.39999999999992</v>
      </c>
      <c r="I27" s="157">
        <f ca="1">INDEX(pos_z,MATCH("Apogée",Event,0))</f>
        <v>1373.1093346555149</v>
      </c>
      <c r="J27" s="155">
        <f ca="1">INDEX(pos_x,MATCH("Apogée",Event,0))</f>
        <v>492.21868349096553</v>
      </c>
      <c r="K27" s="160">
        <f ca="1">INDEX(vit_xz,MATCH("Apogée",Event,0))</f>
        <v>25.995258949874362</v>
      </c>
      <c r="L27" s="496"/>
      <c r="M27" s="500"/>
      <c r="N27" s="58"/>
    </row>
    <row r="28" spans="1:18" x14ac:dyDescent="0.2">
      <c r="A28" s="59"/>
      <c r="B28" s="534" t="s">
        <v>558</v>
      </c>
      <c r="C28" s="507" t="s">
        <v>560</v>
      </c>
      <c r="D28" s="507"/>
      <c r="F28" s="562" t="str">
        <f>IF(Lang="Français","Ouverture parachute fusée",IF(Lang="English","Rocket parachute opening",""))</f>
        <v>Ouverture parachute fusée</v>
      </c>
      <c r="G28" s="548"/>
      <c r="H28" s="152">
        <f>T_para</f>
        <v>15.6</v>
      </c>
      <c r="I28" s="156">
        <f ca="1">INDEX(pos_z,MATCH("Para",Event_para,0))</f>
        <v>1369.8592967280126</v>
      </c>
      <c r="J28" s="486">
        <f ca="1">INDEX(pos_x,MATCH("Para",Event_para,0))</f>
        <v>471.32465865712339</v>
      </c>
      <c r="K28" s="159">
        <f ca="1">INDEX(vit_xz,MATCH("Para",Event_para,0))</f>
        <v>27.439518447810151</v>
      </c>
      <c r="L28" s="495"/>
      <c r="M28" s="485">
        <f ca="1">1/2*Rho_moyen*1*V_ouverture^2*S_para</f>
        <v>236.11796134232301</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0.51200000000000001</v>
      </c>
      <c r="D29" s="17">
        <f>IF(RIGHT(Type_fusee,1)=".",0.1,0.02)</f>
        <v>0.1</v>
      </c>
      <c r="F29" s="567" t="str">
        <f>IF(Lang="Français","Impact balistique",IF(Lang="English","Balistic Impact",""))</f>
        <v>Impact balistique</v>
      </c>
      <c r="G29" s="568"/>
      <c r="H29" s="497">
        <f ca="1">INDEX(t,MATCH("Impact balistique",Event,0))</f>
        <v>35.100000000000186</v>
      </c>
      <c r="I29" s="517" t="s">
        <v>428</v>
      </c>
      <c r="J29" s="487">
        <f ca="1">INDEX(pos_x,MATCH("Impact balistique",Event,0))</f>
        <v>874.13727041639572</v>
      </c>
      <c r="K29" s="501">
        <f ca="1">K47</f>
        <v>122.0551551556873</v>
      </c>
      <c r="L29" s="498"/>
      <c r="M29" s="502">
        <f ca="1">0.5*m_vide*K29^2</f>
        <v>50710.956903868573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14.59339206068057</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93.868463961772619</v>
      </c>
      <c r="D33" s="132">
        <f ca="1">IF(V_satellite&lt;&gt;0,Alt_sat/V_satellite,0)</f>
        <v>46.376954612324482</v>
      </c>
      <c r="H33" s="569" t="str">
        <f>IF(Lang="Français","Pour localiser la fusée","To locate the rocket")</f>
        <v>Pour localiser la fusée</v>
      </c>
      <c r="I33" s="569"/>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109.46846396177261</v>
      </c>
      <c r="D34" s="132">
        <f ca="1">T_satellite+Dt_satellite</f>
        <v>50.976954612324484</v>
      </c>
      <c r="F34" s="569" t="str">
        <f>IF(Lang="Français","Couleur fuselage/coiffe","Body/Nose color")</f>
        <v>Couleur fuselage/coiffe</v>
      </c>
      <c r="G34" s="569"/>
      <c r="H34" s="565" t="s">
        <v>266</v>
      </c>
      <c r="I34" s="566"/>
      <c r="J34" s="1"/>
      <c r="K34" s="1"/>
      <c r="L34" s="1"/>
      <c r="M34" s="1"/>
      <c r="N34" s="394"/>
    </row>
    <row r="35" spans="1:16" x14ac:dyDescent="0.2">
      <c r="A35" s="74"/>
      <c r="B35" s="133" t="str">
        <f>IF(Lang="Français","Déport latéral",IF(Lang="English","Lateral shift",""))</f>
        <v>Déport latéral</v>
      </c>
      <c r="C35" s="151">
        <f ca="1">Alt_para*V_vent/V_para</f>
        <v>469.34231980886307</v>
      </c>
      <c r="D35" s="151">
        <f ca="1">IF(V_satellite&lt;&gt;0,Alt_sat*V_vent_sat/V_satellite,0)</f>
        <v>231.88477306162244</v>
      </c>
      <c r="F35" s="569" t="str">
        <f>IF(Lang="Français","Couleur parachute fusée","Rocket parachute color")</f>
        <v>Couleur parachute fusée</v>
      </c>
      <c r="G35" s="569"/>
      <c r="H35" s="565" t="s">
        <v>267</v>
      </c>
      <c r="I35" s="566"/>
      <c r="J35"/>
      <c r="K35"/>
      <c r="L35"/>
      <c r="M35"/>
      <c r="N35" s="394" t="str">
        <f>IF(Lang="Français","fichier initial","Initial file")</f>
        <v>fichier initial</v>
      </c>
      <c r="P35"/>
    </row>
    <row r="36" spans="1:16" x14ac:dyDescent="0.2">
      <c r="A36" s="59"/>
      <c r="F36" s="569" t="str">
        <f>IF(Lang="Français","Couleur parachute satellite","Satellite parachute color")</f>
        <v>Couleur parachute satellite</v>
      </c>
      <c r="G36" s="569"/>
      <c r="H36" s="573" t="s">
        <v>158</v>
      </c>
      <c r="I36" s="573"/>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570" t="str">
        <f>IF(Lang="Français","Calcul de la surface d'un parachute","Parachute surface calculation")</f>
        <v>Calcul de la surface d'un parachute</v>
      </c>
      <c r="B40" s="571"/>
      <c r="C40" s="571"/>
      <c r="D40" s="572"/>
      <c r="F40" s="570" t="str">
        <f>IF(Lang="Français","Résultats détaillés","Detailled results")</f>
        <v>Résultats détaillés</v>
      </c>
      <c r="G40" s="572"/>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42" t="str">
        <f>IF(Lang="Français","Décollage",IF(Lang="English","Lift-Off",""))</f>
        <v>Décollage</v>
      </c>
      <c r="G42" s="542"/>
      <c r="H42" s="150">
        <v>0</v>
      </c>
      <c r="I42" s="150">
        <v>0</v>
      </c>
      <c r="J42" s="150">
        <v>0</v>
      </c>
      <c r="K42" s="150">
        <v>0</v>
      </c>
      <c r="L42" s="148" t="s">
        <v>14</v>
      </c>
      <c r="M42" s="149">
        <f>Beta_rampe</f>
        <v>80</v>
      </c>
    </row>
    <row r="43" spans="1:16" x14ac:dyDescent="0.2">
      <c r="A43" s="161"/>
      <c r="B43" s="166" t="str">
        <f>IF(Lang="Français","Bord   'a'","Side length 'a'")</f>
        <v>Bord   'a'</v>
      </c>
      <c r="D43" s="162"/>
      <c r="F43" s="543" t="str">
        <f>IF(Lang="Français","Sortie de Rampe",IF(Lang="English","Launch-Pad Exit",""))</f>
        <v>Sortie de Rampe</v>
      </c>
      <c r="G43" s="543"/>
      <c r="H43" s="115">
        <f ca="1">INDEX(t,MATCH("Sortie de rampe",Event,0))</f>
        <v>0.32000000000000012</v>
      </c>
      <c r="I43" s="115">
        <f ca="1">INDEX(pos_z,MATCH("Sortie de rampe",Event,0))</f>
        <v>3.7949492339490831</v>
      </c>
      <c r="J43" s="115">
        <f ca="1">INDEX(pos_x,MATCH("Sortie de rampe",Event,0))</f>
        <v>0.66911417641165283</v>
      </c>
      <c r="K43" s="116">
        <f ca="1">INDEX(vit_xz,MATCH("Sortie de rampe",Event,0))</f>
        <v>26.025005554205222</v>
      </c>
      <c r="L43" s="116">
        <f ca="1">INDEX(acc_xz,MATCH("Sortie de rampe",Event,0))</f>
        <v>86.122594172835434</v>
      </c>
      <c r="M43" s="116">
        <f ca="1">INDEX(BetaD,MATCH("Sortie de rampe",Event,0))</f>
        <v>80</v>
      </c>
    </row>
    <row r="44" spans="1:16" x14ac:dyDescent="0.2">
      <c r="A44" s="161"/>
      <c r="B44" s="167">
        <v>320</v>
      </c>
      <c r="D44" s="162"/>
      <c r="F44" s="543" t="str">
        <f>IF(Lang="Français","Vit max &amp; Acc max",IF(Lang="English","Max Velocity &amp; Acc",""))</f>
        <v>Vit max &amp; Acc max</v>
      </c>
      <c r="G44" s="543"/>
      <c r="H44" s="115" t="s">
        <v>14</v>
      </c>
      <c r="I44" s="115" t="s">
        <v>14</v>
      </c>
      <c r="J44" s="115" t="s">
        <v>14</v>
      </c>
      <c r="K44" s="117">
        <f ca="1">MAX(vit_xz)</f>
        <v>186.97416251772825</v>
      </c>
      <c r="L44" s="118">
        <f ca="1">MAX(acc_xz)</f>
        <v>91.403675051839869</v>
      </c>
      <c r="M44" s="116" t="s">
        <v>14</v>
      </c>
    </row>
    <row r="45" spans="1:16" x14ac:dyDescent="0.2">
      <c r="A45" s="161"/>
      <c r="B45" s="166" t="str">
        <f>IF(Lang="Français","Coté   'b'","Side width 'b'")</f>
        <v>Coté   'b'</v>
      </c>
      <c r="D45" s="162"/>
      <c r="F45" s="543" t="str">
        <f>IF(Lang="Français","Fin de Propulsion",IF(Lang="English","Motor Burn-Out",""))</f>
        <v>Fin de Propulsion</v>
      </c>
      <c r="G45" s="543"/>
      <c r="H45" s="116">
        <f ca="1">INDEX(t,MATCH("Fin de propulsion",Event,0))</f>
        <v>3.5999999999999672</v>
      </c>
      <c r="I45" s="119">
        <f ca="1">INDEX(pos_z,MATCH("Fin de propulsion",Event,0))</f>
        <v>422.19967908808195</v>
      </c>
      <c r="J45" s="119">
        <f ca="1">INDEX(pos_x,MATCH("Fin de propulsion",Event,0))</f>
        <v>94.179945885626651</v>
      </c>
      <c r="K45" s="119">
        <f ca="1">INDEX(vit_xz,MATCH("Fin de propulsion",Event,0))</f>
        <v>181.92718170376065</v>
      </c>
      <c r="L45" s="116">
        <f ca="1">INDEX(acc_xz,MATCH("Fin de propulsion",Event,0))</f>
        <v>25.905347274412915</v>
      </c>
      <c r="M45" s="116">
        <f ca="1">INDEX(BetaD,MATCH("Fin de propulsion",Event,0))</f>
        <v>76.39074130058205</v>
      </c>
    </row>
    <row r="46" spans="1:16" x14ac:dyDescent="0.2">
      <c r="A46" s="161"/>
      <c r="B46" s="168">
        <v>320</v>
      </c>
      <c r="D46" s="162"/>
      <c r="F46" s="543" t="s">
        <v>15</v>
      </c>
      <c r="G46" s="543"/>
      <c r="H46" s="118">
        <f ca="1">INDEX(t,MATCH("Apogée",Event,0))</f>
        <v>16.39999999999992</v>
      </c>
      <c r="I46" s="117">
        <f ca="1">INDEX(pos_z,MATCH("Apogée",Event,0))</f>
        <v>1373.1093346555149</v>
      </c>
      <c r="J46" s="120">
        <f ca="1">INDEX(pos_x,MATCH("Apogée",Event,0))</f>
        <v>492.21868349096553</v>
      </c>
      <c r="K46" s="120">
        <f ca="1">INDEX(vit_xz,MATCH("Apogée",Event,0))</f>
        <v>25.995258949874362</v>
      </c>
      <c r="L46" s="116">
        <f ca="1">INDEX(acc_xz,MATCH("Apogée",Event,0))</f>
        <v>9.8274689182146613</v>
      </c>
      <c r="M46" s="121">
        <f ca="1">INDEX(BetaD,MATCH("Apogée",Event,0))</f>
        <v>0.27138034774589542</v>
      </c>
    </row>
    <row r="47" spans="1:16" x14ac:dyDescent="0.2">
      <c r="A47" s="161"/>
      <c r="B47" s="169" t="s">
        <v>9</v>
      </c>
      <c r="D47" s="162"/>
      <c r="F47" s="546" t="str">
        <f>IF(Lang="Français","Impact balistique",IF(Lang="English","Balistic Impact",""))</f>
        <v>Impact balistique</v>
      </c>
      <c r="G47" s="546"/>
      <c r="H47" s="116">
        <f ca="1">INDEX(t,MATCH("Impact balistique",Event,0))</f>
        <v>35.100000000000186</v>
      </c>
      <c r="I47" s="148" t="s">
        <v>16</v>
      </c>
      <c r="J47" s="117">
        <f ca="1">INDEX(pos_x,MATCH("Impact balistique",Event,0))</f>
        <v>874.13727041639572</v>
      </c>
      <c r="K47" s="119">
        <f ca="1">INDEX(vit_xz,MATCH("Impact balistique",Event,0))</f>
        <v>122.0551551556873</v>
      </c>
      <c r="L47" s="116">
        <f ca="1">INDEX(acc_xz,MATCH("Impact balistique",Event,0))</f>
        <v>2.4118060643750683</v>
      </c>
      <c r="M47" s="116">
        <f ca="1">INDEX(BetaD,MATCH("Impact balistique",Event,0))</f>
        <v>-83.921085149886977</v>
      </c>
    </row>
    <row r="48" spans="1:16" x14ac:dyDescent="0.2">
      <c r="A48" s="161"/>
      <c r="B48" s="174">
        <f>(4*B44*B46+B44^2)/10^6</f>
        <v>0.51200000000000001</v>
      </c>
      <c r="D48" s="162"/>
      <c r="F48" s="548" t="str">
        <f>IF(Lang="Français","Ouverture parachute fusée",IF(Lang="English","Rocket parachute opening",""))</f>
        <v>Ouverture parachute fusée</v>
      </c>
      <c r="G48" s="548"/>
      <c r="H48" s="122">
        <f>T_para</f>
        <v>15.6</v>
      </c>
      <c r="I48" s="123">
        <f ca="1">INDEX(pos_z,MATCH("Para",Event_para,0))</f>
        <v>1369.8592967280126</v>
      </c>
      <c r="J48" s="123">
        <f ca="1">INDEX(pos_x,MATCH("Para",Event_para,0))</f>
        <v>471.32465865712339</v>
      </c>
      <c r="K48" s="123">
        <f ca="1">INDEX(vit_xz,MATCH("Para",Event_para,0))</f>
        <v>27.439518447810151</v>
      </c>
      <c r="L48" s="122">
        <f ca="1">INDEX(acc_xz,MATCH("Para",Event_para,0))</f>
        <v>9.9268258470539603</v>
      </c>
      <c r="M48" s="124">
        <f ca="1">INDEX(BetaD,MATCH("Para",Event_para,0))</f>
        <v>16.982930651523287</v>
      </c>
    </row>
    <row r="49" spans="1:13" x14ac:dyDescent="0.2">
      <c r="A49" s="161"/>
      <c r="D49" s="162"/>
      <c r="F49" s="547" t="str">
        <f>IF(Lang="Français","Impact fusée sous para.",IF(Lang="English","Impact of rocket with para. ",""))</f>
        <v>Impact fusée sous para.</v>
      </c>
      <c r="G49" s="547"/>
      <c r="H49" s="125">
        <f ca="1">T_para+Dt_para</f>
        <v>109.46846396177261</v>
      </c>
      <c r="I49" s="127" t="s">
        <v>16</v>
      </c>
      <c r="J49" s="126" t="str">
        <f ca="1">CONCATENATE(TEXT(X_para-Dx_para,"0")," | ",TEXT(X_para+Dx_para,"0"))</f>
        <v>2 | 941</v>
      </c>
      <c r="K49" s="126">
        <f ca="1">V_para</f>
        <v>14.59339206068057</v>
      </c>
      <c r="L49" s="128">
        <f>g</f>
        <v>9.81</v>
      </c>
      <c r="M49" s="128" t="s">
        <v>14</v>
      </c>
    </row>
    <row r="50" spans="1:13" x14ac:dyDescent="0.2">
      <c r="A50" s="161"/>
      <c r="D50" s="162"/>
      <c r="F50" s="544" t="str">
        <f>IF(Lang="Français","Largage du satellite",IF(Lang="English","Satellite separation",""))</f>
        <v>Largage du satellite</v>
      </c>
      <c r="G50" s="545"/>
      <c r="H50" s="122">
        <f>IF(T_satellite&lt;&gt;0,T_satellite,"")</f>
        <v>4.5999999999999996</v>
      </c>
      <c r="I50" s="123">
        <f ca="1">IF(T_satellite&lt;&gt;0,INDEX(pos_z,MATCH("Satellite",Event_sat,0)),"")</f>
        <v>586.92645336295391</v>
      </c>
      <c r="J50" s="129">
        <f ca="1">IF(T_satellite&lt;&gt;0,INDEX(pos_x,MATCH("Satellite",Event_sat,0)),"")</f>
        <v>135.21693916290926</v>
      </c>
      <c r="K50" s="123">
        <f ca="1">IF(T_satellite&lt;&gt;0,INDEX(vit_xz,MATCH("Satellite",Event_sat,0)),"")</f>
        <v>158.25107369680703</v>
      </c>
      <c r="L50" s="122">
        <f ca="1">IF(T_satellite&lt;&gt;0,INDEX(acc_xz,MATCH("Satellite",Event_sat,0)),"")</f>
        <v>22.066222001780783</v>
      </c>
      <c r="M50" s="124">
        <f ca="1">IF(T_satellite&lt;&gt;0,INDEX(BetaD,MATCH("Satellite",Event_sat,0)),"")</f>
        <v>75.585880308277225</v>
      </c>
    </row>
    <row r="51" spans="1:13" x14ac:dyDescent="0.2">
      <c r="A51" s="161"/>
      <c r="B51" s="166" t="str">
        <f>IF(Lang="Français","Rayon exterieur","Half-diameter ext")</f>
        <v>Rayon exterieur</v>
      </c>
      <c r="D51" s="162"/>
      <c r="F51" s="540" t="str">
        <f>IF(Lang="Français","Impact du satellite",IF(Lang="English","Satellite impact",""))</f>
        <v>Impact du satellite</v>
      </c>
      <c r="G51" s="541"/>
      <c r="H51" s="125">
        <f ca="1">IF(T_satellite&lt;&gt;0,T_satellite+Dt_satellite,"")</f>
        <v>50.976954612324484</v>
      </c>
      <c r="I51" s="130" t="str">
        <f>IF(T_satellite&lt;&gt;0,"~0","")</f>
        <v>~0</v>
      </c>
      <c r="J51" s="130" t="str">
        <f ca="1">IF(T_satellite&lt;&gt;0,CONCATENATE(TEXT(X_satellite-Dx_sat,"0")," | ",TEXT(X_satellite+Dx_sat,"0")),"")</f>
        <v>-97 | 367</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15.6</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1373.1093346555149</v>
      </c>
      <c r="C121" s="216">
        <f ca="1">MAX(Altitude_culmi,Portee_balistique)</f>
        <v>1373.1093346555149</v>
      </c>
    </row>
    <row r="123" spans="2:3" x14ac:dyDescent="0.2">
      <c r="B123" s="210" t="s">
        <v>49</v>
      </c>
      <c r="C123" s="211" t="s">
        <v>45</v>
      </c>
    </row>
    <row r="124" spans="2:3" x14ac:dyDescent="0.2">
      <c r="B124" s="217">
        <f ca="1">X_para</f>
        <v>471.32465865712339</v>
      </c>
      <c r="C124" s="214">
        <f ca="1">Alt_para</f>
        <v>1369.8592967280126</v>
      </c>
    </row>
    <row r="125" spans="2:3" x14ac:dyDescent="0.2">
      <c r="B125" s="217">
        <f ca="1">X_para</f>
        <v>471.32465865712339</v>
      </c>
      <c r="C125" s="214">
        <f ca="1">Alt_para/2</f>
        <v>684.92964836400631</v>
      </c>
    </row>
    <row r="126" spans="2:3" x14ac:dyDescent="0.2">
      <c r="B126" s="217">
        <f ca="1">X_para</f>
        <v>471.32465865712339</v>
      </c>
      <c r="C126" s="214">
        <v>0</v>
      </c>
    </row>
    <row r="127" spans="2:3" x14ac:dyDescent="0.2">
      <c r="B127" s="217">
        <f ca="1">X_para+Alt_para/40</f>
        <v>505.57114107532368</v>
      </c>
      <c r="C127" s="214">
        <f ca="1">Alt_para/20</f>
        <v>68.492964836400631</v>
      </c>
    </row>
    <row r="128" spans="2:3" x14ac:dyDescent="0.2">
      <c r="B128" s="217">
        <f ca="1">X_para</f>
        <v>471.32465865712339</v>
      </c>
      <c r="C128" s="214">
        <v>0</v>
      </c>
    </row>
    <row r="129" spans="2:6" x14ac:dyDescent="0.2">
      <c r="B129" s="217">
        <f ca="1">X_para-Alt_para/40</f>
        <v>437.07817623892311</v>
      </c>
      <c r="C129" s="214">
        <f ca="1">Alt_para/20</f>
        <v>68.492964836400631</v>
      </c>
    </row>
    <row r="130" spans="2:6" x14ac:dyDescent="0.2">
      <c r="B130" s="218">
        <f ca="1">X_para</f>
        <v>471.32465865712339</v>
      </c>
      <c r="C130" s="219">
        <v>0</v>
      </c>
    </row>
    <row r="131" spans="2:6" x14ac:dyDescent="0.2">
      <c r="B131" s="210" t="s">
        <v>48</v>
      </c>
      <c r="C131" s="211" t="s">
        <v>45</v>
      </c>
    </row>
    <row r="132" spans="2:6" x14ac:dyDescent="0.2">
      <c r="B132" s="213">
        <f>T_para</f>
        <v>15.6</v>
      </c>
      <c r="C132" s="214">
        <f ca="1">Alt_para</f>
        <v>1369.8592967280126</v>
      </c>
    </row>
    <row r="133" spans="2:6" x14ac:dyDescent="0.2">
      <c r="B133" s="213">
        <f ca="1">(B132+B134)/2</f>
        <v>62.534231980886304</v>
      </c>
      <c r="C133" s="214">
        <f ca="1">(C132+C134)/2</f>
        <v>684.92964836400631</v>
      </c>
      <c r="E133" s="232">
        <v>1</v>
      </c>
      <c r="F133" s="233" t="s">
        <v>175</v>
      </c>
    </row>
    <row r="134" spans="2:6" x14ac:dyDescent="0.2">
      <c r="B134" s="213">
        <f ca="1">H49</f>
        <v>109.46846396177261</v>
      </c>
      <c r="C134" s="214">
        <f>0</f>
        <v>0</v>
      </c>
      <c r="E134" s="161">
        <v>1</v>
      </c>
      <c r="F134" s="234" t="s">
        <v>176</v>
      </c>
    </row>
    <row r="135" spans="2:6" x14ac:dyDescent="0.2">
      <c r="B135" s="213">
        <f ca="1">H49+E133*sS/2*zZ_fus-E134*sS*tT_fus</f>
        <v>108.21366281373714</v>
      </c>
      <c r="C135" s="214">
        <f ca="1">Alt_para-V_para*(H49-T_para)+E133*sS*Altitude_culmi/H49*zZ_fus+E134*sS/2*Altitude_culmi/H49*tT_fus</f>
        <v>62.904023143667558</v>
      </c>
      <c r="E135" s="161"/>
      <c r="F135" s="241" t="s">
        <v>177</v>
      </c>
    </row>
    <row r="136" spans="2:6" x14ac:dyDescent="0.2">
      <c r="B136" s="213">
        <f ca="1">H49</f>
        <v>109.46846396177261</v>
      </c>
      <c r="C136" s="214">
        <f ca="1">Alt_para-V_para*(H49-T_para)</f>
        <v>0</v>
      </c>
      <c r="E136" s="235" t="s">
        <v>172</v>
      </c>
      <c r="F136" s="236">
        <f ca="1">T_balistique/10</f>
        <v>3.5100000000000184</v>
      </c>
    </row>
    <row r="137" spans="2:6" x14ac:dyDescent="0.2">
      <c r="B137" s="213">
        <f ca="1">H49-E133*sS/2*zZ_fus-E134*sS*tT_fus</f>
        <v>104.70366281373713</v>
      </c>
      <c r="C137" s="214">
        <f ca="1">Alt_para-V_para*(H49-T_para)+E133*sS*Altitude_culmi/H49*zZ_fus-E134*sS/2*Altitude_culmi/H49*tT_fus</f>
        <v>25.150811832804489</v>
      </c>
      <c r="E137" s="235" t="s">
        <v>173</v>
      </c>
      <c r="F137" s="236">
        <f ca="1">(H49-T_para)/H49</f>
        <v>0.85749320456850786</v>
      </c>
    </row>
    <row r="138" spans="2:6" x14ac:dyDescent="0.2">
      <c r="B138" s="215">
        <f ca="1">H49</f>
        <v>109.46846396177261</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135.21693916290926</v>
      </c>
      <c r="C141" s="214">
        <f ca="1">IF(Nb_sat="1 satellite",Alt_sat)</f>
        <v>586.92645336295391</v>
      </c>
    </row>
    <row r="142" spans="2:6" x14ac:dyDescent="0.2">
      <c r="B142" s="217">
        <f ca="1">IF(Nb_sat="1 satellite",X_satellite)</f>
        <v>135.21693916290926</v>
      </c>
      <c r="C142" s="214">
        <f ca="1">IF(Nb_sat="1 satellite",Alt_sat*1/4)</f>
        <v>146.73161334073848</v>
      </c>
    </row>
    <row r="143" spans="2:6" x14ac:dyDescent="0.2">
      <c r="B143" s="217">
        <f ca="1">IF(Nb_sat="1 satellite",X_satellite)</f>
        <v>135.21693916290926</v>
      </c>
      <c r="C143" s="214">
        <f>IF(Nb_sat="1 satellite",0)</f>
        <v>0</v>
      </c>
    </row>
    <row r="144" spans="2:6" x14ac:dyDescent="0.2">
      <c r="B144" s="217">
        <f ca="1">IF(Nb_sat="1 satellite",X_satellite+Alt_sat/40)</f>
        <v>149.89010049698311</v>
      </c>
      <c r="C144" s="214">
        <f ca="1">IF(Nb_sat="1 satellite",Alt_sat/20)</f>
        <v>29.346322668147696</v>
      </c>
    </row>
    <row r="145" spans="2:6" x14ac:dyDescent="0.2">
      <c r="B145" s="217">
        <f ca="1">IF(Nb_sat="1 satellite",X_satellite)</f>
        <v>135.21693916290926</v>
      </c>
      <c r="C145" s="214">
        <f>IF(Nb_sat="1 satellite",0)</f>
        <v>0</v>
      </c>
    </row>
    <row r="146" spans="2:6" x14ac:dyDescent="0.2">
      <c r="B146" s="217">
        <f ca="1">IF(Nb_sat="1 satellite",X_satellite-Alt_sat/40)</f>
        <v>120.5437778288354</v>
      </c>
      <c r="C146" s="214">
        <f ca="1">IF(Nb_sat="1 satellite",Alt_sat/20)</f>
        <v>29.346322668147696</v>
      </c>
    </row>
    <row r="147" spans="2:6" x14ac:dyDescent="0.2">
      <c r="B147" s="218">
        <f ca="1">IF(Nb_sat="1 satellite",X_satellite)</f>
        <v>135.21693916290926</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586.92645336295391</v>
      </c>
      <c r="D149" s="221"/>
    </row>
    <row r="150" spans="2:6" x14ac:dyDescent="0.2">
      <c r="B150" s="213">
        <f ca="1">(B149+B151)/2</f>
        <v>27.788477306162243</v>
      </c>
      <c r="C150" s="214">
        <f ca="1">(C149+C151)/2</f>
        <v>293.46322668147695</v>
      </c>
      <c r="D150" s="221"/>
    </row>
    <row r="151" spans="2:6" x14ac:dyDescent="0.2">
      <c r="B151" s="213">
        <f ca="1">IF(Nb_sat="1 satellite",H51)</f>
        <v>50.976954612324484</v>
      </c>
      <c r="C151" s="214">
        <f>IF(Nb_sat="1 satellite",0)</f>
        <v>0</v>
      </c>
    </row>
    <row r="152" spans="2:6" x14ac:dyDescent="0.2">
      <c r="B152" s="213">
        <f ca="1">IF(Nb_sat="1 satellite",H51+E133*sS/2*zZ_sat-E134*sS*tT_sat)</f>
        <v>49.08113777177185</v>
      </c>
      <c r="C152" s="214">
        <f ca="1">IF(Nb_sat="1 satellite",Alt_sat-V_satellite*(H51-T_satellite)+E133*sS*Altitude_culmi/H51*zZ_sat+E134*sS/2*Altitude_culmi/H51*tT_sat)</f>
        <v>103.25511038581936</v>
      </c>
      <c r="D152" s="221"/>
    </row>
    <row r="153" spans="2:6" x14ac:dyDescent="0.2">
      <c r="B153" s="213">
        <f ca="1">IF(Nb_sat="1 satellite",H51)</f>
        <v>50.976954612324484</v>
      </c>
      <c r="C153" s="214">
        <f>IF(Nb_sat="1 satellite",0)</f>
        <v>0</v>
      </c>
    </row>
    <row r="154" spans="2:6" x14ac:dyDescent="0.2">
      <c r="B154" s="213">
        <f ca="1">IF(Nb_sat="1 satellite",H51-sS/2*zZ_sat-E134*sS*tT_sat)</f>
        <v>46.77277145287708</v>
      </c>
      <c r="C154" s="214">
        <f ca="1">IF(Nb_sat="1 satellite",Alt_sat-V_satellite*(H51-T_satellite)+E133*sS*Altitude_culmi/H51*zZ_sat-E134*sS/2*Altitude_culmi/H51*tT_sat)</f>
        <v>21.100664272892203</v>
      </c>
      <c r="E154" s="239" t="s">
        <v>173</v>
      </c>
      <c r="F154" s="240">
        <f ca="1">(T_balistique-T_satellite)/T_balistique</f>
        <v>0.86894586894586956</v>
      </c>
    </row>
    <row r="155" spans="2:6" x14ac:dyDescent="0.2">
      <c r="B155" s="215">
        <f ca="1">IF(Nb_sat="1 satellite",H51)</f>
        <v>50.976954612324484</v>
      </c>
      <c r="C155" s="216">
        <f>IF(Nb_sat="1 satellite",0)</f>
        <v>0</v>
      </c>
      <c r="E155" s="237" t="s">
        <v>174</v>
      </c>
      <c r="F155" s="238">
        <f ca="1">V_satellite*(T_balistique-T_satellite)/Alt_sat</f>
        <v>0.65765422190733791</v>
      </c>
    </row>
    <row r="157" spans="2:6" x14ac:dyDescent="0.2">
      <c r="B157" s="210" t="s">
        <v>2</v>
      </c>
      <c r="C157" s="228" t="s">
        <v>29</v>
      </c>
      <c r="D157" s="211" t="s">
        <v>3</v>
      </c>
    </row>
    <row r="158" spans="2:6" x14ac:dyDescent="0.2">
      <c r="B158" s="231">
        <f>T_para/4</f>
        <v>3.9</v>
      </c>
      <c r="C158" s="82">
        <f ca="1">Alt_para/2</f>
        <v>684.92964836400631</v>
      </c>
      <c r="D158" s="214">
        <f ca="1">X_para/4</f>
        <v>117.83116466428085</v>
      </c>
    </row>
    <row r="159" spans="2:6" x14ac:dyDescent="0.2">
      <c r="B159" s="229">
        <f ca="1">Temps_culmi + (T_balistique-Temps_culmi)/2</f>
        <v>25.750000000000053</v>
      </c>
      <c r="C159" s="230">
        <f ca="1">Altitude_culmi/2</f>
        <v>686.55466732775744</v>
      </c>
      <c r="D159" s="216">
        <f ca="1">X_culmi+(Portee_balistique-X_culmi)*2/3</f>
        <v>746.83107477458566</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492.21868349096553</v>
      </c>
      <c r="E162" s="422"/>
      <c r="F162" s="423" t="s">
        <v>305</v>
      </c>
    </row>
    <row r="163" spans="2:6" x14ac:dyDescent="0.2">
      <c r="B163" s="231" t="e">
        <f ca="1">IF(AND(Altitude_culmi&gt;80, Altitude_culmi&lt;=350), 49, NA())</f>
        <v>#N/A</v>
      </c>
      <c r="C163" s="5">
        <v>23</v>
      </c>
      <c r="D163" s="82">
        <f t="shared" ca="1" si="0"/>
        <v>515.21868349096553</v>
      </c>
      <c r="E163" s="82"/>
      <c r="F163" s="214">
        <f t="shared" ref="F163:F178" ca="1" si="1">X_culmi-C162</f>
        <v>492.21868349096553</v>
      </c>
    </row>
    <row r="164" spans="2:6" x14ac:dyDescent="0.2">
      <c r="B164" s="231" t="e">
        <f ca="1">IF(AND(Altitude_culmi&gt;80, Altitude_culmi&lt;=350), 43, NA())</f>
        <v>#N/A</v>
      </c>
      <c r="C164" s="5">
        <v>23</v>
      </c>
      <c r="D164" s="82">
        <f t="shared" ca="1" si="0"/>
        <v>515.21868349096553</v>
      </c>
      <c r="E164" s="82"/>
      <c r="F164" s="214">
        <f t="shared" ca="1" si="1"/>
        <v>469.21868349096553</v>
      </c>
    </row>
    <row r="165" spans="2:6" x14ac:dyDescent="0.2">
      <c r="B165" s="231" t="e">
        <f ca="1">IF(AND(Altitude_culmi&gt;80, Altitude_culmi&lt;=350), 43, NA())</f>
        <v>#N/A</v>
      </c>
      <c r="C165" s="5">
        <v>0</v>
      </c>
      <c r="D165" s="82">
        <f t="shared" ca="1" si="0"/>
        <v>492.21868349096553</v>
      </c>
      <c r="E165" s="82"/>
      <c r="F165" s="214">
        <f t="shared" ca="1" si="1"/>
        <v>469.21868349096553</v>
      </c>
    </row>
    <row r="166" spans="2:6" x14ac:dyDescent="0.2">
      <c r="B166" s="231" t="e">
        <f ca="1">IF(AND(Altitude_culmi&gt;80, Altitude_culmi&lt;=350), 43, NA())</f>
        <v>#N/A</v>
      </c>
      <c r="C166" s="5">
        <v>23</v>
      </c>
      <c r="D166" s="82">
        <f t="shared" ca="1" si="0"/>
        <v>515.21868349096553</v>
      </c>
      <c r="E166" s="82"/>
      <c r="F166" s="214">
        <f t="shared" ca="1" si="1"/>
        <v>492.21868349096553</v>
      </c>
    </row>
    <row r="167" spans="2:6" x14ac:dyDescent="0.2">
      <c r="B167" s="231" t="e">
        <f ca="1">IF(AND(Altitude_culmi&gt;80, Altitude_culmi&lt;=350), 0.5, NA())</f>
        <v>#N/A</v>
      </c>
      <c r="C167" s="5">
        <v>23</v>
      </c>
      <c r="D167" s="82">
        <f t="shared" ca="1" si="0"/>
        <v>515.21868349096553</v>
      </c>
      <c r="E167" s="82"/>
      <c r="F167" s="214">
        <f t="shared" ca="1" si="1"/>
        <v>469.21868349096553</v>
      </c>
    </row>
    <row r="168" spans="2:6" x14ac:dyDescent="0.2">
      <c r="B168" s="231" t="e">
        <f ca="1">IF(AND(Altitude_culmi&gt;80, Altitude_culmi&lt;=350), 0.5, NA())</f>
        <v>#N/A</v>
      </c>
      <c r="C168" s="5">
        <v>8</v>
      </c>
      <c r="D168" s="82">
        <f t="shared" ca="1" si="0"/>
        <v>500.21868349096553</v>
      </c>
      <c r="E168" s="82"/>
      <c r="F168" s="214">
        <f t="shared" ca="1" si="1"/>
        <v>469.21868349096553</v>
      </c>
    </row>
    <row r="169" spans="2:6" x14ac:dyDescent="0.2">
      <c r="B169" s="231" t="e">
        <f ca="1">IF(AND(Altitude_culmi&gt;80, Altitude_culmi&lt;=350), 27, NA())</f>
        <v>#N/A</v>
      </c>
      <c r="C169" s="5">
        <v>8</v>
      </c>
      <c r="D169" s="82">
        <f t="shared" ca="1" si="0"/>
        <v>500.21868349096553</v>
      </c>
      <c r="E169" s="82"/>
      <c r="F169" s="214">
        <f t="shared" ca="1" si="1"/>
        <v>484.21868349096553</v>
      </c>
    </row>
    <row r="170" spans="2:6" x14ac:dyDescent="0.2">
      <c r="B170" s="231" t="e">
        <f ca="1">IF(AND(Altitude_culmi&gt;80, Altitude_culmi&lt;=350), 27, NA())</f>
        <v>#N/A</v>
      </c>
      <c r="C170" s="5">
        <v>23</v>
      </c>
      <c r="D170" s="82">
        <f t="shared" ca="1" si="0"/>
        <v>515.21868349096553</v>
      </c>
      <c r="E170" s="82"/>
      <c r="F170" s="214">
        <f t="shared" ca="1" si="1"/>
        <v>484.21868349096553</v>
      </c>
    </row>
    <row r="171" spans="2:6" x14ac:dyDescent="0.2">
      <c r="B171" s="231" t="e">
        <f ca="1">IF(AND(Altitude_culmi&gt;80, Altitude_culmi&lt;=350), 27, NA())</f>
        <v>#N/A</v>
      </c>
      <c r="C171" s="5">
        <v>8</v>
      </c>
      <c r="D171" s="82">
        <f t="shared" ca="1" si="0"/>
        <v>500.21868349096553</v>
      </c>
      <c r="E171" s="82"/>
      <c r="F171" s="214">
        <f t="shared" ca="1" si="1"/>
        <v>469.21868349096553</v>
      </c>
    </row>
    <row r="172" spans="2:6" x14ac:dyDescent="0.2">
      <c r="B172" s="231" t="e">
        <f ca="1">IF(AND(Altitude_culmi&gt;80, Altitude_culmi&lt;=350), 29, NA())</f>
        <v>#N/A</v>
      </c>
      <c r="C172" s="5">
        <v>7.6</v>
      </c>
      <c r="D172" s="82">
        <f t="shared" ca="1" si="0"/>
        <v>499.81868349096555</v>
      </c>
      <c r="E172" s="82"/>
      <c r="F172" s="214">
        <f t="shared" ca="1" si="1"/>
        <v>484.21868349096553</v>
      </c>
    </row>
    <row r="173" spans="2:6" x14ac:dyDescent="0.2">
      <c r="B173" s="231" t="e">
        <f ca="1">IF(AND(Altitude_culmi&gt;80, Altitude_culmi&lt;=350), 31, NA())</f>
        <v>#N/A</v>
      </c>
      <c r="C173" s="5">
        <v>6.8</v>
      </c>
      <c r="D173" s="82">
        <f t="shared" ca="1" si="0"/>
        <v>499.01868349096554</v>
      </c>
      <c r="E173" s="82"/>
      <c r="F173" s="214">
        <f t="shared" ca="1" si="1"/>
        <v>484.61868349096551</v>
      </c>
    </row>
    <row r="174" spans="2:6" x14ac:dyDescent="0.2">
      <c r="B174" s="231" t="e">
        <f ca="1">IF(AND(Altitude_culmi&gt;80, Altitude_culmi&lt;=350), 32, NA())</f>
        <v>#N/A</v>
      </c>
      <c r="C174" s="5">
        <v>6</v>
      </c>
      <c r="D174" s="82">
        <f t="shared" ca="1" si="0"/>
        <v>498.21868349096553</v>
      </c>
      <c r="E174" s="82"/>
      <c r="F174" s="214">
        <f t="shared" ca="1" si="1"/>
        <v>485.41868349096552</v>
      </c>
    </row>
    <row r="175" spans="2:6" x14ac:dyDescent="0.2">
      <c r="B175" s="231" t="e">
        <f ca="1">IF(AND(Altitude_culmi&gt;80, Altitude_culmi&lt;=350), 33, NA())</f>
        <v>#N/A</v>
      </c>
      <c r="C175" s="5">
        <v>5</v>
      </c>
      <c r="D175" s="82">
        <f t="shared" ca="1" si="0"/>
        <v>497.21868349096553</v>
      </c>
      <c r="E175" s="82"/>
      <c r="F175" s="214">
        <f t="shared" ca="1" si="1"/>
        <v>486.21868349096553</v>
      </c>
    </row>
    <row r="176" spans="2:6" x14ac:dyDescent="0.2">
      <c r="B176" s="231" t="e">
        <f ca="1">IF(AND(Altitude_culmi&gt;80, Altitude_culmi&lt;=350), 34, NA())</f>
        <v>#N/A</v>
      </c>
      <c r="C176" s="5">
        <v>3.8</v>
      </c>
      <c r="D176" s="82">
        <f t="shared" ca="1" si="0"/>
        <v>496.01868349096554</v>
      </c>
      <c r="E176" s="82"/>
      <c r="F176" s="214">
        <f t="shared" ca="1" si="1"/>
        <v>487.21868349096553</v>
      </c>
    </row>
    <row r="177" spans="2:6" x14ac:dyDescent="0.2">
      <c r="B177" s="229" t="e">
        <f ca="1">IF(AND(Altitude_culmi&gt;80, Altitude_culmi&lt;=350), 35, NA())</f>
        <v>#N/A</v>
      </c>
      <c r="C177" s="421">
        <v>0</v>
      </c>
      <c r="D177" s="230">
        <f t="shared" ca="1" si="0"/>
        <v>492.21868349096553</v>
      </c>
      <c r="E177" s="82"/>
      <c r="F177" s="214">
        <f t="shared" ca="1" si="1"/>
        <v>488.41868349096552</v>
      </c>
    </row>
    <row r="178" spans="2:6" x14ac:dyDescent="0.2">
      <c r="E178" s="230"/>
      <c r="F178" s="216">
        <f t="shared" ca="1" si="1"/>
        <v>492.21868349096553</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492.21868349096553</v>
      </c>
      <c r="E180" s="228"/>
      <c r="F180" s="211" t="s">
        <v>308</v>
      </c>
    </row>
    <row r="181" spans="2:6" x14ac:dyDescent="0.2">
      <c r="B181" s="231">
        <f ca="1">IF(Altitude_culmi&gt;350, 300, NA())</f>
        <v>300</v>
      </c>
      <c r="C181" s="5">
        <v>0</v>
      </c>
      <c r="D181" s="82">
        <f t="shared" ca="1" si="2"/>
        <v>492.21868349096553</v>
      </c>
      <c r="E181" s="82"/>
      <c r="F181" s="214">
        <f t="shared" ref="F181:F201" ca="1" si="3">X_culmi-C180</f>
        <v>492.21868349096553</v>
      </c>
    </row>
    <row r="182" spans="2:6" x14ac:dyDescent="0.2">
      <c r="B182" s="231">
        <f ca="1">IF(Altitude_culmi&gt;350, 280, NA())</f>
        <v>280</v>
      </c>
      <c r="C182" s="5">
        <v>10</v>
      </c>
      <c r="D182" s="82">
        <f t="shared" ca="1" si="2"/>
        <v>502.21868349096553</v>
      </c>
      <c r="E182" s="82"/>
      <c r="F182" s="214">
        <f t="shared" ca="1" si="3"/>
        <v>492.21868349096553</v>
      </c>
    </row>
    <row r="183" spans="2:6" x14ac:dyDescent="0.2">
      <c r="B183" s="231">
        <f ca="1">IF(Altitude_culmi&gt;350, 280, NA())</f>
        <v>280</v>
      </c>
      <c r="C183" s="5">
        <v>0</v>
      </c>
      <c r="D183" s="82">
        <f t="shared" ca="1" si="2"/>
        <v>492.21868349096553</v>
      </c>
      <c r="E183" s="82"/>
      <c r="F183" s="214">
        <f t="shared" ca="1" si="3"/>
        <v>482.21868349096553</v>
      </c>
    </row>
    <row r="184" spans="2:6" x14ac:dyDescent="0.2">
      <c r="B184" s="231">
        <f ca="1">IF(Altitude_culmi&gt;350, 280, NA())</f>
        <v>280</v>
      </c>
      <c r="C184" s="5">
        <v>10</v>
      </c>
      <c r="D184" s="82">
        <f t="shared" ca="1" si="2"/>
        <v>502.21868349096553</v>
      </c>
      <c r="E184" s="82"/>
      <c r="F184" s="214">
        <f t="shared" ca="1" si="3"/>
        <v>492.21868349096553</v>
      </c>
    </row>
    <row r="185" spans="2:6" x14ac:dyDescent="0.2">
      <c r="B185" s="231">
        <f ca="1">IF(Altitude_culmi&gt;350, 200, NA())</f>
        <v>200</v>
      </c>
      <c r="C185" s="5">
        <v>13</v>
      </c>
      <c r="D185" s="82">
        <f t="shared" ca="1" si="2"/>
        <v>505.21868349096553</v>
      </c>
      <c r="E185" s="82"/>
      <c r="F185" s="214">
        <f t="shared" ca="1" si="3"/>
        <v>482.21868349096553</v>
      </c>
    </row>
    <row r="186" spans="2:6" x14ac:dyDescent="0.2">
      <c r="B186" s="231">
        <f ca="1">IF(Altitude_culmi&gt;350, 160, NA())</f>
        <v>160</v>
      </c>
      <c r="C186" s="5">
        <v>17</v>
      </c>
      <c r="D186" s="82">
        <f t="shared" ca="1" si="2"/>
        <v>509.21868349096553</v>
      </c>
      <c r="E186" s="82"/>
      <c r="F186" s="214">
        <f t="shared" ca="1" si="3"/>
        <v>479.21868349096553</v>
      </c>
    </row>
    <row r="187" spans="2:6" x14ac:dyDescent="0.2">
      <c r="B187" s="231">
        <f ca="1">IF(Altitude_culmi&gt;350, 115, NA())</f>
        <v>115</v>
      </c>
      <c r="C187" s="5">
        <v>20</v>
      </c>
      <c r="D187" s="82">
        <f t="shared" ca="1" si="2"/>
        <v>512.21868349096553</v>
      </c>
      <c r="E187" s="82"/>
      <c r="F187" s="214">
        <f t="shared" ca="1" si="3"/>
        <v>475.21868349096553</v>
      </c>
    </row>
    <row r="188" spans="2:6" x14ac:dyDescent="0.2">
      <c r="B188" s="231">
        <f ca="1">IF(Altitude_culmi&gt;350, 90, NA())</f>
        <v>90</v>
      </c>
      <c r="C188" s="5">
        <v>25</v>
      </c>
      <c r="D188" s="82">
        <f t="shared" ca="1" si="2"/>
        <v>517.21868349096553</v>
      </c>
      <c r="E188" s="82"/>
      <c r="F188" s="214">
        <f t="shared" ca="1" si="3"/>
        <v>472.21868349096553</v>
      </c>
    </row>
    <row r="189" spans="2:6" x14ac:dyDescent="0.2">
      <c r="B189" s="231">
        <f ca="1">IF(Altitude_culmi&gt;350, 57, NA())</f>
        <v>57</v>
      </c>
      <c r="C189" s="5">
        <v>30</v>
      </c>
      <c r="D189" s="82">
        <f t="shared" ca="1" si="2"/>
        <v>522.21868349096553</v>
      </c>
      <c r="E189" s="82"/>
      <c r="F189" s="214">
        <f t="shared" ca="1" si="3"/>
        <v>467.21868349096553</v>
      </c>
    </row>
    <row r="190" spans="2:6" x14ac:dyDescent="0.2">
      <c r="B190" s="231">
        <f ca="1">IF(Altitude_culmi&gt;350, 40, NA())</f>
        <v>40</v>
      </c>
      <c r="C190" s="5">
        <v>36</v>
      </c>
      <c r="D190" s="82">
        <f t="shared" ca="1" si="2"/>
        <v>528.21868349096553</v>
      </c>
      <c r="E190" s="82"/>
      <c r="F190" s="214">
        <f t="shared" ca="1" si="3"/>
        <v>462.21868349096553</v>
      </c>
    </row>
    <row r="191" spans="2:6" x14ac:dyDescent="0.2">
      <c r="B191" s="231">
        <f ca="1">IF(Altitude_culmi&gt;350, 20, NA())</f>
        <v>20</v>
      </c>
      <c r="C191" s="5">
        <v>48</v>
      </c>
      <c r="D191" s="82">
        <f t="shared" ca="1" si="2"/>
        <v>540.21868349096553</v>
      </c>
      <c r="E191" s="82"/>
      <c r="F191" s="214">
        <f t="shared" ca="1" si="3"/>
        <v>456.21868349096553</v>
      </c>
    </row>
    <row r="192" spans="2:6" x14ac:dyDescent="0.2">
      <c r="B192" s="231">
        <f ca="1">IF(Altitude_culmi&gt;350, 0.5, NA())</f>
        <v>0.5</v>
      </c>
      <c r="C192" s="5">
        <v>62</v>
      </c>
      <c r="D192" s="82">
        <f t="shared" ca="1" si="2"/>
        <v>554.21868349096553</v>
      </c>
      <c r="E192" s="82"/>
      <c r="F192" s="214">
        <f t="shared" ca="1" si="3"/>
        <v>444.21868349096553</v>
      </c>
    </row>
    <row r="193" spans="2:6" x14ac:dyDescent="0.2">
      <c r="B193" s="231">
        <f ca="1">IF(Altitude_culmi&gt;350, 0.5, NA())</f>
        <v>0.5</v>
      </c>
      <c r="C193" s="5">
        <v>37</v>
      </c>
      <c r="D193" s="82">
        <f t="shared" ca="1" si="2"/>
        <v>529.21868349096553</v>
      </c>
      <c r="E193" s="82"/>
      <c r="F193" s="214">
        <f t="shared" ca="1" si="3"/>
        <v>430.21868349096553</v>
      </c>
    </row>
    <row r="194" spans="2:6" x14ac:dyDescent="0.2">
      <c r="B194" s="231">
        <f ca="1">IF(Altitude_culmi&gt;350, 15, NA())</f>
        <v>15</v>
      </c>
      <c r="C194" s="5">
        <v>30</v>
      </c>
      <c r="D194" s="82">
        <f t="shared" ca="1" si="2"/>
        <v>522.21868349096553</v>
      </c>
      <c r="E194" s="82"/>
      <c r="F194" s="214">
        <f t="shared" ca="1" si="3"/>
        <v>455.21868349096553</v>
      </c>
    </row>
    <row r="195" spans="2:6" x14ac:dyDescent="0.2">
      <c r="B195" s="231">
        <f ca="1">IF(Altitude_culmi&gt;350, 30, NA())</f>
        <v>30</v>
      </c>
      <c r="C195" s="5">
        <v>15</v>
      </c>
      <c r="D195" s="82">
        <f t="shared" ca="1" si="2"/>
        <v>507.21868349096553</v>
      </c>
      <c r="E195" s="82"/>
      <c r="F195" s="214">
        <f t="shared" ca="1" si="3"/>
        <v>462.21868349096553</v>
      </c>
    </row>
    <row r="196" spans="2:6" x14ac:dyDescent="0.2">
      <c r="B196" s="231">
        <f ca="1">IF(Altitude_culmi&gt;350, 37, NA())</f>
        <v>37</v>
      </c>
      <c r="C196" s="5">
        <v>0</v>
      </c>
      <c r="D196" s="82">
        <f t="shared" ca="1" si="2"/>
        <v>492.21868349096553</v>
      </c>
      <c r="E196" s="82"/>
      <c r="F196" s="214">
        <f t="shared" ca="1" si="3"/>
        <v>477.21868349096553</v>
      </c>
    </row>
    <row r="197" spans="2:6" x14ac:dyDescent="0.2">
      <c r="B197" s="231">
        <f ca="1">IF(Altitude_culmi&gt;350, 67, NA())</f>
        <v>67</v>
      </c>
      <c r="C197" s="5">
        <v>0</v>
      </c>
      <c r="D197" s="82">
        <f t="shared" ca="1" si="2"/>
        <v>492.21868349096553</v>
      </c>
      <c r="E197" s="82"/>
      <c r="F197" s="214">
        <f t="shared" ca="1" si="3"/>
        <v>492.21868349096553</v>
      </c>
    </row>
    <row r="198" spans="2:6" x14ac:dyDescent="0.2">
      <c r="B198" s="231">
        <f ca="1">IF(Altitude_culmi&gt;350, 67, NA())</f>
        <v>67</v>
      </c>
      <c r="C198" s="5">
        <v>17</v>
      </c>
      <c r="D198" s="82">
        <f t="shared" ca="1" si="2"/>
        <v>509.21868349096553</v>
      </c>
      <c r="E198" s="82"/>
      <c r="F198" s="214">
        <f t="shared" ca="1" si="3"/>
        <v>492.21868349096553</v>
      </c>
    </row>
    <row r="199" spans="2:6" x14ac:dyDescent="0.2">
      <c r="B199" s="231">
        <f ca="1">IF(Altitude_culmi&gt;350, 100, NA())</f>
        <v>100</v>
      </c>
      <c r="C199" s="5">
        <v>11</v>
      </c>
      <c r="D199" s="82">
        <f t="shared" ca="1" si="2"/>
        <v>503.21868349096553</v>
      </c>
      <c r="E199" s="82"/>
      <c r="F199" s="214">
        <f t="shared" ca="1" si="3"/>
        <v>475.21868349096553</v>
      </c>
    </row>
    <row r="200" spans="2:6" x14ac:dyDescent="0.2">
      <c r="B200" s="229">
        <f ca="1">IF(Altitude_culmi&gt;350, 100, NA())</f>
        <v>100</v>
      </c>
      <c r="C200" s="421">
        <v>0</v>
      </c>
      <c r="D200" s="230">
        <f t="shared" ca="1" si="2"/>
        <v>492.21868349096553</v>
      </c>
      <c r="E200" s="82"/>
      <c r="F200" s="214">
        <f t="shared" ca="1" si="3"/>
        <v>481.21868349096553</v>
      </c>
    </row>
    <row r="201" spans="2:6" x14ac:dyDescent="0.2">
      <c r="E201" s="230"/>
      <c r="F201" s="216">
        <f t="shared" ca="1" si="3"/>
        <v>492.21868349096553</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206" activePane="bottomRight" state="frozen"/>
      <selection pane="topRight" activeCell="D1" sqref="D1"/>
      <selection pane="bottomLeft" activeCell="A8" sqref="A8"/>
      <selection pane="bottomRight" activeCell="L436" sqref="L43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8.8409999999999993</v>
      </c>
      <c r="T4" s="327">
        <f t="shared" ref="T4:T67" ca="1" si="1">m*g</f>
        <v>86.73021</v>
      </c>
      <c r="U4" s="328">
        <f t="shared" ref="U4:U67" ca="1" si="2">IF(pos_xz&lt;L_rampe,Poids*COS(Beta),0)</f>
        <v>15.060542915170185</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7.6357545328252563E-2</v>
      </c>
      <c r="E5" s="307">
        <f t="shared" ref="E5:E68" ca="1" si="9">IF(AND(L4&lt;L_rampe,Poussee&lt;Poids*SIN(M4)),0,(-W4+Poussee)/m*SIN(M4)+U4/m*COS(M4)-Poids/m)</f>
        <v>0.43354245804921376</v>
      </c>
      <c r="F5" s="304">
        <f t="shared" ref="F5:F68" ca="1" si="10">SQRT(acc_x^2+acc_z^2)</f>
        <v>0.44021533101416449</v>
      </c>
      <c r="G5" s="306">
        <f t="shared" ref="G5:G68" ca="1" si="11">G4+acc_x*pas</f>
        <v>7.6357545328252562E-4</v>
      </c>
      <c r="H5" s="307">
        <f t="shared" ref="H5:H68" ca="1" si="12">H4+acc_z*pas</f>
        <v>4.3354245804921379E-3</v>
      </c>
      <c r="I5" s="304">
        <f t="shared" ref="I5:I68" ca="1" si="13">SQRT(vit_x^2+vit_z^2)</f>
        <v>4.4021533101416448E-3</v>
      </c>
      <c r="J5" s="306">
        <f t="shared" ref="J5:J68" ca="1" si="14">J4+0.5*(vit_x+G4)*pas*(K4&gt;=0)</f>
        <v>3.8178772664126285E-6</v>
      </c>
      <c r="K5" s="307">
        <f t="shared" ref="K5:K68" ca="1" si="15">K4+0.5*(vit_z+H4)*pas</f>
        <v>2.1677122902460689E-5</v>
      </c>
      <c r="L5" s="304">
        <f t="shared" ca="1" si="0"/>
        <v>2.2010766550708225E-5</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8.8405518449064058</v>
      </c>
      <c r="T5" s="304">
        <f t="shared" ca="1" si="1"/>
        <v>86.725813598531843</v>
      </c>
      <c r="U5" s="311">
        <f t="shared" ca="1" si="2"/>
        <v>15.059779488066948</v>
      </c>
      <c r="V5" s="306">
        <f t="shared" ca="1" si="3"/>
        <v>1.2249999973445527</v>
      </c>
      <c r="W5" s="304">
        <f t="shared" ca="1" si="4"/>
        <v>7.7344229850616655E-8</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2.1677122902460689E-5</v>
      </c>
      <c r="AG5" s="306">
        <f t="shared" ref="AG5:AG68" ca="1" si="27">IF(AND(L4&lt;L_rampe,Poussee&lt;Poids*SIN(M4)),0,(-W4+Poussee)/m-Poids*SIN(M4)/m)</f>
        <v>0.44021532254420848</v>
      </c>
      <c r="AH5" s="304">
        <f t="shared" ref="AH5:AH68" ca="1" si="28">IF(AND(L4&lt;L_rampe,Poussee&lt;Poids*SIN(M4)), g*SIN(M4), (-W4+Poussee)/m)</f>
        <v>10.101179379593969</v>
      </c>
    </row>
    <row r="6" spans="1:248" x14ac:dyDescent="0.2">
      <c r="A6" s="347">
        <f t="shared" ca="1" si="6"/>
        <v>0.01</v>
      </c>
      <c r="B6" s="304">
        <f t="shared" ca="1" si="7"/>
        <v>0.02</v>
      </c>
      <c r="D6" s="306">
        <f t="shared" ca="1" si="8"/>
        <v>3.585090588335035</v>
      </c>
      <c r="E6" s="307">
        <f t="shared" ca="1" si="9"/>
        <v>20.333551200543837</v>
      </c>
      <c r="F6" s="304">
        <f t="shared" ca="1" si="10"/>
        <v>20.647183317627277</v>
      </c>
      <c r="G6" s="306">
        <f t="shared" ca="1" si="11"/>
        <v>3.6614481336632879E-2</v>
      </c>
      <c r="H6" s="307">
        <f t="shared" ca="1" si="12"/>
        <v>0.2076709365859305</v>
      </c>
      <c r="I6" s="304">
        <f t="shared" ca="1" si="13"/>
        <v>0.21087398641375424</v>
      </c>
      <c r="J6" s="306">
        <f t="shared" ca="1" si="14"/>
        <v>1.9070816121598966E-4</v>
      </c>
      <c r="K6" s="307">
        <f t="shared" ca="1" si="15"/>
        <v>1.0817089287345739E-3</v>
      </c>
      <c r="L6" s="304">
        <f t="shared" ca="1" si="0"/>
        <v>1.098391464487267E-3</v>
      </c>
      <c r="M6" s="306">
        <f t="shared" ca="1" si="16"/>
        <v>1.3962634015954636</v>
      </c>
      <c r="N6" s="304">
        <f t="shared" ca="1" si="17"/>
        <v>80</v>
      </c>
      <c r="P6" s="310">
        <f t="shared" ca="1" si="18"/>
        <v>1</v>
      </c>
      <c r="Q6" s="304">
        <f t="shared" ca="1" si="19"/>
        <v>267.89999999999998</v>
      </c>
      <c r="R6" s="306">
        <f t="shared" ca="1" si="20"/>
        <v>0.1344465280780423</v>
      </c>
      <c r="S6" s="307">
        <f t="shared" ca="1" si="21"/>
        <v>8.8392073796256252</v>
      </c>
      <c r="T6" s="304">
        <f t="shared" ca="1" si="1"/>
        <v>86.712624394127388</v>
      </c>
      <c r="U6" s="311">
        <f t="shared" ca="1" si="2"/>
        <v>15.057489206757237</v>
      </c>
      <c r="V6" s="306">
        <f t="shared" ca="1" si="3"/>
        <v>1.2249998674906635</v>
      </c>
      <c r="W6" s="304">
        <f t="shared" ca="1" si="4"/>
        <v>1.7747760645274251E-4</v>
      </c>
      <c r="Y6" s="314" t="str">
        <f t="shared" ca="1" si="22"/>
        <v/>
      </c>
      <c r="Z6" s="315" t="str">
        <f t="shared" ca="1" si="23"/>
        <v/>
      </c>
      <c r="AA6" s="316" t="str">
        <f t="shared" ca="1" si="24"/>
        <v/>
      </c>
      <c r="AC6" s="310" t="e">
        <f t="shared" ca="1" si="25"/>
        <v>#N/A</v>
      </c>
      <c r="AD6" s="323" t="e">
        <f t="shared" ca="1" si="26"/>
        <v>#N/A</v>
      </c>
      <c r="AE6" s="324">
        <f t="shared" ca="1" si="5"/>
        <v>1.0817089287345739E-3</v>
      </c>
      <c r="AG6" s="306">
        <f t="shared" ca="1" si="27"/>
        <v>20.647183316001502</v>
      </c>
      <c r="AH6" s="304">
        <f t="shared" ca="1" si="28"/>
        <v>30.308147373051266</v>
      </c>
    </row>
    <row r="7" spans="1:248" x14ac:dyDescent="0.2">
      <c r="A7" s="347">
        <f t="shared" ca="1" si="6"/>
        <v>0.01</v>
      </c>
      <c r="B7" s="304">
        <f t="shared" ca="1" si="7"/>
        <v>0.03</v>
      </c>
      <c r="D7" s="306">
        <f t="shared" ca="1" si="8"/>
        <v>7.0957774547215671</v>
      </c>
      <c r="E7" s="307">
        <f t="shared" ca="1" si="9"/>
        <v>40.24464118100331</v>
      </c>
      <c r="F7" s="304">
        <f t="shared" ca="1" si="10"/>
        <v>40.865403478671816</v>
      </c>
      <c r="G7" s="306">
        <f t="shared" ca="1" si="11"/>
        <v>0.10757225588384856</v>
      </c>
      <c r="H7" s="307">
        <f t="shared" ca="1" si="12"/>
        <v>0.61011734839596365</v>
      </c>
      <c r="I7" s="304">
        <f t="shared" ca="1" si="13"/>
        <v>0.619528021198123</v>
      </c>
      <c r="J7" s="306">
        <f t="shared" ca="1" si="14"/>
        <v>9.116418473183968E-4</v>
      </c>
      <c r="K7" s="307">
        <f t="shared" ca="1" si="15"/>
        <v>5.1706503536440452E-3</v>
      </c>
      <c r="L7" s="304">
        <f t="shared" ca="1" si="0"/>
        <v>5.2504015024968697E-3</v>
      </c>
      <c r="M7" s="306">
        <f t="shared" ca="1" si="16"/>
        <v>1.3962634015954636</v>
      </c>
      <c r="N7" s="304">
        <f t="shared" ca="1" si="17"/>
        <v>80</v>
      </c>
      <c r="P7" s="310">
        <f t="shared" ca="1" si="18"/>
        <v>1</v>
      </c>
      <c r="Q7" s="304">
        <f t="shared" ca="1" si="19"/>
        <v>446.49999999999994</v>
      </c>
      <c r="R7" s="306">
        <f t="shared" ca="1" si="20"/>
        <v>0.22407754679673716</v>
      </c>
      <c r="S7" s="307">
        <f t="shared" ca="1" si="21"/>
        <v>8.8369666041576576</v>
      </c>
      <c r="T7" s="304">
        <f t="shared" ca="1" si="1"/>
        <v>86.690642386786621</v>
      </c>
      <c r="U7" s="311">
        <f t="shared" ca="1" si="2"/>
        <v>15.053672071241051</v>
      </c>
      <c r="V7" s="306">
        <f t="shared" ca="1" si="3"/>
        <v>1.2249993665954952</v>
      </c>
      <c r="W7" s="304">
        <f t="shared" ca="1" si="4"/>
        <v>1.5318607113459675E-3</v>
      </c>
      <c r="Y7" s="314" t="str">
        <f t="shared" ca="1" si="22"/>
        <v/>
      </c>
      <c r="Z7" s="315" t="str">
        <f t="shared" ca="1" si="23"/>
        <v/>
      </c>
      <c r="AA7" s="316" t="str">
        <f t="shared" ca="1" si="24"/>
        <v/>
      </c>
      <c r="AC7" s="310" t="e">
        <f t="shared" ca="1" si="25"/>
        <v>#N/A</v>
      </c>
      <c r="AD7" s="323" t="e">
        <f t="shared" ca="1" si="26"/>
        <v>#N/A</v>
      </c>
      <c r="AE7" s="324">
        <f t="shared" ca="1" si="5"/>
        <v>5.1706503536440452E-3</v>
      </c>
      <c r="AG7" s="306">
        <f t="shared" ca="1" si="27"/>
        <v>40.865403476388941</v>
      </c>
      <c r="AH7" s="304">
        <f t="shared" ca="1" si="28"/>
        <v>50.526367533438702</v>
      </c>
    </row>
    <row r="8" spans="1:248" x14ac:dyDescent="0.2">
      <c r="A8" s="347">
        <f t="shared" ca="1" si="6"/>
        <v>0.01</v>
      </c>
      <c r="B8" s="304">
        <f t="shared" ca="1" si="7"/>
        <v>0.04</v>
      </c>
      <c r="D8" s="306">
        <f t="shared" ca="1" si="8"/>
        <v>10.609468599254038</v>
      </c>
      <c r="E8" s="307">
        <f t="shared" ca="1" si="9"/>
        <v>60.172770127851848</v>
      </c>
      <c r="F8" s="304">
        <f t="shared" ca="1" si="10"/>
        <v>61.100925433399595</v>
      </c>
      <c r="G8" s="306">
        <f t="shared" ca="1" si="11"/>
        <v>0.21366694187638893</v>
      </c>
      <c r="H8" s="307">
        <f t="shared" ca="1" si="12"/>
        <v>1.2118450496744821</v>
      </c>
      <c r="I8" s="304">
        <f t="shared" ca="1" si="13"/>
        <v>1.2305372755310406</v>
      </c>
      <c r="J8" s="306">
        <f t="shared" ca="1" si="14"/>
        <v>2.5178378361195844E-3</v>
      </c>
      <c r="K8" s="307">
        <f t="shared" ca="1" si="15"/>
        <v>1.4280462343996275E-2</v>
      </c>
      <c r="L8" s="304">
        <f t="shared" ca="1" si="0"/>
        <v>1.450072798611473E-2</v>
      </c>
      <c r="M8" s="306">
        <f t="shared" ca="1" si="16"/>
        <v>1.3962634015954636</v>
      </c>
      <c r="N8" s="304">
        <f t="shared" ca="1" si="17"/>
        <v>80</v>
      </c>
      <c r="P8" s="310">
        <f t="shared" ca="1" si="18"/>
        <v>1</v>
      </c>
      <c r="Q8" s="304">
        <f t="shared" ca="1" si="19"/>
        <v>625.1</v>
      </c>
      <c r="R8" s="306">
        <f t="shared" ca="1" si="20"/>
        <v>0.31370856551543208</v>
      </c>
      <c r="S8" s="307">
        <f t="shared" ca="1" si="21"/>
        <v>8.8338295185025029</v>
      </c>
      <c r="T8" s="304">
        <f t="shared" ca="1" si="1"/>
        <v>86.659867576509555</v>
      </c>
      <c r="U8" s="311">
        <f t="shared" ca="1" si="2"/>
        <v>15.048328081518394</v>
      </c>
      <c r="V8" s="306">
        <f t="shared" ca="1" si="3"/>
        <v>1.2249982506446122</v>
      </c>
      <c r="W8" s="304">
        <f t="shared" ca="1" si="4"/>
        <v>6.043472097987293E-3</v>
      </c>
      <c r="Y8" s="314" t="str">
        <f t="shared" ca="1" si="22"/>
        <v/>
      </c>
      <c r="Z8" s="315" t="str">
        <f t="shared" ca="1" si="23"/>
        <v/>
      </c>
      <c r="AA8" s="316" t="str">
        <f t="shared" ca="1" si="24"/>
        <v/>
      </c>
      <c r="AC8" s="310" t="e">
        <f t="shared" ca="1" si="25"/>
        <v>#N/A</v>
      </c>
      <c r="AD8" s="323" t="e">
        <f t="shared" ca="1" si="26"/>
        <v>#N/A</v>
      </c>
      <c r="AE8" s="324">
        <f t="shared" ca="1" si="5"/>
        <v>1.4280462343996275E-2</v>
      </c>
      <c r="AG8" s="306">
        <f t="shared" ca="1" si="27"/>
        <v>61.100925430404878</v>
      </c>
      <c r="AH8" s="304">
        <f t="shared" ca="1" si="28"/>
        <v>70.761889487454638</v>
      </c>
    </row>
    <row r="9" spans="1:248" x14ac:dyDescent="0.2">
      <c r="A9" s="347">
        <f t="shared" ca="1" si="6"/>
        <v>0.01</v>
      </c>
      <c r="B9" s="304">
        <f t="shared" ca="1" si="7"/>
        <v>0.05</v>
      </c>
      <c r="D9" s="306">
        <f t="shared" ca="1" si="8"/>
        <v>14.127198301704855</v>
      </c>
      <c r="E9" s="307">
        <f t="shared" ca="1" si="9"/>
        <v>80.123804037457859</v>
      </c>
      <c r="F9" s="304">
        <f t="shared" ca="1" si="10"/>
        <v>81.359705661270937</v>
      </c>
      <c r="G9" s="306">
        <f t="shared" ca="1" si="11"/>
        <v>0.35493892489343748</v>
      </c>
      <c r="H9" s="307">
        <f t="shared" ca="1" si="12"/>
        <v>2.0130830900490606</v>
      </c>
      <c r="I9" s="304">
        <f t="shared" ca="1" si="13"/>
        <v>2.0441343321430674</v>
      </c>
      <c r="J9" s="306">
        <f t="shared" ca="1" si="14"/>
        <v>5.3608671699687162E-3</v>
      </c>
      <c r="K9" s="307">
        <f t="shared" ca="1" si="15"/>
        <v>3.0405103042613991E-2</v>
      </c>
      <c r="L9" s="304">
        <f t="shared" ca="1" si="0"/>
        <v>3.0874086024464321E-2</v>
      </c>
      <c r="M9" s="306">
        <f t="shared" ca="1" si="16"/>
        <v>1.3962634015954636</v>
      </c>
      <c r="N9" s="304">
        <f t="shared" ca="1" si="17"/>
        <v>80</v>
      </c>
      <c r="P9" s="310">
        <f t="shared" ca="1" si="18"/>
        <v>1</v>
      </c>
      <c r="Q9" s="304">
        <f t="shared" ca="1" si="19"/>
        <v>803.7</v>
      </c>
      <c r="R9" s="306">
        <f t="shared" ca="1" si="20"/>
        <v>0.40333958423412697</v>
      </c>
      <c r="S9" s="307">
        <f t="shared" ca="1" si="21"/>
        <v>8.8297961226601611</v>
      </c>
      <c r="T9" s="304">
        <f t="shared" ca="1" si="1"/>
        <v>86.620299963296191</v>
      </c>
      <c r="U9" s="311">
        <f t="shared" ca="1" si="2"/>
        <v>15.041457237589263</v>
      </c>
      <c r="V9" s="306">
        <f t="shared" ca="1" si="3"/>
        <v>1.2249962753805397</v>
      </c>
      <c r="W9" s="304">
        <f t="shared" ca="1" si="4"/>
        <v>1.6676892840373627E-2</v>
      </c>
      <c r="Y9" s="314" t="str">
        <f t="shared" ca="1" si="22"/>
        <v/>
      </c>
      <c r="Z9" s="315" t="str">
        <f t="shared" ca="1" si="23"/>
        <v/>
      </c>
      <c r="AA9" s="316" t="str">
        <f t="shared" ca="1" si="24"/>
        <v/>
      </c>
      <c r="AC9" s="310" t="e">
        <f t="shared" ca="1" si="25"/>
        <v>#N/A</v>
      </c>
      <c r="AD9" s="323" t="e">
        <f t="shared" ca="1" si="26"/>
        <v>#N/A</v>
      </c>
      <c r="AE9" s="324">
        <f t="shared" ca="1" si="5"/>
        <v>3.0405103042613991E-2</v>
      </c>
      <c r="AG9" s="306">
        <f t="shared" ca="1" si="27"/>
        <v>81.359705657549767</v>
      </c>
      <c r="AH9" s="304">
        <f t="shared" ca="1" si="28"/>
        <v>91.020669714599521</v>
      </c>
    </row>
    <row r="10" spans="1:248" x14ac:dyDescent="0.2">
      <c r="A10" s="347">
        <f t="shared" ca="1" si="6"/>
        <v>0.01</v>
      </c>
      <c r="B10" s="304">
        <f t="shared" ca="1" si="7"/>
        <v>6.0000000000000005E-2</v>
      </c>
      <c r="D10" s="306">
        <f t="shared" ca="1" si="8"/>
        <v>15.871230711155812</v>
      </c>
      <c r="E10" s="307">
        <f t="shared" ca="1" si="9"/>
        <v>90.015197876223098</v>
      </c>
      <c r="F10" s="304">
        <f t="shared" ca="1" si="10"/>
        <v>91.403675051839869</v>
      </c>
      <c r="G10" s="306">
        <f t="shared" ca="1" si="11"/>
        <v>0.51365123200499563</v>
      </c>
      <c r="H10" s="307">
        <f t="shared" ca="1" si="12"/>
        <v>2.9132350688112916</v>
      </c>
      <c r="I10" s="304">
        <f t="shared" ca="1" si="13"/>
        <v>2.9581710826610723</v>
      </c>
      <c r="J10" s="306">
        <f t="shared" ca="1" si="14"/>
        <v>9.7038179544608819E-3</v>
      </c>
      <c r="K10" s="307">
        <f t="shared" ca="1" si="15"/>
        <v>5.5036693836915757E-2</v>
      </c>
      <c r="L10" s="304">
        <f t="shared" ca="1" si="0"/>
        <v>5.588561309846854E-2</v>
      </c>
      <c r="M10" s="306">
        <f t="shared" ca="1" si="16"/>
        <v>1.3962634015954636</v>
      </c>
      <c r="N10" s="304">
        <f t="shared" ca="1" si="17"/>
        <v>80</v>
      </c>
      <c r="P10" s="310">
        <f t="shared" ca="1" si="18"/>
        <v>2</v>
      </c>
      <c r="Q10" s="304">
        <f t="shared" ca="1" si="19"/>
        <v>891.94444444444446</v>
      </c>
      <c r="R10" s="306">
        <f t="shared" ca="1" si="20"/>
        <v>0.44762535944029064</v>
      </c>
      <c r="S10" s="307">
        <f t="shared" ca="1" si="21"/>
        <v>8.8253198690657584</v>
      </c>
      <c r="T10" s="304">
        <f t="shared" ca="1" si="1"/>
        <v>86.576387915535093</v>
      </c>
      <c r="U10" s="311">
        <f t="shared" ca="1" si="2"/>
        <v>15.033831990517925</v>
      </c>
      <c r="V10" s="306">
        <f t="shared" ca="1" si="3"/>
        <v>1.2249932580235579</v>
      </c>
      <c r="W10" s="304">
        <f t="shared" ca="1" si="4"/>
        <v>3.4925431315559093E-2</v>
      </c>
      <c r="Y10" s="314" t="str">
        <f t="shared" ca="1" si="22"/>
        <v/>
      </c>
      <c r="Z10" s="315" t="str">
        <f t="shared" ca="1" si="23"/>
        <v/>
      </c>
      <c r="AA10" s="316" t="str">
        <f t="shared" ca="1" si="24"/>
        <v/>
      </c>
      <c r="AC10" s="310" t="e">
        <f t="shared" ca="1" si="25"/>
        <v>#N/A</v>
      </c>
      <c r="AD10" s="323" t="e">
        <f t="shared" ca="1" si="26"/>
        <v>#N/A</v>
      </c>
      <c r="AE10" s="324">
        <f t="shared" ca="1" si="5"/>
        <v>5.5036693836915757E-2</v>
      </c>
      <c r="AG10" s="306">
        <f t="shared" ca="1" si="27"/>
        <v>91.403675047756181</v>
      </c>
      <c r="AH10" s="304">
        <f t="shared" ca="1" si="28"/>
        <v>101.06463910480595</v>
      </c>
    </row>
    <row r="11" spans="1:248" x14ac:dyDescent="0.2">
      <c r="A11" s="347">
        <f t="shared" ca="1" si="6"/>
        <v>0.01</v>
      </c>
      <c r="B11" s="304">
        <f t="shared" ca="1" si="7"/>
        <v>7.0000000000000007E-2</v>
      </c>
      <c r="D11" s="306">
        <f t="shared" ca="1" si="8"/>
        <v>15.838198250748631</v>
      </c>
      <c r="E11" s="307">
        <f t="shared" ca="1" si="9"/>
        <v>89.827852220317411</v>
      </c>
      <c r="F11" s="304">
        <f t="shared" ca="1" si="10"/>
        <v>91.213439570850525</v>
      </c>
      <c r="G11" s="306">
        <f t="shared" ca="1" si="11"/>
        <v>0.67203321451248188</v>
      </c>
      <c r="H11" s="307">
        <f t="shared" ca="1" si="12"/>
        <v>3.8115135910144655</v>
      </c>
      <c r="I11" s="304">
        <f t="shared" ca="1" si="13"/>
        <v>3.8703054783693709</v>
      </c>
      <c r="J11" s="306">
        <f t="shared" ca="1" si="14"/>
        <v>1.5632240187048268E-2</v>
      </c>
      <c r="K11" s="307">
        <f t="shared" ca="1" si="15"/>
        <v>8.8660437136044545E-2</v>
      </c>
      <c r="L11" s="304">
        <f t="shared" ca="1" si="0"/>
        <v>9.0027995903608077E-2</v>
      </c>
      <c r="M11" s="306">
        <f t="shared" ca="1" si="16"/>
        <v>1.3962634015954636</v>
      </c>
      <c r="N11" s="304">
        <f t="shared" ca="1" si="17"/>
        <v>80</v>
      </c>
      <c r="P11" s="310">
        <f t="shared" ca="1" si="18"/>
        <v>2</v>
      </c>
      <c r="Q11" s="304">
        <f t="shared" ca="1" si="19"/>
        <v>889.83333333333337</v>
      </c>
      <c r="R11" s="306">
        <f t="shared" ca="1" si="20"/>
        <v>0.44656589113392309</v>
      </c>
      <c r="S11" s="307">
        <f t="shared" ca="1" si="21"/>
        <v>8.820854210154419</v>
      </c>
      <c r="T11" s="304">
        <f t="shared" ca="1" si="1"/>
        <v>86.532579801614858</v>
      </c>
      <c r="U11" s="311">
        <f t="shared" ca="1" si="2"/>
        <v>15.026224791368652</v>
      </c>
      <c r="V11" s="306">
        <f t="shared" ca="1" si="3"/>
        <v>1.2249891391445973</v>
      </c>
      <c r="W11" s="304">
        <f t="shared" ca="1" si="4"/>
        <v>5.9783898597928951E-2</v>
      </c>
      <c r="Y11" s="314" t="str">
        <f t="shared" ca="1" si="22"/>
        <v/>
      </c>
      <c r="Z11" s="315" t="str">
        <f t="shared" ca="1" si="23"/>
        <v/>
      </c>
      <c r="AA11" s="316" t="str">
        <f t="shared" ca="1" si="24"/>
        <v/>
      </c>
      <c r="AC11" s="310" t="e">
        <f t="shared" ca="1" si="25"/>
        <v>#N/A</v>
      </c>
      <c r="AD11" s="323" t="e">
        <f t="shared" ca="1" si="26"/>
        <v>#N/A</v>
      </c>
      <c r="AE11" s="324">
        <f t="shared" ca="1" si="5"/>
        <v>8.8660437136044545E-2</v>
      </c>
      <c r="AG11" s="306">
        <f t="shared" ca="1" si="27"/>
        <v>91.21343956677353</v>
      </c>
      <c r="AH11" s="304">
        <f t="shared" ca="1" si="28"/>
        <v>100.8744036238233</v>
      </c>
    </row>
    <row r="12" spans="1:248" x14ac:dyDescent="0.2">
      <c r="A12" s="347">
        <f t="shared" ca="1" si="6"/>
        <v>0.01</v>
      </c>
      <c r="B12" s="304">
        <f t="shared" ca="1" si="7"/>
        <v>0.08</v>
      </c>
      <c r="D12" s="306">
        <f t="shared" ca="1" si="8"/>
        <v>15.804981128789354</v>
      </c>
      <c r="E12" s="307">
        <f t="shared" ca="1" si="9"/>
        <v>89.63945928136701</v>
      </c>
      <c r="F12" s="304">
        <f t="shared" ca="1" si="10"/>
        <v>91.02214065125716</v>
      </c>
      <c r="G12" s="306">
        <f t="shared" ca="1" si="11"/>
        <v>0.83008302580037541</v>
      </c>
      <c r="H12" s="307">
        <f t="shared" ca="1" si="12"/>
        <v>4.7079081838281356</v>
      </c>
      <c r="I12" s="304">
        <f t="shared" ca="1" si="13"/>
        <v>4.7805268848818168</v>
      </c>
      <c r="J12" s="306">
        <f t="shared" ca="1" si="14"/>
        <v>2.3142821388612553E-2</v>
      </c>
      <c r="K12" s="307">
        <f t="shared" ca="1" si="15"/>
        <v>0.13125754601025755</v>
      </c>
      <c r="L12" s="304">
        <f t="shared" ca="1" si="0"/>
        <v>0.13328215771985424</v>
      </c>
      <c r="M12" s="306">
        <f t="shared" ca="1" si="16"/>
        <v>1.3962634015954636</v>
      </c>
      <c r="N12" s="304">
        <f t="shared" ca="1" si="17"/>
        <v>80</v>
      </c>
      <c r="P12" s="310">
        <f t="shared" ca="1" si="18"/>
        <v>2</v>
      </c>
      <c r="Q12" s="304">
        <f t="shared" ca="1" si="19"/>
        <v>887.72222222222217</v>
      </c>
      <c r="R12" s="306">
        <f t="shared" ca="1" si="20"/>
        <v>0.44550642282755548</v>
      </c>
      <c r="S12" s="307">
        <f t="shared" ca="1" si="21"/>
        <v>8.8163991459261428</v>
      </c>
      <c r="T12" s="304">
        <f t="shared" ca="1" si="1"/>
        <v>86.48887562153547</v>
      </c>
      <c r="U12" s="311">
        <f t="shared" ca="1" si="2"/>
        <v>15.018635640141438</v>
      </c>
      <c r="V12" s="306">
        <f t="shared" ca="1" si="3"/>
        <v>1.224983921056138</v>
      </c>
      <c r="W12" s="304">
        <f t="shared" ca="1" si="4"/>
        <v>9.1210203175494872E-2</v>
      </c>
      <c r="Y12" s="314" t="str">
        <f t="shared" ca="1" si="22"/>
        <v/>
      </c>
      <c r="Z12" s="315" t="str">
        <f t="shared" ca="1" si="23"/>
        <v/>
      </c>
      <c r="AA12" s="316" t="str">
        <f t="shared" ca="1" si="24"/>
        <v/>
      </c>
      <c r="AC12" s="310" t="e">
        <f t="shared" ca="1" si="25"/>
        <v>#N/A</v>
      </c>
      <c r="AD12" s="323" t="e">
        <f t="shared" ca="1" si="26"/>
        <v>#N/A</v>
      </c>
      <c r="AE12" s="324">
        <f t="shared" ca="1" si="5"/>
        <v>0.13125754601025755</v>
      </c>
      <c r="AG12" s="306">
        <f t="shared" ca="1" si="27"/>
        <v>91.022140647186859</v>
      </c>
      <c r="AH12" s="304">
        <f t="shared" ca="1" si="28"/>
        <v>100.68310470423663</v>
      </c>
    </row>
    <row r="13" spans="1:248" x14ac:dyDescent="0.2">
      <c r="A13" s="347">
        <f t="shared" ca="1" si="6"/>
        <v>0.01</v>
      </c>
      <c r="B13" s="304">
        <f t="shared" ca="1" si="7"/>
        <v>0.09</v>
      </c>
      <c r="D13" s="306">
        <f t="shared" ca="1" si="8"/>
        <v>15.771580014465702</v>
      </c>
      <c r="E13" s="307">
        <f t="shared" ca="1" si="9"/>
        <v>89.450022854534254</v>
      </c>
      <c r="F13" s="304">
        <f t="shared" ca="1" si="10"/>
        <v>90.829782146768324</v>
      </c>
      <c r="G13" s="306">
        <f t="shared" ca="1" si="11"/>
        <v>0.98779882594503243</v>
      </c>
      <c r="H13" s="307">
        <f t="shared" ca="1" si="12"/>
        <v>5.6024084123734781</v>
      </c>
      <c r="I13" s="304">
        <f t="shared" ca="1" si="13"/>
        <v>5.688824706349414</v>
      </c>
      <c r="J13" s="306">
        <f t="shared" ca="1" si="14"/>
        <v>3.2232230647339592E-2</v>
      </c>
      <c r="K13" s="307">
        <f t="shared" ca="1" si="15"/>
        <v>0.18280912899126561</v>
      </c>
      <c r="L13" s="304">
        <f t="shared" ca="1" si="0"/>
        <v>0.18562891567600262</v>
      </c>
      <c r="M13" s="306">
        <f t="shared" ca="1" si="16"/>
        <v>1.3962634015954636</v>
      </c>
      <c r="N13" s="304">
        <f t="shared" ca="1" si="17"/>
        <v>80</v>
      </c>
      <c r="P13" s="310">
        <f t="shared" ca="1" si="18"/>
        <v>2</v>
      </c>
      <c r="Q13" s="304">
        <f t="shared" ca="1" si="19"/>
        <v>885.61111111111109</v>
      </c>
      <c r="R13" s="306">
        <f t="shared" ca="1" si="20"/>
        <v>0.44444695452118799</v>
      </c>
      <c r="S13" s="307">
        <f t="shared" ca="1" si="21"/>
        <v>8.8119546763809318</v>
      </c>
      <c r="T13" s="304">
        <f t="shared" ca="1" si="1"/>
        <v>86.445275375296944</v>
      </c>
      <c r="U13" s="311">
        <f t="shared" ca="1" si="2"/>
        <v>15.011064536836288</v>
      </c>
      <c r="V13" s="306">
        <f t="shared" ca="1" si="3"/>
        <v>1.2249776060863893</v>
      </c>
      <c r="W13" s="304">
        <f t="shared" ca="1" si="4"/>
        <v>0.12916199902899003</v>
      </c>
      <c r="Y13" s="314" t="str">
        <f t="shared" ca="1" si="22"/>
        <v/>
      </c>
      <c r="Z13" s="315" t="str">
        <f t="shared" ca="1" si="23"/>
        <v/>
      </c>
      <c r="AA13" s="316" t="str">
        <f t="shared" ca="1" si="24"/>
        <v/>
      </c>
      <c r="AC13" s="310" t="e">
        <f t="shared" ca="1" si="25"/>
        <v>#N/A</v>
      </c>
      <c r="AD13" s="323" t="e">
        <f t="shared" ca="1" si="26"/>
        <v>#N/A</v>
      </c>
      <c r="AE13" s="324">
        <f t="shared" ca="1" si="5"/>
        <v>0.18280912899126561</v>
      </c>
      <c r="AG13" s="306">
        <f t="shared" ca="1" si="27"/>
        <v>90.829782142704687</v>
      </c>
      <c r="AH13" s="304">
        <f t="shared" ca="1" si="28"/>
        <v>100.49074619975445</v>
      </c>
    </row>
    <row r="14" spans="1:248" x14ac:dyDescent="0.2">
      <c r="A14" s="347">
        <f t="shared" ca="1" si="6"/>
        <v>0.01</v>
      </c>
      <c r="B14" s="304">
        <f t="shared" ca="1" si="7"/>
        <v>9.9999999999999992E-2</v>
      </c>
      <c r="D14" s="306">
        <f t="shared" ca="1" si="8"/>
        <v>15.73799558466353</v>
      </c>
      <c r="E14" s="307">
        <f t="shared" ca="1" si="9"/>
        <v>89.259546778639972</v>
      </c>
      <c r="F14" s="304">
        <f t="shared" ca="1" si="10"/>
        <v>90.636367955424532</v>
      </c>
      <c r="G14" s="306">
        <f t="shared" ca="1" si="11"/>
        <v>1.1451787817916677</v>
      </c>
      <c r="H14" s="307">
        <f t="shared" ca="1" si="12"/>
        <v>6.495003880159878</v>
      </c>
      <c r="I14" s="304">
        <f t="shared" ca="1" si="13"/>
        <v>6.5951883859035991</v>
      </c>
      <c r="J14" s="306">
        <f t="shared" ca="1" si="14"/>
        <v>4.289711868602309E-2</v>
      </c>
      <c r="K14" s="307">
        <f t="shared" ca="1" si="15"/>
        <v>0.24329619045393239</v>
      </c>
      <c r="L14" s="304">
        <f t="shared" ca="1" si="0"/>
        <v>0.24704898113726131</v>
      </c>
      <c r="M14" s="306">
        <f t="shared" ca="1" si="16"/>
        <v>1.3962634015954636</v>
      </c>
      <c r="N14" s="304">
        <f t="shared" ca="1" si="17"/>
        <v>80</v>
      </c>
      <c r="P14" s="310">
        <f t="shared" ca="1" si="18"/>
        <v>2</v>
      </c>
      <c r="Q14" s="304">
        <f t="shared" ca="1" si="19"/>
        <v>883.5</v>
      </c>
      <c r="R14" s="306">
        <f t="shared" ca="1" si="20"/>
        <v>0.44338748621482044</v>
      </c>
      <c r="S14" s="307">
        <f t="shared" ca="1" si="21"/>
        <v>8.807520801518784</v>
      </c>
      <c r="T14" s="304">
        <f t="shared" ca="1" si="1"/>
        <v>86.40177906289928</v>
      </c>
      <c r="U14" s="311">
        <f t="shared" ca="1" si="2"/>
        <v>15.003511481453202</v>
      </c>
      <c r="V14" s="306">
        <f t="shared" ca="1" si="3"/>
        <v>1.2249701965792226</v>
      </c>
      <c r="W14" s="304">
        <f t="shared" ca="1" si="4"/>
        <v>0.17359668918676813</v>
      </c>
      <c r="Y14" s="314" t="str">
        <f t="shared" ca="1" si="22"/>
        <v/>
      </c>
      <c r="Z14" s="315" t="str">
        <f t="shared" ca="1" si="23"/>
        <v/>
      </c>
      <c r="AA14" s="316" t="str">
        <f t="shared" ca="1" si="24"/>
        <v/>
      </c>
      <c r="AC14" s="310" t="e">
        <f t="shared" ca="1" si="25"/>
        <v>#N/A</v>
      </c>
      <c r="AD14" s="323" t="e">
        <f t="shared" ca="1" si="26"/>
        <v>#N/A</v>
      </c>
      <c r="AE14" s="324">
        <f t="shared" ca="1" si="5"/>
        <v>0.24329619045393239</v>
      </c>
      <c r="AG14" s="306">
        <f t="shared" ca="1" si="27"/>
        <v>90.636367951367532</v>
      </c>
      <c r="AH14" s="304">
        <f t="shared" ca="1" si="28"/>
        <v>100.29733200841729</v>
      </c>
    </row>
    <row r="15" spans="1:248" x14ac:dyDescent="0.2">
      <c r="A15" s="347">
        <f t="shared" ca="1" si="6"/>
        <v>0.01</v>
      </c>
      <c r="B15" s="304">
        <f t="shared" ca="1" si="7"/>
        <v>0.10999999999999999</v>
      </c>
      <c r="D15" s="306">
        <f t="shared" ca="1" si="8"/>
        <v>15.704228523908041</v>
      </c>
      <c r="E15" s="307">
        <f t="shared" ca="1" si="9"/>
        <v>89.068034935829886</v>
      </c>
      <c r="F15" s="304">
        <f t="shared" ca="1" si="10"/>
        <v>90.44190201925953</v>
      </c>
      <c r="G15" s="306">
        <f t="shared" ca="1" si="11"/>
        <v>1.3022210670307481</v>
      </c>
      <c r="H15" s="307">
        <f t="shared" ca="1" si="12"/>
        <v>7.3856842295181764</v>
      </c>
      <c r="I15" s="304">
        <f t="shared" ca="1" si="13"/>
        <v>7.499607406096148</v>
      </c>
      <c r="J15" s="306">
        <f t="shared" ca="1" si="14"/>
        <v>5.5134117930135174E-2</v>
      </c>
      <c r="K15" s="307">
        <f t="shared" ca="1" si="15"/>
        <v>0.31269963100232268</v>
      </c>
      <c r="L15" s="304">
        <f t="shared" ca="1" si="0"/>
        <v>0.31752296009725473</v>
      </c>
      <c r="M15" s="306">
        <f t="shared" ca="1" si="16"/>
        <v>1.3962634015954636</v>
      </c>
      <c r="N15" s="304">
        <f t="shared" ca="1" si="17"/>
        <v>80</v>
      </c>
      <c r="P15" s="310">
        <f t="shared" ca="1" si="18"/>
        <v>2</v>
      </c>
      <c r="Q15" s="304">
        <f t="shared" ca="1" si="19"/>
        <v>881.38888888888891</v>
      </c>
      <c r="R15" s="306">
        <f t="shared" ca="1" si="20"/>
        <v>0.44232801790845289</v>
      </c>
      <c r="S15" s="307">
        <f t="shared" ca="1" si="21"/>
        <v>8.8030975213396996</v>
      </c>
      <c r="T15" s="304">
        <f t="shared" ca="1" si="1"/>
        <v>86.358386684342463</v>
      </c>
      <c r="U15" s="311">
        <f t="shared" ca="1" si="2"/>
        <v>14.995976473992178</v>
      </c>
      <c r="V15" s="306">
        <f t="shared" ca="1" si="3"/>
        <v>1.224961694894102</v>
      </c>
      <c r="W15" s="304">
        <f t="shared" ca="1" si="4"/>
        <v>0.22447142930120931</v>
      </c>
      <c r="Y15" s="314" t="str">
        <f t="shared" ca="1" si="22"/>
        <v/>
      </c>
      <c r="Z15" s="315" t="str">
        <f t="shared" ca="1" si="23"/>
        <v/>
      </c>
      <c r="AA15" s="316" t="str">
        <f t="shared" ca="1" si="24"/>
        <v/>
      </c>
      <c r="AC15" s="310" t="e">
        <f t="shared" ca="1" si="25"/>
        <v>#N/A</v>
      </c>
      <c r="AD15" s="323" t="e">
        <f t="shared" ca="1" si="26"/>
        <v>#N/A</v>
      </c>
      <c r="AE15" s="324">
        <f t="shared" ca="1" si="5"/>
        <v>0.31269963100232268</v>
      </c>
      <c r="AG15" s="306">
        <f t="shared" ca="1" si="27"/>
        <v>90.441902015209124</v>
      </c>
      <c r="AH15" s="304">
        <f t="shared" ca="1" si="28"/>
        <v>100.10286607225889</v>
      </c>
    </row>
    <row r="16" spans="1:248" x14ac:dyDescent="0.2">
      <c r="A16" s="347">
        <f t="shared" ca="1" si="6"/>
        <v>0.01</v>
      </c>
      <c r="B16" s="304">
        <f t="shared" ca="1" si="7"/>
        <v>0.11999999999999998</v>
      </c>
      <c r="D16" s="306">
        <f t="shared" ca="1" si="8"/>
        <v>15.67027952430416</v>
      </c>
      <c r="E16" s="307">
        <f t="shared" ca="1" si="9"/>
        <v>88.875491251236696</v>
      </c>
      <c r="F16" s="304">
        <f t="shared" ca="1" si="10"/>
        <v>90.246388323957191</v>
      </c>
      <c r="G16" s="306">
        <f t="shared" ca="1" si="11"/>
        <v>1.4589238622737897</v>
      </c>
      <c r="H16" s="307">
        <f t="shared" ca="1" si="12"/>
        <v>8.274439142030543</v>
      </c>
      <c r="I16" s="304">
        <f t="shared" ca="1" si="13"/>
        <v>8.4020712893356855</v>
      </c>
      <c r="J16" s="306">
        <f t="shared" ca="1" si="14"/>
        <v>6.8939842576657862E-2</v>
      </c>
      <c r="K16" s="307">
        <f t="shared" ca="1" si="15"/>
        <v>0.39100024786006626</v>
      </c>
      <c r="L16" s="304">
        <f t="shared" ca="1" si="0"/>
        <v>0.39703135357440933</v>
      </c>
      <c r="M16" s="306">
        <f t="shared" ca="1" si="16"/>
        <v>1.3962634015954636</v>
      </c>
      <c r="N16" s="304">
        <f t="shared" ca="1" si="17"/>
        <v>80</v>
      </c>
      <c r="P16" s="310">
        <f t="shared" ca="1" si="18"/>
        <v>2</v>
      </c>
      <c r="Q16" s="304">
        <f t="shared" ca="1" si="19"/>
        <v>879.27777777777783</v>
      </c>
      <c r="R16" s="306">
        <f t="shared" ca="1" si="20"/>
        <v>0.44126854960208534</v>
      </c>
      <c r="S16" s="307">
        <f t="shared" ca="1" si="21"/>
        <v>8.7986848358436784</v>
      </c>
      <c r="T16" s="304">
        <f t="shared" ca="1" si="1"/>
        <v>86.315098239626494</v>
      </c>
      <c r="U16" s="311">
        <f t="shared" ca="1" si="2"/>
        <v>14.988459514453215</v>
      </c>
      <c r="V16" s="306">
        <f t="shared" ca="1" si="3"/>
        <v>1.2249521034060165</v>
      </c>
      <c r="W16" s="304">
        <f t="shared" ca="1" si="4"/>
        <v>0.28174313124610395</v>
      </c>
      <c r="Y16" s="314" t="str">
        <f t="shared" ca="1" si="22"/>
        <v/>
      </c>
      <c r="Z16" s="315" t="str">
        <f t="shared" ca="1" si="23"/>
        <v/>
      </c>
      <c r="AA16" s="316" t="str">
        <f t="shared" ca="1" si="24"/>
        <v/>
      </c>
      <c r="AC16" s="310" t="e">
        <f t="shared" ca="1" si="25"/>
        <v>#N/A</v>
      </c>
      <c r="AD16" s="323" t="e">
        <f t="shared" ca="1" si="26"/>
        <v>#N/A</v>
      </c>
      <c r="AE16" s="324">
        <f t="shared" ca="1" si="5"/>
        <v>0.39100024786006626</v>
      </c>
      <c r="AG16" s="306">
        <f t="shared" ca="1" si="27"/>
        <v>90.246388319913393</v>
      </c>
      <c r="AH16" s="304">
        <f t="shared" ca="1" si="28"/>
        <v>99.907352376963161</v>
      </c>
    </row>
    <row r="17" spans="1:34" x14ac:dyDescent="0.2">
      <c r="A17" s="347">
        <f t="shared" ca="1" si="6"/>
        <v>0.01</v>
      </c>
      <c r="B17" s="304">
        <f t="shared" ca="1" si="7"/>
        <v>0.12999999999999998</v>
      </c>
      <c r="D17" s="306">
        <f t="shared" ca="1" si="8"/>
        <v>15.636149285476254</v>
      </c>
      <c r="E17" s="307">
        <f t="shared" ca="1" si="9"/>
        <v>88.68191969263809</v>
      </c>
      <c r="F17" s="304">
        <f t="shared" ca="1" si="10"/>
        <v>90.049830898504254</v>
      </c>
      <c r="G17" s="306">
        <f t="shared" ca="1" si="11"/>
        <v>1.6152853551285522</v>
      </c>
      <c r="H17" s="307">
        <f t="shared" ca="1" si="12"/>
        <v>9.1612583389569231</v>
      </c>
      <c r="I17" s="304">
        <f t="shared" ca="1" si="13"/>
        <v>9.3025695983206997</v>
      </c>
      <c r="J17" s="306">
        <f t="shared" ca="1" si="14"/>
        <v>8.4310888663669578E-2</v>
      </c>
      <c r="K17" s="307">
        <f t="shared" ca="1" si="15"/>
        <v>0.4781787352650036</v>
      </c>
      <c r="L17" s="304">
        <f t="shared" ca="1" si="0"/>
        <v>0.48555455801268727</v>
      </c>
      <c r="M17" s="306">
        <f t="shared" ca="1" si="16"/>
        <v>1.3962634015954636</v>
      </c>
      <c r="N17" s="304">
        <f t="shared" ca="1" si="17"/>
        <v>80</v>
      </c>
      <c r="P17" s="310">
        <f t="shared" ca="1" si="18"/>
        <v>2</v>
      </c>
      <c r="Q17" s="304">
        <f t="shared" ca="1" si="19"/>
        <v>877.16666666666663</v>
      </c>
      <c r="R17" s="306">
        <f t="shared" ca="1" si="20"/>
        <v>0.44020908129571773</v>
      </c>
      <c r="S17" s="307">
        <f t="shared" ca="1" si="21"/>
        <v>8.7942827450307206</v>
      </c>
      <c r="T17" s="304">
        <f t="shared" ca="1" si="1"/>
        <v>86.271913728751372</v>
      </c>
      <c r="U17" s="311">
        <f t="shared" ca="1" si="2"/>
        <v>14.980960602836312</v>
      </c>
      <c r="V17" s="306">
        <f t="shared" ca="1" si="3"/>
        <v>1.2249414245054078</v>
      </c>
      <c r="W17" s="304">
        <f t="shared" ca="1" si="4"/>
        <v>0.34536846673447508</v>
      </c>
      <c r="Y17" s="314" t="str">
        <f t="shared" ca="1" si="22"/>
        <v/>
      </c>
      <c r="Z17" s="315" t="str">
        <f t="shared" ca="1" si="23"/>
        <v/>
      </c>
      <c r="AA17" s="316" t="str">
        <f t="shared" ca="1" si="24"/>
        <v/>
      </c>
      <c r="AC17" s="310" t="e">
        <f t="shared" ca="1" si="25"/>
        <v>#N/A</v>
      </c>
      <c r="AD17" s="323" t="e">
        <f t="shared" ca="1" si="26"/>
        <v>#N/A</v>
      </c>
      <c r="AE17" s="324">
        <f t="shared" ca="1" si="5"/>
        <v>0.4781787352650036</v>
      </c>
      <c r="AG17" s="306">
        <f t="shared" ca="1" si="27"/>
        <v>90.04983089446705</v>
      </c>
      <c r="AH17" s="304">
        <f t="shared" ca="1" si="28"/>
        <v>99.710794951516803</v>
      </c>
    </row>
    <row r="18" spans="1:34" x14ac:dyDescent="0.2">
      <c r="A18" s="347">
        <f t="shared" ca="1" si="6"/>
        <v>0.01</v>
      </c>
      <c r="B18" s="304">
        <f t="shared" ca="1" si="7"/>
        <v>0.13999999999999999</v>
      </c>
      <c r="D18" s="306">
        <f t="shared" ca="1" si="8"/>
        <v>15.601838514507106</v>
      </c>
      <c r="E18" s="307">
        <f t="shared" ca="1" si="9"/>
        <v>88.487324270110648</v>
      </c>
      <c r="F18" s="304">
        <f t="shared" ca="1" si="10"/>
        <v>89.852233814838854</v>
      </c>
      <c r="G18" s="306">
        <f t="shared" ca="1" si="11"/>
        <v>1.7713037402736234</v>
      </c>
      <c r="H18" s="307">
        <f t="shared" ca="1" si="12"/>
        <v>10.046131581658029</v>
      </c>
      <c r="I18" s="304">
        <f t="shared" ca="1" si="13"/>
        <v>10.201091936469066</v>
      </c>
      <c r="J18" s="306">
        <f t="shared" ca="1" si="14"/>
        <v>0.10124383414068046</v>
      </c>
      <c r="K18" s="307">
        <f t="shared" ca="1" si="15"/>
        <v>0.57421568486807839</v>
      </c>
      <c r="L18" s="304">
        <f t="shared" ca="1" si="0"/>
        <v>0.58307286568663264</v>
      </c>
      <c r="M18" s="306">
        <f t="shared" ca="1" si="16"/>
        <v>1.3962634015954636</v>
      </c>
      <c r="N18" s="304">
        <f t="shared" ca="1" si="17"/>
        <v>80</v>
      </c>
      <c r="P18" s="310">
        <f t="shared" ca="1" si="18"/>
        <v>2</v>
      </c>
      <c r="Q18" s="304">
        <f t="shared" ca="1" si="19"/>
        <v>875.05555555555554</v>
      </c>
      <c r="R18" s="306">
        <f t="shared" ca="1" si="20"/>
        <v>0.43914961298935024</v>
      </c>
      <c r="S18" s="307">
        <f t="shared" ca="1" si="21"/>
        <v>8.7898912489008278</v>
      </c>
      <c r="T18" s="304">
        <f t="shared" ca="1" si="1"/>
        <v>86.228833151717126</v>
      </c>
      <c r="U18" s="311">
        <f t="shared" ca="1" si="2"/>
        <v>14.973479739141474</v>
      </c>
      <c r="V18" s="306">
        <f t="shared" ca="1" si="3"/>
        <v>1.2249296605981033</v>
      </c>
      <c r="W18" s="304">
        <f t="shared" ca="1" si="4"/>
        <v>0.4153038709563075</v>
      </c>
      <c r="Y18" s="314" t="str">
        <f t="shared" ca="1" si="22"/>
        <v/>
      </c>
      <c r="Z18" s="315" t="str">
        <f t="shared" ca="1" si="23"/>
        <v/>
      </c>
      <c r="AA18" s="316" t="str">
        <f t="shared" ca="1" si="24"/>
        <v/>
      </c>
      <c r="AC18" s="310" t="e">
        <f t="shared" ca="1" si="25"/>
        <v>#N/A</v>
      </c>
      <c r="AD18" s="323" t="e">
        <f t="shared" ca="1" si="26"/>
        <v>#N/A</v>
      </c>
      <c r="AE18" s="324">
        <f t="shared" ca="1" si="5"/>
        <v>0.57421568486807839</v>
      </c>
      <c r="AG18" s="306">
        <f t="shared" ca="1" si="27"/>
        <v>89.852233810808173</v>
      </c>
      <c r="AH18" s="304">
        <f t="shared" ca="1" si="28"/>
        <v>99.51319786785794</v>
      </c>
    </row>
    <row r="19" spans="1:34" x14ac:dyDescent="0.2">
      <c r="A19" s="347">
        <f t="shared" ca="1" si="6"/>
        <v>0.01</v>
      </c>
      <c r="B19" s="304">
        <f t="shared" ca="1" si="7"/>
        <v>0.15</v>
      </c>
      <c r="D19" s="306">
        <f t="shared" ca="1" si="8"/>
        <v>15.567347925876149</v>
      </c>
      <c r="E19" s="307">
        <f t="shared" ca="1" si="9"/>
        <v>88.291709035679588</v>
      </c>
      <c r="F19" s="304">
        <f t="shared" ca="1" si="10"/>
        <v>89.653601187494885</v>
      </c>
      <c r="G19" s="306">
        <f t="shared" ca="1" si="11"/>
        <v>1.9269772195323849</v>
      </c>
      <c r="H19" s="307">
        <f t="shared" ca="1" si="12"/>
        <v>10.929048672014826</v>
      </c>
      <c r="I19" s="304">
        <f t="shared" ca="1" si="13"/>
        <v>11.097627948343996</v>
      </c>
      <c r="J19" s="306">
        <f t="shared" ca="1" si="14"/>
        <v>0.1197352389397105</v>
      </c>
      <c r="K19" s="307">
        <f t="shared" ca="1" si="15"/>
        <v>0.6790915861364426</v>
      </c>
      <c r="L19" s="304">
        <f t="shared" ca="1" si="0"/>
        <v>0.68956646511069475</v>
      </c>
      <c r="M19" s="306">
        <f t="shared" ca="1" si="16"/>
        <v>1.3962634015954636</v>
      </c>
      <c r="N19" s="304">
        <f t="shared" ca="1" si="17"/>
        <v>80</v>
      </c>
      <c r="P19" s="310">
        <f t="shared" ca="1" si="18"/>
        <v>2</v>
      </c>
      <c r="Q19" s="304">
        <f t="shared" ca="1" si="19"/>
        <v>872.94444444444446</v>
      </c>
      <c r="R19" s="306">
        <f t="shared" ca="1" si="20"/>
        <v>0.43809014468298269</v>
      </c>
      <c r="S19" s="307">
        <f t="shared" ca="1" si="21"/>
        <v>8.7855103474539984</v>
      </c>
      <c r="T19" s="304">
        <f t="shared" ca="1" si="1"/>
        <v>86.185856508523727</v>
      </c>
      <c r="U19" s="311">
        <f t="shared" ca="1" si="2"/>
        <v>14.966016923368699</v>
      </c>
      <c r="V19" s="306">
        <f t="shared" ca="1" si="3"/>
        <v>1.2249168141052407</v>
      </c>
      <c r="W19" s="304">
        <f t="shared" ca="1" si="4"/>
        <v>0.49150554623563658</v>
      </c>
      <c r="Y19" s="314" t="str">
        <f t="shared" ca="1" si="22"/>
        <v/>
      </c>
      <c r="Z19" s="315" t="str">
        <f t="shared" ca="1" si="23"/>
        <v/>
      </c>
      <c r="AA19" s="316" t="str">
        <f t="shared" ca="1" si="24"/>
        <v/>
      </c>
      <c r="AC19" s="310" t="e">
        <f t="shared" ca="1" si="25"/>
        <v>#N/A</v>
      </c>
      <c r="AD19" s="323" t="e">
        <f t="shared" ca="1" si="26"/>
        <v>#N/A</v>
      </c>
      <c r="AE19" s="324">
        <f t="shared" ca="1" si="5"/>
        <v>0.6790915861364426</v>
      </c>
      <c r="AG19" s="306">
        <f t="shared" ca="1" si="27"/>
        <v>89.653601183470741</v>
      </c>
      <c r="AH19" s="304">
        <f t="shared" ca="1" si="28"/>
        <v>99.314565240520508</v>
      </c>
    </row>
    <row r="20" spans="1:34" x14ac:dyDescent="0.2">
      <c r="A20" s="347">
        <f t="shared" ca="1" si="6"/>
        <v>0.01</v>
      </c>
      <c r="B20" s="304">
        <f t="shared" ca="1" si="7"/>
        <v>0.16</v>
      </c>
      <c r="D20" s="306">
        <f t="shared" ca="1" si="8"/>
        <v>15.532678241397042</v>
      </c>
      <c r="E20" s="307">
        <f t="shared" ca="1" si="9"/>
        <v>88.095078082964719</v>
      </c>
      <c r="F20" s="304">
        <f t="shared" ca="1" si="10"/>
        <v>89.453937173242522</v>
      </c>
      <c r="G20" s="306">
        <f t="shared" ca="1" si="11"/>
        <v>2.0823040019463552</v>
      </c>
      <c r="H20" s="307">
        <f t="shared" ca="1" si="12"/>
        <v>11.809999452844473</v>
      </c>
      <c r="I20" s="304">
        <f t="shared" ca="1" si="13"/>
        <v>11.992167320076407</v>
      </c>
      <c r="J20" s="306">
        <f t="shared" ca="1" si="14"/>
        <v>0.13978164504710419</v>
      </c>
      <c r="K20" s="307">
        <f t="shared" ca="1" si="15"/>
        <v>0.79278682676073908</v>
      </c>
      <c r="L20" s="304">
        <f t="shared" ca="1" si="0"/>
        <v>0.80501544145279402</v>
      </c>
      <c r="M20" s="306">
        <f t="shared" ca="1" si="16"/>
        <v>1.3962634015954636</v>
      </c>
      <c r="N20" s="304">
        <f t="shared" ca="1" si="17"/>
        <v>80</v>
      </c>
      <c r="P20" s="310">
        <f t="shared" ca="1" si="18"/>
        <v>2</v>
      </c>
      <c r="Q20" s="304">
        <f t="shared" ca="1" si="19"/>
        <v>870.83333333333337</v>
      </c>
      <c r="R20" s="306">
        <f t="shared" ca="1" si="20"/>
        <v>0.43703067637661513</v>
      </c>
      <c r="S20" s="307">
        <f t="shared" ca="1" si="21"/>
        <v>8.7811400406902322</v>
      </c>
      <c r="T20" s="304">
        <f t="shared" ca="1" si="1"/>
        <v>86.142983799171176</v>
      </c>
      <c r="U20" s="311">
        <f t="shared" ca="1" si="2"/>
        <v>14.958572155517984</v>
      </c>
      <c r="V20" s="306">
        <f t="shared" ca="1" si="3"/>
        <v>1.2249028874631989</v>
      </c>
      <c r="W20" s="304">
        <f t="shared" ca="1" si="4"/>
        <v>0.57392946570646064</v>
      </c>
      <c r="Y20" s="314" t="str">
        <f t="shared" ca="1" si="22"/>
        <v/>
      </c>
      <c r="Z20" s="315" t="str">
        <f t="shared" ca="1" si="23"/>
        <v/>
      </c>
      <c r="AA20" s="316" t="str">
        <f t="shared" ca="1" si="24"/>
        <v/>
      </c>
      <c r="AC20" s="310" t="e">
        <f t="shared" ca="1" si="25"/>
        <v>#N/A</v>
      </c>
      <c r="AD20" s="323" t="e">
        <f t="shared" ca="1" si="26"/>
        <v>#N/A</v>
      </c>
      <c r="AE20" s="324">
        <f t="shared" ca="1" si="5"/>
        <v>0.79278682676073908</v>
      </c>
      <c r="AG20" s="306">
        <f t="shared" ca="1" si="27"/>
        <v>89.453937169224901</v>
      </c>
      <c r="AH20" s="304">
        <f t="shared" ca="1" si="28"/>
        <v>99.114901226274654</v>
      </c>
    </row>
    <row r="21" spans="1:34" x14ac:dyDescent="0.2">
      <c r="A21" s="347">
        <f t="shared" ca="1" si="6"/>
        <v>0.01</v>
      </c>
      <c r="B21" s="304">
        <f t="shared" ca="1" si="7"/>
        <v>0.17</v>
      </c>
      <c r="D21" s="306">
        <f t="shared" ca="1" si="8"/>
        <v>15.497830190154524</v>
      </c>
      <c r="E21" s="307">
        <f t="shared" ca="1" si="9"/>
        <v>87.897435546822337</v>
      </c>
      <c r="F21" s="304">
        <f t="shared" ca="1" si="10"/>
        <v>89.253245970724521</v>
      </c>
      <c r="G21" s="306">
        <f t="shared" ca="1" si="11"/>
        <v>2.2372823038479006</v>
      </c>
      <c r="H21" s="307">
        <f t="shared" ca="1" si="12"/>
        <v>12.688973808312696</v>
      </c>
      <c r="I21" s="304">
        <f t="shared" ca="1" si="13"/>
        <v>12.88469977978364</v>
      </c>
      <c r="J21" s="306">
        <f t="shared" ca="1" si="14"/>
        <v>0.16137957657607546</v>
      </c>
      <c r="K21" s="307">
        <f t="shared" ca="1" si="15"/>
        <v>0.91528169306652496</v>
      </c>
      <c r="L21" s="304">
        <f t="shared" ca="1" si="0"/>
        <v>0.92939977695209175</v>
      </c>
      <c r="M21" s="306">
        <f t="shared" ca="1" si="16"/>
        <v>1.3962634015954636</v>
      </c>
      <c r="N21" s="304">
        <f t="shared" ca="1" si="17"/>
        <v>80</v>
      </c>
      <c r="P21" s="310">
        <f t="shared" ca="1" si="18"/>
        <v>2</v>
      </c>
      <c r="Q21" s="304">
        <f t="shared" ca="1" si="19"/>
        <v>868.72222222222217</v>
      </c>
      <c r="R21" s="306">
        <f t="shared" ca="1" si="20"/>
        <v>0.43597120807024753</v>
      </c>
      <c r="S21" s="307">
        <f t="shared" ca="1" si="21"/>
        <v>8.7767803286095294</v>
      </c>
      <c r="T21" s="304">
        <f t="shared" ca="1" si="1"/>
        <v>86.100215023659487</v>
      </c>
      <c r="U21" s="311">
        <f t="shared" ca="1" si="2"/>
        <v>14.951145435589334</v>
      </c>
      <c r="V21" s="306">
        <f t="shared" ca="1" si="3"/>
        <v>1.2248878831235257</v>
      </c>
      <c r="W21" s="304">
        <f t="shared" ca="1" si="4"/>
        <v>0.66253137700692777</v>
      </c>
      <c r="Y21" s="314" t="str">
        <f t="shared" ca="1" si="22"/>
        <v/>
      </c>
      <c r="Z21" s="315" t="str">
        <f t="shared" ca="1" si="23"/>
        <v/>
      </c>
      <c r="AA21" s="316" t="str">
        <f t="shared" ca="1" si="24"/>
        <v/>
      </c>
      <c r="AC21" s="310" t="e">
        <f t="shared" ca="1" si="25"/>
        <v>#N/A</v>
      </c>
      <c r="AD21" s="323" t="e">
        <f t="shared" ca="1" si="26"/>
        <v>#N/A</v>
      </c>
      <c r="AE21" s="324">
        <f t="shared" ca="1" si="5"/>
        <v>0.91528169306652496</v>
      </c>
      <c r="AG21" s="306">
        <f t="shared" ca="1" si="27"/>
        <v>89.253245966713351</v>
      </c>
      <c r="AH21" s="304">
        <f t="shared" ca="1" si="28"/>
        <v>98.914210023763118</v>
      </c>
    </row>
    <row r="22" spans="1:34" x14ac:dyDescent="0.2">
      <c r="A22" s="347">
        <f t="shared" ca="1" si="6"/>
        <v>0.01</v>
      </c>
      <c r="B22" s="304">
        <f t="shared" ca="1" si="7"/>
        <v>0.18000000000000002</v>
      </c>
      <c r="D22" s="306">
        <f t="shared" ca="1" si="8"/>
        <v>15.462804508440609</v>
      </c>
      <c r="E22" s="307">
        <f t="shared" ca="1" si="9"/>
        <v>87.698785602983307</v>
      </c>
      <c r="F22" s="304">
        <f t="shared" ca="1" si="10"/>
        <v>89.051531820088769</v>
      </c>
      <c r="G22" s="306">
        <f t="shared" ca="1" si="11"/>
        <v>2.3919103489323068</v>
      </c>
      <c r="H22" s="307">
        <f t="shared" ca="1" si="12"/>
        <v>13.565961664342529</v>
      </c>
      <c r="I22" s="304">
        <f t="shared" ca="1" si="13"/>
        <v>13.775215097984518</v>
      </c>
      <c r="J22" s="306">
        <f t="shared" ca="1" si="14"/>
        <v>0.18452553983997649</v>
      </c>
      <c r="K22" s="307">
        <f t="shared" ca="1" si="15"/>
        <v>1.0465563704298011</v>
      </c>
      <c r="L22" s="304">
        <f t="shared" ca="1" si="0"/>
        <v>1.0626993513409302</v>
      </c>
      <c r="M22" s="306">
        <f t="shared" ca="1" si="16"/>
        <v>1.3962634015954636</v>
      </c>
      <c r="N22" s="304">
        <f t="shared" ca="1" si="17"/>
        <v>80</v>
      </c>
      <c r="P22" s="310">
        <f t="shared" ca="1" si="18"/>
        <v>2</v>
      </c>
      <c r="Q22" s="304">
        <f t="shared" ca="1" si="19"/>
        <v>866.61111111111109</v>
      </c>
      <c r="R22" s="306">
        <f t="shared" ca="1" si="20"/>
        <v>0.43491173976387998</v>
      </c>
      <c r="S22" s="307">
        <f t="shared" ca="1" si="21"/>
        <v>8.7724312112118898</v>
      </c>
      <c r="T22" s="304">
        <f t="shared" ca="1" si="1"/>
        <v>86.057550181988645</v>
      </c>
      <c r="U22" s="311">
        <f t="shared" ca="1" si="2"/>
        <v>14.943736763582745</v>
      </c>
      <c r="V22" s="306">
        <f t="shared" ca="1" si="3"/>
        <v>1.2248718035528627</v>
      </c>
      <c r="W22" s="304">
        <f t="shared" ca="1" si="4"/>
        <v>0.75726680599124985</v>
      </c>
      <c r="Y22" s="314" t="str">
        <f t="shared" ca="1" si="22"/>
        <v/>
      </c>
      <c r="Z22" s="315" t="str">
        <f t="shared" ca="1" si="23"/>
        <v/>
      </c>
      <c r="AA22" s="316" t="str">
        <f t="shared" ca="1" si="24"/>
        <v/>
      </c>
      <c r="AC22" s="310" t="e">
        <f t="shared" ca="1" si="25"/>
        <v>#N/A</v>
      </c>
      <c r="AD22" s="323" t="e">
        <f t="shared" ca="1" si="26"/>
        <v>#N/A</v>
      </c>
      <c r="AE22" s="324">
        <f t="shared" ca="1" si="5"/>
        <v>1.0465563704298011</v>
      </c>
      <c r="AG22" s="306">
        <f t="shared" ca="1" si="27"/>
        <v>89.051531816084079</v>
      </c>
      <c r="AH22" s="304">
        <f t="shared" ca="1" si="28"/>
        <v>98.712495873133847</v>
      </c>
    </row>
    <row r="23" spans="1:34" x14ac:dyDescent="0.2">
      <c r="A23" s="347">
        <f t="shared" ca="1" si="6"/>
        <v>0.01</v>
      </c>
      <c r="B23" s="304">
        <f t="shared" ca="1" si="7"/>
        <v>0.19000000000000003</v>
      </c>
      <c r="D23" s="306">
        <f t="shared" ca="1" si="8"/>
        <v>15.427601939690065</v>
      </c>
      <c r="E23" s="307">
        <f t="shared" ca="1" si="9"/>
        <v>87.499132467687247</v>
      </c>
      <c r="F23" s="304">
        <f t="shared" ca="1" si="10"/>
        <v>88.848799002616857</v>
      </c>
      <c r="G23" s="306">
        <f t="shared" ca="1" si="11"/>
        <v>2.5461863683292076</v>
      </c>
      <c r="H23" s="307">
        <f t="shared" ca="1" si="12"/>
        <v>14.440952989019401</v>
      </c>
      <c r="I23" s="304">
        <f t="shared" ca="1" si="13"/>
        <v>14.663703088010676</v>
      </c>
      <c r="J23" s="306">
        <f t="shared" ca="1" si="14"/>
        <v>0.20921602342628406</v>
      </c>
      <c r="K23" s="307">
        <f t="shared" ca="1" si="15"/>
        <v>1.1865909436966107</v>
      </c>
      <c r="L23" s="304">
        <f t="shared" ca="1" si="0"/>
        <v>1.204893942270904</v>
      </c>
      <c r="M23" s="306">
        <f t="shared" ca="1" si="16"/>
        <v>1.3962634015954636</v>
      </c>
      <c r="N23" s="304">
        <f t="shared" ca="1" si="17"/>
        <v>80</v>
      </c>
      <c r="P23" s="310">
        <f t="shared" ca="1" si="18"/>
        <v>2</v>
      </c>
      <c r="Q23" s="304">
        <f t="shared" ca="1" si="19"/>
        <v>864.5</v>
      </c>
      <c r="R23" s="306">
        <f t="shared" ca="1" si="20"/>
        <v>0.43385227145751248</v>
      </c>
      <c r="S23" s="307">
        <f t="shared" ca="1" si="21"/>
        <v>8.7680926884973154</v>
      </c>
      <c r="T23" s="304">
        <f t="shared" ca="1" si="1"/>
        <v>86.014989274158665</v>
      </c>
      <c r="U23" s="311">
        <f t="shared" ca="1" si="2"/>
        <v>14.936346139498218</v>
      </c>
      <c r="V23" s="306">
        <f t="shared" ca="1" si="3"/>
        <v>1.2248546512328737</v>
      </c>
      <c r="W23" s="304">
        <f t="shared" ca="1" si="4"/>
        <v>0.85809106045879835</v>
      </c>
      <c r="Y23" s="314" t="str">
        <f t="shared" ca="1" si="22"/>
        <v/>
      </c>
      <c r="Z23" s="315" t="str">
        <f t="shared" ca="1" si="23"/>
        <v/>
      </c>
      <c r="AA23" s="316" t="str">
        <f t="shared" ca="1" si="24"/>
        <v/>
      </c>
      <c r="AC23" s="310" t="e">
        <f t="shared" ca="1" si="25"/>
        <v>#N/A</v>
      </c>
      <c r="AD23" s="323" t="e">
        <f t="shared" ca="1" si="26"/>
        <v>#N/A</v>
      </c>
      <c r="AE23" s="324">
        <f t="shared" ca="1" si="5"/>
        <v>1.1865909436966107</v>
      </c>
      <c r="AG23" s="306">
        <f t="shared" ca="1" si="27"/>
        <v>88.848798998618605</v>
      </c>
      <c r="AH23" s="304">
        <f t="shared" ca="1" si="28"/>
        <v>98.509763055668373</v>
      </c>
    </row>
    <row r="24" spans="1:34" x14ac:dyDescent="0.2">
      <c r="A24" s="347">
        <f t="shared" ca="1" si="6"/>
        <v>0.01</v>
      </c>
      <c r="B24" s="304">
        <f t="shared" ca="1" si="7"/>
        <v>0.20000000000000004</v>
      </c>
      <c r="D24" s="306">
        <f t="shared" ca="1" si="8"/>
        <v>15.392223234415294</v>
      </c>
      <c r="E24" s="307">
        <f t="shared" ca="1" si="9"/>
        <v>87.29848039731317</v>
      </c>
      <c r="F24" s="304">
        <f t="shared" ca="1" si="10"/>
        <v>88.645051840348913</v>
      </c>
      <c r="G24" s="306">
        <f t="shared" ca="1" si="11"/>
        <v>2.7001086006733606</v>
      </c>
      <c r="H24" s="307">
        <f t="shared" ca="1" si="12"/>
        <v>15.313937792992533</v>
      </c>
      <c r="I24" s="304">
        <f t="shared" ca="1" si="13"/>
        <v>15.55015360641416</v>
      </c>
      <c r="J24" s="306">
        <f t="shared" ca="1" si="14"/>
        <v>0.23544749827129691</v>
      </c>
      <c r="K24" s="307">
        <f t="shared" ca="1" si="15"/>
        <v>1.3353653976066704</v>
      </c>
      <c r="L24" s="304">
        <f t="shared" ca="1" si="0"/>
        <v>1.3559632257430263</v>
      </c>
      <c r="M24" s="306">
        <f t="shared" ca="1" si="16"/>
        <v>1.3962634015954636</v>
      </c>
      <c r="N24" s="304">
        <f t="shared" ca="1" si="17"/>
        <v>80</v>
      </c>
      <c r="P24" s="310">
        <f t="shared" ca="1" si="18"/>
        <v>2</v>
      </c>
      <c r="Q24" s="304">
        <f t="shared" ca="1" si="19"/>
        <v>862.38888888888891</v>
      </c>
      <c r="R24" s="306">
        <f t="shared" ca="1" si="20"/>
        <v>0.43279280315114493</v>
      </c>
      <c r="S24" s="307">
        <f t="shared" ca="1" si="21"/>
        <v>8.7637647604658042</v>
      </c>
      <c r="T24" s="304">
        <f t="shared" ca="1" si="1"/>
        <v>85.972532300169547</v>
      </c>
      <c r="U24" s="311">
        <f t="shared" ca="1" si="2"/>
        <v>14.928973563335756</v>
      </c>
      <c r="V24" s="306">
        <f t="shared" ca="1" si="3"/>
        <v>1.2248364286601685</v>
      </c>
      <c r="W24" s="304">
        <f t="shared" ca="1" si="4"/>
        <v>0.96495923389982552</v>
      </c>
      <c r="Y24" s="314" t="str">
        <f t="shared" ca="1" si="22"/>
        <v/>
      </c>
      <c r="Z24" s="315" t="str">
        <f t="shared" ca="1" si="23"/>
        <v/>
      </c>
      <c r="AA24" s="316" t="str">
        <f t="shared" ca="1" si="24"/>
        <v/>
      </c>
      <c r="AC24" s="310" t="e">
        <f t="shared" ca="1" si="25"/>
        <v>#N/A</v>
      </c>
      <c r="AD24" s="323" t="e">
        <f t="shared" ca="1" si="26"/>
        <v>#N/A</v>
      </c>
      <c r="AE24" s="324">
        <f t="shared" ca="1" si="5"/>
        <v>1.3353653976066704</v>
      </c>
      <c r="AG24" s="306">
        <f t="shared" ca="1" si="27"/>
        <v>88.645051836357069</v>
      </c>
      <c r="AH24" s="304">
        <f t="shared" ca="1" si="28"/>
        <v>98.306015893406837</v>
      </c>
    </row>
    <row r="25" spans="1:34" x14ac:dyDescent="0.2">
      <c r="A25" s="347">
        <f t="shared" ca="1" si="6"/>
        <v>0.01</v>
      </c>
      <c r="B25" s="304">
        <f t="shared" ca="1" si="7"/>
        <v>0.21000000000000005</v>
      </c>
      <c r="D25" s="306">
        <f t="shared" ca="1" si="8"/>
        <v>15.356669150140506</v>
      </c>
      <c r="E25" s="307">
        <f t="shared" ca="1" si="9"/>
        <v>87.096833688006114</v>
      </c>
      <c r="F25" s="304">
        <f t="shared" ca="1" si="10"/>
        <v>88.440294695704594</v>
      </c>
      <c r="G25" s="306">
        <f t="shared" ca="1" si="11"/>
        <v>2.8536752921747657</v>
      </c>
      <c r="H25" s="307">
        <f t="shared" ca="1" si="12"/>
        <v>16.184906129872594</v>
      </c>
      <c r="I25" s="304">
        <f t="shared" ca="1" si="13"/>
        <v>16.434556553371198</v>
      </c>
      <c r="J25" s="306">
        <f t="shared" ca="1" si="14"/>
        <v>0.26321641773553756</v>
      </c>
      <c r="K25" s="307">
        <f t="shared" ca="1" si="15"/>
        <v>1.492859617220996</v>
      </c>
      <c r="L25" s="304">
        <f t="shared" ca="1" si="0"/>
        <v>1.5158867765419513</v>
      </c>
      <c r="M25" s="306">
        <f t="shared" ca="1" si="16"/>
        <v>1.3962634015954636</v>
      </c>
      <c r="N25" s="304">
        <f t="shared" ca="1" si="17"/>
        <v>80</v>
      </c>
      <c r="P25" s="310">
        <f t="shared" ca="1" si="18"/>
        <v>2</v>
      </c>
      <c r="Q25" s="304">
        <f t="shared" ca="1" si="19"/>
        <v>860.27777777777783</v>
      </c>
      <c r="R25" s="306">
        <f t="shared" ca="1" si="20"/>
        <v>0.43173333484477738</v>
      </c>
      <c r="S25" s="307">
        <f t="shared" ca="1" si="21"/>
        <v>8.7594474271173564</v>
      </c>
      <c r="T25" s="304">
        <f t="shared" ca="1" si="1"/>
        <v>85.930179260021276</v>
      </c>
      <c r="U25" s="311">
        <f t="shared" ca="1" si="2"/>
        <v>14.921619035095354</v>
      </c>
      <c r="V25" s="306">
        <f t="shared" ca="1" si="3"/>
        <v>1.2248171383462294</v>
      </c>
      <c r="W25" s="304">
        <f t="shared" ca="1" si="4"/>
        <v>1.077826209257261</v>
      </c>
      <c r="Y25" s="314" t="str">
        <f t="shared" ca="1" si="22"/>
        <v/>
      </c>
      <c r="Z25" s="315" t="str">
        <f t="shared" ca="1" si="23"/>
        <v/>
      </c>
      <c r="AA25" s="316" t="str">
        <f t="shared" ca="1" si="24"/>
        <v/>
      </c>
      <c r="AC25" s="310" t="e">
        <f t="shared" ca="1" si="25"/>
        <v>#N/A</v>
      </c>
      <c r="AD25" s="323" t="e">
        <f t="shared" ca="1" si="26"/>
        <v>#N/A</v>
      </c>
      <c r="AE25" s="324">
        <f t="shared" ca="1" si="5"/>
        <v>1.492859617220996</v>
      </c>
      <c r="AG25" s="306">
        <f t="shared" ca="1" si="27"/>
        <v>88.44029469171916</v>
      </c>
      <c r="AH25" s="304">
        <f t="shared" ca="1" si="28"/>
        <v>98.101258748768927</v>
      </c>
    </row>
    <row r="26" spans="1:34" x14ac:dyDescent="0.2">
      <c r="A26" s="347">
        <f t="shared" ca="1" si="6"/>
        <v>0.01</v>
      </c>
      <c r="B26" s="304">
        <f t="shared" ca="1" si="7"/>
        <v>0.22000000000000006</v>
      </c>
      <c r="D26" s="306">
        <f t="shared" ca="1" si="8"/>
        <v>15.32094045133527</v>
      </c>
      <c r="E26" s="307">
        <f t="shared" ca="1" si="9"/>
        <v>86.894196675300421</v>
      </c>
      <c r="F26" s="304">
        <f t="shared" ca="1" si="10"/>
        <v>88.234531971100481</v>
      </c>
      <c r="G26" s="306">
        <f t="shared" ca="1" si="11"/>
        <v>3.0068846966881182</v>
      </c>
      <c r="H26" s="307">
        <f t="shared" ca="1" si="12"/>
        <v>17.0538480966256</v>
      </c>
      <c r="I26" s="304">
        <f t="shared" ca="1" si="13"/>
        <v>17.316901873082202</v>
      </c>
      <c r="J26" s="306">
        <f t="shared" ca="1" si="14"/>
        <v>0.29251921767985195</v>
      </c>
      <c r="K26" s="307">
        <f t="shared" ca="1" si="15"/>
        <v>1.659053388353487</v>
      </c>
      <c r="L26" s="304">
        <f t="shared" ca="1" si="0"/>
        <v>1.6846440686742166</v>
      </c>
      <c r="M26" s="306">
        <f t="shared" ca="1" si="16"/>
        <v>1.3962634015954636</v>
      </c>
      <c r="N26" s="304">
        <f t="shared" ca="1" si="17"/>
        <v>80</v>
      </c>
      <c r="P26" s="310">
        <f t="shared" ca="1" si="18"/>
        <v>2</v>
      </c>
      <c r="Q26" s="304">
        <f t="shared" ca="1" si="19"/>
        <v>858.16666666666663</v>
      </c>
      <c r="R26" s="306">
        <f t="shared" ca="1" si="20"/>
        <v>0.43067386653840978</v>
      </c>
      <c r="S26" s="307">
        <f t="shared" ca="1" si="21"/>
        <v>8.7551406884519718</v>
      </c>
      <c r="T26" s="304">
        <f t="shared" ca="1" si="1"/>
        <v>85.887930153713853</v>
      </c>
      <c r="U26" s="311">
        <f t="shared" ca="1" si="2"/>
        <v>14.914282554777014</v>
      </c>
      <c r="V26" s="306">
        <f t="shared" ca="1" si="3"/>
        <v>1.2247967828173345</v>
      </c>
      <c r="W26" s="304">
        <f t="shared" ca="1" si="4"/>
        <v>1.19664666270403</v>
      </c>
      <c r="Y26" s="314" t="str">
        <f t="shared" ca="1" si="22"/>
        <v/>
      </c>
      <c r="Z26" s="315" t="str">
        <f t="shared" ca="1" si="23"/>
        <v/>
      </c>
      <c r="AA26" s="316" t="str">
        <f t="shared" ca="1" si="24"/>
        <v/>
      </c>
      <c r="AC26" s="310" t="e">
        <f t="shared" ca="1" si="25"/>
        <v>#N/A</v>
      </c>
      <c r="AD26" s="323" t="e">
        <f t="shared" ca="1" si="26"/>
        <v>#N/A</v>
      </c>
      <c r="AE26" s="324">
        <f t="shared" ca="1" si="5"/>
        <v>1.659053388353487</v>
      </c>
      <c r="AG26" s="306">
        <f t="shared" ca="1" si="27"/>
        <v>88.234531967121413</v>
      </c>
      <c r="AH26" s="304">
        <f t="shared" ca="1" si="28"/>
        <v>97.89549602417118</v>
      </c>
    </row>
    <row r="27" spans="1:34" x14ac:dyDescent="0.2">
      <c r="A27" s="347">
        <f t="shared" ca="1" si="6"/>
        <v>0.01</v>
      </c>
      <c r="B27" s="304">
        <f t="shared" ca="1" si="7"/>
        <v>0.23000000000000007</v>
      </c>
      <c r="D27" s="306">
        <f t="shared" ca="1" si="8"/>
        <v>15.285037909347462</v>
      </c>
      <c r="E27" s="307">
        <f t="shared" ca="1" si="9"/>
        <v>86.690573733739285</v>
      </c>
      <c r="F27" s="304">
        <f t="shared" ca="1" si="10"/>
        <v>88.027768108563762</v>
      </c>
      <c r="G27" s="306">
        <f t="shared" ca="1" si="11"/>
        <v>3.159735075781593</v>
      </c>
      <c r="H27" s="307">
        <f t="shared" ca="1" si="12"/>
        <v>17.920753833962994</v>
      </c>
      <c r="I27" s="304">
        <f t="shared" ca="1" si="13"/>
        <v>18.197179554167835</v>
      </c>
      <c r="J27" s="306">
        <f t="shared" ca="1" si="14"/>
        <v>0.32335231654220054</v>
      </c>
      <c r="K27" s="307">
        <f t="shared" ca="1" si="15"/>
        <v>1.83392639800643</v>
      </c>
      <c r="L27" s="304">
        <f t="shared" ca="1" si="0"/>
        <v>1.8622144758104653</v>
      </c>
      <c r="M27" s="306">
        <f t="shared" ca="1" si="16"/>
        <v>1.3962634015954636</v>
      </c>
      <c r="N27" s="304">
        <f t="shared" ca="1" si="17"/>
        <v>80</v>
      </c>
      <c r="P27" s="310">
        <f t="shared" ca="1" si="18"/>
        <v>2</v>
      </c>
      <c r="Q27" s="304">
        <f t="shared" ca="1" si="19"/>
        <v>856.05555555555554</v>
      </c>
      <c r="R27" s="306">
        <f t="shared" ca="1" si="20"/>
        <v>0.42961439823204223</v>
      </c>
      <c r="S27" s="307">
        <f t="shared" ca="1" si="21"/>
        <v>8.7508445444696505</v>
      </c>
      <c r="T27" s="304">
        <f t="shared" ca="1" si="1"/>
        <v>85.845784981247277</v>
      </c>
      <c r="U27" s="311">
        <f t="shared" ca="1" si="2"/>
        <v>14.906964122380733</v>
      </c>
      <c r="V27" s="306">
        <f t="shared" ca="1" si="3"/>
        <v>1.2247753646144828</v>
      </c>
      <c r="W27" s="304">
        <f t="shared" ca="1" si="4"/>
        <v>1.3213750674353317</v>
      </c>
      <c r="Y27" s="314" t="str">
        <f t="shared" ca="1" si="22"/>
        <v/>
      </c>
      <c r="Z27" s="315" t="str">
        <f t="shared" ca="1" si="23"/>
        <v/>
      </c>
      <c r="AA27" s="316" t="str">
        <f t="shared" ca="1" si="24"/>
        <v/>
      </c>
      <c r="AC27" s="310" t="e">
        <f t="shared" ca="1" si="25"/>
        <v>#N/A</v>
      </c>
      <c r="AD27" s="323" t="e">
        <f t="shared" ca="1" si="26"/>
        <v>#N/A</v>
      </c>
      <c r="AE27" s="324">
        <f t="shared" ca="1" si="5"/>
        <v>1.83392639800643</v>
      </c>
      <c r="AG27" s="306">
        <f t="shared" ca="1" si="27"/>
        <v>88.027768104591061</v>
      </c>
      <c r="AH27" s="304">
        <f t="shared" ca="1" si="28"/>
        <v>97.688732161640829</v>
      </c>
    </row>
    <row r="28" spans="1:34" x14ac:dyDescent="0.2">
      <c r="A28" s="347">
        <f t="shared" ca="1" si="6"/>
        <v>0.01</v>
      </c>
      <c r="B28" s="304">
        <f t="shared" ca="1" si="7"/>
        <v>0.24000000000000007</v>
      </c>
      <c r="D28" s="306">
        <f t="shared" ca="1" si="8"/>
        <v>15.248962302335523</v>
      </c>
      <c r="E28" s="307">
        <f t="shared" ca="1" si="9"/>
        <v>86.485969276490735</v>
      </c>
      <c r="F28" s="304">
        <f t="shared" ca="1" si="10"/>
        <v>87.820007589342353</v>
      </c>
      <c r="G28" s="306">
        <f t="shared" ca="1" si="11"/>
        <v>3.3122246988049482</v>
      </c>
      <c r="H28" s="307">
        <f t="shared" ca="1" si="12"/>
        <v>18.7856135267279</v>
      </c>
      <c r="I28" s="304">
        <f t="shared" ca="1" si="13"/>
        <v>19.075379630061253</v>
      </c>
      <c r="J28" s="306">
        <f t="shared" ca="1" si="14"/>
        <v>0.35571211541513326</v>
      </c>
      <c r="K28" s="307">
        <f t="shared" ca="1" si="15"/>
        <v>2.0174582348098844</v>
      </c>
      <c r="L28" s="304">
        <f t="shared" ca="1" si="0"/>
        <v>2.0485772717316091</v>
      </c>
      <c r="M28" s="306">
        <f t="shared" ca="1" si="16"/>
        <v>1.3962634015954636</v>
      </c>
      <c r="N28" s="304">
        <f t="shared" ca="1" si="17"/>
        <v>80</v>
      </c>
      <c r="P28" s="310">
        <f t="shared" ca="1" si="18"/>
        <v>2</v>
      </c>
      <c r="Q28" s="304">
        <f t="shared" ca="1" si="19"/>
        <v>853.94444444444446</v>
      </c>
      <c r="R28" s="306">
        <f t="shared" ca="1" si="20"/>
        <v>0.42855492992567468</v>
      </c>
      <c r="S28" s="307">
        <f t="shared" ca="1" si="21"/>
        <v>8.7465589951703944</v>
      </c>
      <c r="T28" s="304">
        <f t="shared" ca="1" si="1"/>
        <v>85.803743742621577</v>
      </c>
      <c r="U28" s="311">
        <f t="shared" ca="1" si="2"/>
        <v>14.89966373790652</v>
      </c>
      <c r="V28" s="306">
        <f t="shared" ca="1" si="3"/>
        <v>1.2247528862933152</v>
      </c>
      <c r="W28" s="304">
        <f t="shared" ca="1" si="4"/>
        <v>1.4519656974753266</v>
      </c>
      <c r="Y28" s="314" t="str">
        <f t="shared" ca="1" si="22"/>
        <v/>
      </c>
      <c r="Z28" s="315" t="str">
        <f t="shared" ca="1" si="23"/>
        <v/>
      </c>
      <c r="AA28" s="316" t="str">
        <f t="shared" ca="1" si="24"/>
        <v/>
      </c>
      <c r="AC28" s="310" t="e">
        <f t="shared" ca="1" si="25"/>
        <v>#N/A</v>
      </c>
      <c r="AD28" s="323" t="e">
        <f t="shared" ca="1" si="26"/>
        <v>#N/A</v>
      </c>
      <c r="AE28" s="324">
        <f t="shared" ca="1" si="5"/>
        <v>2.0174582348098844</v>
      </c>
      <c r="AG28" s="306">
        <f t="shared" ca="1" si="27"/>
        <v>87.820007585375976</v>
      </c>
      <c r="AH28" s="304">
        <f t="shared" ca="1" si="28"/>
        <v>97.480971642425743</v>
      </c>
    </row>
    <row r="29" spans="1:34" x14ac:dyDescent="0.2">
      <c r="A29" s="347">
        <f t="shared" ca="1" si="6"/>
        <v>0.01</v>
      </c>
      <c r="B29" s="304">
        <f t="shared" ca="1" si="7"/>
        <v>0.25000000000000006</v>
      </c>
      <c r="D29" s="306">
        <f t="shared" ca="1" si="8"/>
        <v>15.212714415200201</v>
      </c>
      <c r="E29" s="307">
        <f t="shared" ca="1" si="9"/>
        <v>86.280387754960415</v>
      </c>
      <c r="F29" s="304">
        <f t="shared" ca="1" si="10"/>
        <v>87.611254933511617</v>
      </c>
      <c r="G29" s="306">
        <f t="shared" ca="1" si="11"/>
        <v>3.4643518429569502</v>
      </c>
      <c r="H29" s="307">
        <f t="shared" ca="1" si="12"/>
        <v>19.648417404277506</v>
      </c>
      <c r="I29" s="304">
        <f t="shared" ca="1" si="13"/>
        <v>19.951492179396368</v>
      </c>
      <c r="J29" s="306">
        <f t="shared" ca="1" si="14"/>
        <v>0.38959499812394277</v>
      </c>
      <c r="K29" s="307">
        <f t="shared" ca="1" si="15"/>
        <v>2.2096283894649114</v>
      </c>
      <c r="L29" s="304">
        <f t="shared" ca="1" si="0"/>
        <v>2.243711630778896</v>
      </c>
      <c r="M29" s="306">
        <f t="shared" ca="1" si="16"/>
        <v>1.3962634015954636</v>
      </c>
      <c r="N29" s="304">
        <f t="shared" ca="1" si="17"/>
        <v>80</v>
      </c>
      <c r="P29" s="310">
        <f t="shared" ca="1" si="18"/>
        <v>2</v>
      </c>
      <c r="Q29" s="304">
        <f t="shared" ca="1" si="19"/>
        <v>851.83333333333337</v>
      </c>
      <c r="R29" s="306">
        <f t="shared" ca="1" si="20"/>
        <v>0.42749546161930718</v>
      </c>
      <c r="S29" s="307">
        <f t="shared" ca="1" si="21"/>
        <v>8.7422840405542015</v>
      </c>
      <c r="T29" s="304">
        <f t="shared" ca="1" si="1"/>
        <v>85.761806437836725</v>
      </c>
      <c r="U29" s="311">
        <f t="shared" ca="1" si="2"/>
        <v>14.892381401354369</v>
      </c>
      <c r="V29" s="306">
        <f t="shared" ca="1" si="3"/>
        <v>1.22472935042404</v>
      </c>
      <c r="W29" s="304">
        <f t="shared" ca="1" si="4"/>
        <v>1.5883726314976732</v>
      </c>
      <c r="Y29" s="314" t="str">
        <f t="shared" ca="1" si="22"/>
        <v/>
      </c>
      <c r="Z29" s="315" t="str">
        <f t="shared" ca="1" si="23"/>
        <v/>
      </c>
      <c r="AA29" s="316" t="str">
        <f t="shared" ca="1" si="24"/>
        <v/>
      </c>
      <c r="AC29" s="310" t="e">
        <f t="shared" ca="1" si="25"/>
        <v>#N/A</v>
      </c>
      <c r="AD29" s="323" t="e">
        <f t="shared" ca="1" si="26"/>
        <v>#N/A</v>
      </c>
      <c r="AE29" s="324">
        <f t="shared" ca="1" si="5"/>
        <v>2.2096283894649114</v>
      </c>
      <c r="AG29" s="306">
        <f t="shared" ca="1" si="27"/>
        <v>87.611254929551549</v>
      </c>
      <c r="AH29" s="304">
        <f t="shared" ca="1" si="28"/>
        <v>97.272218986601317</v>
      </c>
    </row>
    <row r="30" spans="1:34" x14ac:dyDescent="0.2">
      <c r="A30" s="347">
        <f t="shared" ca="1" si="6"/>
        <v>0.01</v>
      </c>
      <c r="B30" s="304">
        <f t="shared" ca="1" si="7"/>
        <v>0.26000000000000006</v>
      </c>
      <c r="D30" s="306">
        <f t="shared" ca="1" si="8"/>
        <v>15.17629503951559</v>
      </c>
      <c r="E30" s="307">
        <f t="shared" ca="1" si="9"/>
        <v>86.073833658400574</v>
      </c>
      <c r="F30" s="304">
        <f t="shared" ca="1" si="10"/>
        <v>87.401514699577362</v>
      </c>
      <c r="G30" s="306">
        <f t="shared" ca="1" si="11"/>
        <v>3.6161147933521063</v>
      </c>
      <c r="H30" s="307">
        <f t="shared" ca="1" si="12"/>
        <v>20.509155740861512</v>
      </c>
      <c r="I30" s="304">
        <f t="shared" ca="1" si="13"/>
        <v>20.825507326392138</v>
      </c>
      <c r="J30" s="306">
        <f t="shared" ca="1" si="14"/>
        <v>0.42499733130548806</v>
      </c>
      <c r="K30" s="307">
        <f t="shared" ca="1" si="15"/>
        <v>2.4104162551906065</v>
      </c>
      <c r="L30" s="304">
        <f t="shared" ca="1" si="0"/>
        <v>2.4475966283078372</v>
      </c>
      <c r="M30" s="306">
        <f t="shared" ca="1" si="16"/>
        <v>1.3962634015954636</v>
      </c>
      <c r="N30" s="304">
        <f t="shared" ca="1" si="17"/>
        <v>80</v>
      </c>
      <c r="P30" s="310">
        <f t="shared" ca="1" si="18"/>
        <v>2</v>
      </c>
      <c r="Q30" s="304">
        <f t="shared" ca="1" si="19"/>
        <v>849.72222222222217</v>
      </c>
      <c r="R30" s="306">
        <f t="shared" ca="1" si="20"/>
        <v>0.42643599331293958</v>
      </c>
      <c r="S30" s="307">
        <f t="shared" ca="1" si="21"/>
        <v>8.7380196806210719</v>
      </c>
      <c r="T30" s="304">
        <f t="shared" ca="1" si="1"/>
        <v>85.71997306689272</v>
      </c>
      <c r="U30" s="311">
        <f t="shared" ca="1" si="2"/>
        <v>14.885117112724277</v>
      </c>
      <c r="V30" s="306">
        <f t="shared" ca="1" si="3"/>
        <v>1.2247047595913532</v>
      </c>
      <c r="W30" s="304">
        <f t="shared" ca="1" si="4"/>
        <v>1.7305497566593442</v>
      </c>
      <c r="Y30" s="314" t="str">
        <f t="shared" ca="1" si="22"/>
        <v/>
      </c>
      <c r="Z30" s="315" t="str">
        <f t="shared" ca="1" si="23"/>
        <v/>
      </c>
      <c r="AA30" s="316" t="str">
        <f t="shared" ca="1" si="24"/>
        <v/>
      </c>
      <c r="AC30" s="310" t="e">
        <f t="shared" ca="1" si="25"/>
        <v>#N/A</v>
      </c>
      <c r="AD30" s="323" t="e">
        <f t="shared" ca="1" si="26"/>
        <v>#N/A</v>
      </c>
      <c r="AE30" s="324">
        <f t="shared" ca="1" si="5"/>
        <v>2.4104162551906065</v>
      </c>
      <c r="AG30" s="306">
        <f t="shared" ca="1" si="27"/>
        <v>87.401514695623604</v>
      </c>
      <c r="AH30" s="304">
        <f t="shared" ca="1" si="28"/>
        <v>97.062478752673357</v>
      </c>
    </row>
    <row r="31" spans="1:34" x14ac:dyDescent="0.2">
      <c r="A31" s="347">
        <f t="shared" ca="1" si="6"/>
        <v>0.01</v>
      </c>
      <c r="B31" s="304">
        <f t="shared" ca="1" si="7"/>
        <v>0.27000000000000007</v>
      </c>
      <c r="D31" s="306">
        <f t="shared" ca="1" si="8"/>
        <v>15.139704973459684</v>
      </c>
      <c r="E31" s="307">
        <f t="shared" ca="1" si="9"/>
        <v>85.86631151351618</v>
      </c>
      <c r="F31" s="304">
        <f t="shared" ca="1" si="10"/>
        <v>87.190791484075888</v>
      </c>
      <c r="G31" s="306">
        <f t="shared" ca="1" si="11"/>
        <v>3.7675118430867029</v>
      </c>
      <c r="H31" s="307">
        <f t="shared" ca="1" si="12"/>
        <v>21.367818855996674</v>
      </c>
      <c r="I31" s="304">
        <f t="shared" ca="1" si="13"/>
        <v>21.697415241232896</v>
      </c>
      <c r="J31" s="306">
        <f t="shared" ca="1" si="14"/>
        <v>0.46191546448768211</v>
      </c>
      <c r="K31" s="307">
        <f t="shared" ca="1" si="15"/>
        <v>2.6198011281748976</v>
      </c>
      <c r="L31" s="304">
        <f t="shared" ca="1" si="0"/>
        <v>2.6602112411459617</v>
      </c>
      <c r="M31" s="306">
        <f t="shared" ca="1" si="16"/>
        <v>1.3962634015954636</v>
      </c>
      <c r="N31" s="304">
        <f t="shared" ca="1" si="17"/>
        <v>80</v>
      </c>
      <c r="P31" s="310">
        <f t="shared" ca="1" si="18"/>
        <v>2</v>
      </c>
      <c r="Q31" s="304">
        <f t="shared" ca="1" si="19"/>
        <v>847.61111111111109</v>
      </c>
      <c r="R31" s="306">
        <f t="shared" ca="1" si="20"/>
        <v>0.42537652500657203</v>
      </c>
      <c r="S31" s="307">
        <f t="shared" ca="1" si="21"/>
        <v>8.7337659153710057</v>
      </c>
      <c r="T31" s="304">
        <f t="shared" ca="1" si="1"/>
        <v>85.678243629789563</v>
      </c>
      <c r="U31" s="311">
        <f t="shared" ca="1" si="2"/>
        <v>14.877870872016247</v>
      </c>
      <c r="V31" s="306">
        <f t="shared" ca="1" si="3"/>
        <v>1.2246791163943604</v>
      </c>
      <c r="W31" s="304">
        <f t="shared" ca="1" si="4"/>
        <v>1.8784507724471746</v>
      </c>
      <c r="Y31" s="314" t="str">
        <f t="shared" ca="1" si="22"/>
        <v/>
      </c>
      <c r="Z31" s="315" t="str">
        <f t="shared" ca="1" si="23"/>
        <v/>
      </c>
      <c r="AA31" s="316" t="str">
        <f t="shared" ca="1" si="24"/>
        <v/>
      </c>
      <c r="AC31" s="310" t="e">
        <f t="shared" ca="1" si="25"/>
        <v>#N/A</v>
      </c>
      <c r="AD31" s="323" t="e">
        <f t="shared" ca="1" si="26"/>
        <v>#N/A</v>
      </c>
      <c r="AE31" s="324">
        <f t="shared" ca="1" si="5"/>
        <v>2.6198011281748976</v>
      </c>
      <c r="AG31" s="306">
        <f t="shared" ca="1" si="27"/>
        <v>87.190791480128411</v>
      </c>
      <c r="AH31" s="304">
        <f t="shared" ca="1" si="28"/>
        <v>96.851755537178164</v>
      </c>
    </row>
    <row r="32" spans="1:34" x14ac:dyDescent="0.2">
      <c r="A32" s="347">
        <f t="shared" ca="1" si="6"/>
        <v>0.01</v>
      </c>
      <c r="B32" s="304">
        <f t="shared" ca="1" si="7"/>
        <v>0.28000000000000008</v>
      </c>
      <c r="D32" s="306">
        <f t="shared" ca="1" si="8"/>
        <v>15.102945021744276</v>
      </c>
      <c r="E32" s="307">
        <f t="shared" ca="1" si="9"/>
        <v>85.657825884067265</v>
      </c>
      <c r="F32" s="304">
        <f t="shared" ca="1" si="10"/>
        <v>86.979089921170214</v>
      </c>
      <c r="G32" s="306">
        <f t="shared" ca="1" si="11"/>
        <v>3.9185412933041457</v>
      </c>
      <c r="H32" s="307">
        <f t="shared" ca="1" si="12"/>
        <v>22.224397114837348</v>
      </c>
      <c r="I32" s="304">
        <f t="shared" ca="1" si="13"/>
        <v>22.567206140444597</v>
      </c>
      <c r="J32" s="306">
        <f t="shared" ca="1" si="14"/>
        <v>0.50034573016963635</v>
      </c>
      <c r="K32" s="307">
        <f t="shared" ca="1" si="15"/>
        <v>2.8377622080290679</v>
      </c>
      <c r="L32" s="304">
        <f t="shared" ca="1" si="0"/>
        <v>2.8815343480543483</v>
      </c>
      <c r="M32" s="306">
        <f t="shared" ca="1" si="16"/>
        <v>1.3962634015954636</v>
      </c>
      <c r="N32" s="304">
        <f t="shared" ca="1" si="17"/>
        <v>80</v>
      </c>
      <c r="P32" s="310">
        <f t="shared" ca="1" si="18"/>
        <v>2</v>
      </c>
      <c r="Q32" s="304">
        <f t="shared" ca="1" si="19"/>
        <v>845.5</v>
      </c>
      <c r="R32" s="306">
        <f t="shared" ca="1" si="20"/>
        <v>0.42431705670020448</v>
      </c>
      <c r="S32" s="307">
        <f t="shared" ca="1" si="21"/>
        <v>8.7295227448040045</v>
      </c>
      <c r="T32" s="304">
        <f t="shared" ca="1" si="1"/>
        <v>85.636618126527281</v>
      </c>
      <c r="U32" s="311">
        <f t="shared" ca="1" si="2"/>
        <v>14.870642679230283</v>
      </c>
      <c r="V32" s="306">
        <f t="shared" ca="1" si="3"/>
        <v>1.2246524234464968</v>
      </c>
      <c r="W32" s="304">
        <f t="shared" ca="1" si="4"/>
        <v>2.0320291945365705</v>
      </c>
      <c r="Y32" s="314" t="str">
        <f t="shared" ca="1" si="22"/>
        <v/>
      </c>
      <c r="Z32" s="315" t="str">
        <f t="shared" ca="1" si="23"/>
        <v/>
      </c>
      <c r="AA32" s="316" t="str">
        <f t="shared" ca="1" si="24"/>
        <v/>
      </c>
      <c r="AC32" s="310" t="e">
        <f t="shared" ca="1" si="25"/>
        <v>#N/A</v>
      </c>
      <c r="AD32" s="323" t="e">
        <f t="shared" ca="1" si="26"/>
        <v>#N/A</v>
      </c>
      <c r="AE32" s="324">
        <f t="shared" ca="1" si="5"/>
        <v>2.8377622080290679</v>
      </c>
      <c r="AG32" s="306">
        <f t="shared" ca="1" si="27"/>
        <v>86.979089917228976</v>
      </c>
      <c r="AH32" s="304">
        <f t="shared" ca="1" si="28"/>
        <v>96.640053974278729</v>
      </c>
    </row>
    <row r="33" spans="1:34" x14ac:dyDescent="0.2">
      <c r="A33" s="347">
        <f t="shared" ca="1" si="6"/>
        <v>0.01</v>
      </c>
      <c r="B33" s="304">
        <f t="shared" ca="1" si="7"/>
        <v>0.29000000000000009</v>
      </c>
      <c r="D33" s="306">
        <f t="shared" ca="1" si="8"/>
        <v>15.066015995544319</v>
      </c>
      <c r="E33" s="307">
        <f t="shared" ca="1" si="9"/>
        <v>85.448381370468482</v>
      </c>
      <c r="F33" s="304">
        <f t="shared" ca="1" si="10"/>
        <v>86.766414682243393</v>
      </c>
      <c r="G33" s="306">
        <f t="shared" ca="1" si="11"/>
        <v>4.0692014532595886</v>
      </c>
      <c r="H33" s="307">
        <f t="shared" ca="1" si="12"/>
        <v>23.078880928542034</v>
      </c>
      <c r="I33" s="304">
        <f t="shared" ca="1" si="13"/>
        <v>23.434870287267032</v>
      </c>
      <c r="J33" s="306">
        <f t="shared" ca="1" si="14"/>
        <v>0.540284443902455</v>
      </c>
      <c r="K33" s="307">
        <f t="shared" ca="1" si="15"/>
        <v>3.0642785982459646</v>
      </c>
      <c r="L33" s="304">
        <f t="shared" ca="1" si="0"/>
        <v>3.1115447301929051</v>
      </c>
      <c r="M33" s="306">
        <f t="shared" ca="1" si="16"/>
        <v>1.3962634015954636</v>
      </c>
      <c r="N33" s="304">
        <f t="shared" ca="1" si="17"/>
        <v>80</v>
      </c>
      <c r="P33" s="310">
        <f t="shared" ca="1" si="18"/>
        <v>2</v>
      </c>
      <c r="Q33" s="304">
        <f t="shared" ca="1" si="19"/>
        <v>843.38888888888891</v>
      </c>
      <c r="R33" s="306">
        <f t="shared" ca="1" si="20"/>
        <v>0.42325758839383693</v>
      </c>
      <c r="S33" s="307">
        <f t="shared" ca="1" si="21"/>
        <v>8.7252901689200666</v>
      </c>
      <c r="T33" s="304">
        <f t="shared" ca="1" si="1"/>
        <v>85.595096557105862</v>
      </c>
      <c r="U33" s="311">
        <f t="shared" ca="1" si="2"/>
        <v>14.863432534366382</v>
      </c>
      <c r="V33" s="306">
        <f t="shared" ca="1" si="3"/>
        <v>1.2246246833754499</v>
      </c>
      <c r="W33" s="304">
        <f t="shared" ca="1" si="4"/>
        <v>2.1912383586618218</v>
      </c>
      <c r="Y33" s="314" t="str">
        <f t="shared" ca="1" si="22"/>
        <v/>
      </c>
      <c r="Z33" s="315" t="str">
        <f t="shared" ca="1" si="23"/>
        <v/>
      </c>
      <c r="AA33" s="316" t="str">
        <f t="shared" ca="1" si="24"/>
        <v/>
      </c>
      <c r="AC33" s="310" t="e">
        <f t="shared" ca="1" si="25"/>
        <v>#N/A</v>
      </c>
      <c r="AD33" s="323" t="e">
        <f t="shared" ca="1" si="26"/>
        <v>#N/A</v>
      </c>
      <c r="AE33" s="324">
        <f t="shared" ca="1" si="5"/>
        <v>3.0642785982459646</v>
      </c>
      <c r="AG33" s="306">
        <f t="shared" ca="1" si="27"/>
        <v>86.766414678308394</v>
      </c>
      <c r="AH33" s="304">
        <f t="shared" ca="1" si="28"/>
        <v>96.427378735358147</v>
      </c>
    </row>
    <row r="34" spans="1:34" x14ac:dyDescent="0.2">
      <c r="A34" s="347">
        <f t="shared" ca="1" si="6"/>
        <v>0.01</v>
      </c>
      <c r="B34" s="304">
        <f t="shared" ca="1" si="7"/>
        <v>0.3000000000000001</v>
      </c>
      <c r="D34" s="306">
        <f t="shared" ca="1" si="8"/>
        <v>15.028918712426741</v>
      </c>
      <c r="E34" s="307">
        <f t="shared" ca="1" si="9"/>
        <v>85.237982609385284</v>
      </c>
      <c r="F34" s="304">
        <f t="shared" ca="1" si="10"/>
        <v>86.552770475488529</v>
      </c>
      <c r="G34" s="306">
        <f t="shared" ca="1" si="11"/>
        <v>4.2194906403838557</v>
      </c>
      <c r="H34" s="307">
        <f t="shared" ca="1" si="12"/>
        <v>23.931260754635886</v>
      </c>
      <c r="I34" s="304">
        <f t="shared" ca="1" si="13"/>
        <v>24.300397992021914</v>
      </c>
      <c r="J34" s="306">
        <f t="shared" ca="1" si="14"/>
        <v>0.58172790437067223</v>
      </c>
      <c r="K34" s="307">
        <f t="shared" ca="1" si="15"/>
        <v>3.2993293066618543</v>
      </c>
      <c r="L34" s="304">
        <f t="shared" ca="1" si="0"/>
        <v>3.350221071589349</v>
      </c>
      <c r="M34" s="306">
        <f t="shared" ca="1" si="16"/>
        <v>1.3962634015954636</v>
      </c>
      <c r="N34" s="304">
        <f t="shared" ca="1" si="17"/>
        <v>80</v>
      </c>
      <c r="P34" s="310">
        <f t="shared" ca="1" si="18"/>
        <v>2</v>
      </c>
      <c r="Q34" s="304">
        <f t="shared" ca="1" si="19"/>
        <v>841.27777777777771</v>
      </c>
      <c r="R34" s="306">
        <f t="shared" ca="1" si="20"/>
        <v>0.42219812008746938</v>
      </c>
      <c r="S34" s="307">
        <f t="shared" ca="1" si="21"/>
        <v>8.721068187719192</v>
      </c>
      <c r="T34" s="304">
        <f t="shared" ca="1" si="1"/>
        <v>85.553678921525275</v>
      </c>
      <c r="U34" s="311">
        <f t="shared" ca="1" si="2"/>
        <v>14.856240437424541</v>
      </c>
      <c r="V34" s="306">
        <f t="shared" ca="1" si="3"/>
        <v>1.2245958988230767</v>
      </c>
      <c r="W34" s="304">
        <f t="shared" ca="1" si="4"/>
        <v>2.3560314244974445</v>
      </c>
      <c r="Y34" s="314" t="str">
        <f t="shared" ca="1" si="22"/>
        <v/>
      </c>
      <c r="Z34" s="315" t="str">
        <f t="shared" ca="1" si="23"/>
        <v/>
      </c>
      <c r="AA34" s="316" t="str">
        <f t="shared" ca="1" si="24"/>
        <v/>
      </c>
      <c r="AC34" s="310" t="e">
        <f t="shared" ca="1" si="25"/>
        <v>#N/A</v>
      </c>
      <c r="AD34" s="323" t="e">
        <f t="shared" ca="1" si="26"/>
        <v>#N/A</v>
      </c>
      <c r="AE34" s="324">
        <f t="shared" ca="1" si="5"/>
        <v>3.2993293066618543</v>
      </c>
      <c r="AG34" s="306">
        <f t="shared" ca="1" si="27"/>
        <v>86.552770471559725</v>
      </c>
      <c r="AH34" s="304">
        <f t="shared" ca="1" si="28"/>
        <v>96.213734528609493</v>
      </c>
    </row>
    <row r="35" spans="1:34" x14ac:dyDescent="0.2">
      <c r="A35" s="347">
        <f t="shared" ca="1" si="6"/>
        <v>0.01</v>
      </c>
      <c r="B35" s="304">
        <f t="shared" ca="1" si="7"/>
        <v>0.31000000000000011</v>
      </c>
      <c r="D35" s="306">
        <f t="shared" ca="1" si="8"/>
        <v>14.991653996278712</v>
      </c>
      <c r="E35" s="307">
        <f t="shared" ca="1" si="9"/>
        <v>85.026634273327133</v>
      </c>
      <c r="F35" s="304">
        <f t="shared" ca="1" si="10"/>
        <v>86.338162045495665</v>
      </c>
      <c r="G35" s="306">
        <f t="shared" ca="1" si="11"/>
        <v>4.3694071803466432</v>
      </c>
      <c r="H35" s="307">
        <f t="shared" ca="1" si="12"/>
        <v>24.781527097369157</v>
      </c>
      <c r="I35" s="304">
        <f t="shared" ca="1" si="13"/>
        <v>25.163779612476873</v>
      </c>
      <c r="J35" s="306">
        <f t="shared" ca="1" si="14"/>
        <v>0.62467239347432468</v>
      </c>
      <c r="K35" s="307">
        <f t="shared" ca="1" si="15"/>
        <v>3.5428932459218796</v>
      </c>
      <c r="L35" s="304">
        <f t="shared" ca="1" si="0"/>
        <v>3.5975419596118421</v>
      </c>
      <c r="M35" s="306">
        <f t="shared" ca="1" si="16"/>
        <v>1.3962634015954636</v>
      </c>
      <c r="N35" s="304">
        <f t="shared" ca="1" si="17"/>
        <v>80</v>
      </c>
      <c r="P35" s="310">
        <f t="shared" ca="1" si="18"/>
        <v>2</v>
      </c>
      <c r="Q35" s="304">
        <f t="shared" ca="1" si="19"/>
        <v>839.16666666666663</v>
      </c>
      <c r="R35" s="306">
        <f t="shared" ca="1" si="20"/>
        <v>0.42113865178110182</v>
      </c>
      <c r="S35" s="307">
        <f t="shared" ca="1" si="21"/>
        <v>8.7168568012013807</v>
      </c>
      <c r="T35" s="304">
        <f t="shared" ca="1" si="1"/>
        <v>85.512365219785551</v>
      </c>
      <c r="U35" s="311">
        <f t="shared" ca="1" si="2"/>
        <v>14.849066388404763</v>
      </c>
      <c r="V35" s="306">
        <f t="shared" ca="1" si="3"/>
        <v>1.2245660724453247</v>
      </c>
      <c r="W35" s="304">
        <f t="shared" ca="1" si="4"/>
        <v>2.5263613795500079</v>
      </c>
      <c r="Y35" s="314" t="str">
        <f t="shared" ca="1" si="22"/>
        <v/>
      </c>
      <c r="Z35" s="315" t="str">
        <f t="shared" ca="1" si="23"/>
        <v/>
      </c>
      <c r="AA35" s="316" t="str">
        <f t="shared" ca="1" si="24"/>
        <v/>
      </c>
      <c r="AC35" s="310" t="e">
        <f t="shared" ca="1" si="25"/>
        <v>#N/A</v>
      </c>
      <c r="AD35" s="323" t="e">
        <f t="shared" ca="1" si="26"/>
        <v>#N/A</v>
      </c>
      <c r="AE35" s="324">
        <f t="shared" ca="1" si="5"/>
        <v>3.5428932459218796</v>
      </c>
      <c r="AG35" s="306">
        <f t="shared" ca="1" si="27"/>
        <v>86.338162041573042</v>
      </c>
      <c r="AH35" s="304">
        <f t="shared" ca="1" si="28"/>
        <v>95.99912609862281</v>
      </c>
    </row>
    <row r="36" spans="1:34" x14ac:dyDescent="0.2">
      <c r="A36" s="347">
        <f t="shared" ca="1" si="6"/>
        <v>0.01</v>
      </c>
      <c r="B36" s="304">
        <f t="shared" ca="1" si="7"/>
        <v>0.32000000000000012</v>
      </c>
      <c r="D36" s="306">
        <f t="shared" ca="1" si="8"/>
        <v>14.954222677235343</v>
      </c>
      <c r="E36" s="307">
        <f t="shared" ca="1" si="9"/>
        <v>84.814341070237461</v>
      </c>
      <c r="F36" s="304">
        <f t="shared" ca="1" si="10"/>
        <v>86.122594172835434</v>
      </c>
      <c r="G36" s="306">
        <f t="shared" ca="1" si="11"/>
        <v>4.5189494071189964</v>
      </c>
      <c r="H36" s="307">
        <f t="shared" ca="1" si="12"/>
        <v>25.629670508071531</v>
      </c>
      <c r="I36" s="304">
        <f t="shared" ca="1" si="13"/>
        <v>26.025005554205222</v>
      </c>
      <c r="J36" s="306">
        <f t="shared" ca="1" si="14"/>
        <v>0.66911417641165283</v>
      </c>
      <c r="K36" s="307">
        <f t="shared" ca="1" si="15"/>
        <v>3.7949492339490831</v>
      </c>
      <c r="L36" s="304">
        <f t="shared" ca="1" si="0"/>
        <v>3.8534858854452518</v>
      </c>
      <c r="M36" s="306">
        <f t="shared" ca="1" si="16"/>
        <v>1.3962634015954636</v>
      </c>
      <c r="N36" s="304">
        <f t="shared" ca="1" si="17"/>
        <v>80</v>
      </c>
      <c r="P36" s="310">
        <f t="shared" ca="1" si="18"/>
        <v>2</v>
      </c>
      <c r="Q36" s="304">
        <f t="shared" ca="1" si="19"/>
        <v>837.05555555555554</v>
      </c>
      <c r="R36" s="306">
        <f t="shared" ca="1" si="20"/>
        <v>0.42007918347473427</v>
      </c>
      <c r="S36" s="307">
        <f t="shared" ca="1" si="21"/>
        <v>8.7126560093666328</v>
      </c>
      <c r="T36" s="304">
        <f t="shared" ca="1" si="1"/>
        <v>85.471155451886673</v>
      </c>
      <c r="U36" s="311">
        <f t="shared" ca="1" si="2"/>
        <v>14.841910387307045</v>
      </c>
      <c r="V36" s="306">
        <f t="shared" ca="1" si="3"/>
        <v>1.2245352069121498</v>
      </c>
      <c r="W36" s="304">
        <f t="shared" ca="1" si="4"/>
        <v>2.7021810430598552</v>
      </c>
      <c r="Y36" s="314" t="str">
        <f t="shared" ca="1" si="22"/>
        <v>Sortie de rampe</v>
      </c>
      <c r="Z36" s="315" t="str">
        <f t="shared" ca="1" si="23"/>
        <v/>
      </c>
      <c r="AA36" s="316" t="str">
        <f t="shared" ca="1" si="24"/>
        <v/>
      </c>
      <c r="AC36" s="310" t="e">
        <f t="shared" ca="1" si="25"/>
        <v>#N/A</v>
      </c>
      <c r="AD36" s="323" t="e">
        <f t="shared" ca="1" si="26"/>
        <v>#N/A</v>
      </c>
      <c r="AE36" s="324">
        <f t="shared" ca="1" si="5"/>
        <v>3.7949492339490831</v>
      </c>
      <c r="AG36" s="306">
        <f t="shared" ca="1" si="27"/>
        <v>86.122594168918994</v>
      </c>
      <c r="AH36" s="304">
        <f t="shared" ca="1" si="28"/>
        <v>95.783558225968761</v>
      </c>
    </row>
    <row r="37" spans="1:34" x14ac:dyDescent="0.2">
      <c r="A37" s="347">
        <f t="shared" ca="1" si="6"/>
        <v>0.01</v>
      </c>
      <c r="B37" s="304">
        <f t="shared" ca="1" si="7"/>
        <v>0.33000000000000013</v>
      </c>
      <c r="D37" s="306">
        <f t="shared" ca="1" si="8"/>
        <v>14.916625591606927</v>
      </c>
      <c r="E37" s="307">
        <f t="shared" ca="1" si="9"/>
        <v>84.601107743081045</v>
      </c>
      <c r="F37" s="304">
        <f t="shared" ca="1" si="10"/>
        <v>85.906071673640099</v>
      </c>
      <c r="G37" s="306">
        <f t="shared" ca="1" si="11"/>
        <v>4.6681156630350653</v>
      </c>
      <c r="H37" s="307">
        <f t="shared" ca="1" si="12"/>
        <v>26.47568158550234</v>
      </c>
      <c r="I37" s="304">
        <f t="shared" ca="1" si="13"/>
        <v>26.884066270941624</v>
      </c>
      <c r="J37" s="306">
        <f t="shared" ca="1" si="14"/>
        <v>0.7150495017624231</v>
      </c>
      <c r="K37" s="307">
        <f t="shared" ca="1" si="15"/>
        <v>4.0554759944169527</v>
      </c>
      <c r="L37" s="304">
        <f t="shared" ca="1" si="0"/>
        <v>4.1180312445709859</v>
      </c>
      <c r="M37" s="306">
        <f t="shared" ca="1" si="16"/>
        <v>1.3962634015954636</v>
      </c>
      <c r="N37" s="304">
        <f t="shared" ca="1" si="17"/>
        <v>80</v>
      </c>
      <c r="P37" s="310">
        <f t="shared" ca="1" si="18"/>
        <v>2</v>
      </c>
      <c r="Q37" s="304">
        <f t="shared" ca="1" si="19"/>
        <v>834.94444444444446</v>
      </c>
      <c r="R37" s="306">
        <f t="shared" ca="1" si="20"/>
        <v>0.41901971516836672</v>
      </c>
      <c r="S37" s="307">
        <f t="shared" ca="1" si="21"/>
        <v>8.7084658122149499</v>
      </c>
      <c r="T37" s="304">
        <f t="shared" ca="1" si="1"/>
        <v>85.430049617828658</v>
      </c>
      <c r="U37" s="311">
        <f t="shared" ca="1" si="2"/>
        <v>0</v>
      </c>
      <c r="V37" s="306">
        <f t="shared" ca="1" si="3"/>
        <v>1.2245033049074352</v>
      </c>
      <c r="W37" s="304">
        <f t="shared" ca="1" si="4"/>
        <v>2.8834430699121865</v>
      </c>
      <c r="Y37" s="314" t="str">
        <f t="shared" ca="1" si="22"/>
        <v/>
      </c>
      <c r="Z37" s="315" t="str">
        <f t="shared" ca="1" si="23"/>
        <v/>
      </c>
      <c r="AA37" s="316" t="str">
        <f t="shared" ca="1" si="24"/>
        <v/>
      </c>
      <c r="AC37" s="310" t="e">
        <f t="shared" ca="1" si="25"/>
        <v>#N/A</v>
      </c>
      <c r="AD37" s="323" t="e">
        <f t="shared" ca="1" si="26"/>
        <v>#N/A</v>
      </c>
      <c r="AE37" s="324">
        <f t="shared" ca="1" si="5"/>
        <v>4.0554759944169527</v>
      </c>
      <c r="AG37" s="306">
        <f t="shared" ca="1" si="27"/>
        <v>85.906071669729812</v>
      </c>
      <c r="AH37" s="304">
        <f t="shared" ca="1" si="28"/>
        <v>95.567035726779565</v>
      </c>
    </row>
    <row r="38" spans="1:34" x14ac:dyDescent="0.2">
      <c r="A38" s="347">
        <f t="shared" ca="1" si="6"/>
        <v>0.01</v>
      </c>
      <c r="B38" s="304">
        <f t="shared" ca="1" si="7"/>
        <v>0.34000000000000014</v>
      </c>
      <c r="D38" s="306">
        <f t="shared" ca="1" si="8"/>
        <v>16.557277934833902</v>
      </c>
      <c r="E38" s="307">
        <f t="shared" ca="1" si="9"/>
        <v>84.090989334180918</v>
      </c>
      <c r="F38" s="304">
        <f t="shared" ca="1" si="10"/>
        <v>85.70553039222537</v>
      </c>
      <c r="G38" s="306">
        <f t="shared" ca="1" si="11"/>
        <v>4.8336884423834041</v>
      </c>
      <c r="H38" s="307">
        <f t="shared" ca="1" si="12"/>
        <v>27.316591478844149</v>
      </c>
      <c r="I38" s="304">
        <f t="shared" ca="1" si="13"/>
        <v>27.740957337123241</v>
      </c>
      <c r="J38" s="306">
        <f t="shared" ca="1" si="14"/>
        <v>0.76255852228951548</v>
      </c>
      <c r="K38" s="307">
        <f t="shared" ca="1" si="15"/>
        <v>4.3244373597386847</v>
      </c>
      <c r="L38" s="304">
        <f t="shared" ca="1" si="0"/>
        <v>4.3911563372556044</v>
      </c>
      <c r="M38" s="306">
        <f t="shared" ca="1" si="16"/>
        <v>1.3956586090444965</v>
      </c>
      <c r="N38" s="304">
        <f t="shared" ca="1" si="17"/>
        <v>79.965347939348632</v>
      </c>
      <c r="P38" s="310">
        <f t="shared" ca="1" si="18"/>
        <v>2</v>
      </c>
      <c r="Q38" s="304">
        <f t="shared" ca="1" si="19"/>
        <v>832.83333333333326</v>
      </c>
      <c r="R38" s="306">
        <f t="shared" ca="1" si="20"/>
        <v>0.41796024686199912</v>
      </c>
      <c r="S38" s="307">
        <f t="shared" ca="1" si="21"/>
        <v>8.7042862097463303</v>
      </c>
      <c r="T38" s="304">
        <f t="shared" ca="1" si="1"/>
        <v>85.389047717611504</v>
      </c>
      <c r="U38" s="311">
        <f t="shared" ca="1" si="2"/>
        <v>0</v>
      </c>
      <c r="V38" s="306">
        <f t="shared" ca="1" si="3"/>
        <v>1.2244703709408169</v>
      </c>
      <c r="W38" s="304">
        <f t="shared" ca="1" si="4"/>
        <v>3.0701010817816821</v>
      </c>
      <c r="Y38" s="314" t="str">
        <f t="shared" ca="1" si="22"/>
        <v/>
      </c>
      <c r="Z38" s="315" t="str">
        <f t="shared" ca="1" si="23"/>
        <v/>
      </c>
      <c r="AA38" s="316" t="str">
        <f t="shared" ca="1" si="24"/>
        <v/>
      </c>
      <c r="AC38" s="310" t="e">
        <f t="shared" ca="1" si="25"/>
        <v>#N/A</v>
      </c>
      <c r="AD38" s="323" t="e">
        <f t="shared" ca="1" si="26"/>
        <v>#N/A</v>
      </c>
      <c r="AE38" s="324">
        <f t="shared" ca="1" si="5"/>
        <v>4.3244373597386847</v>
      </c>
      <c r="AG38" s="306">
        <f t="shared" ca="1" si="27"/>
        <v>85.688599395277066</v>
      </c>
      <c r="AH38" s="304">
        <f t="shared" ca="1" si="28"/>
        <v>95.349563452326819</v>
      </c>
    </row>
    <row r="39" spans="1:34" x14ac:dyDescent="0.2">
      <c r="A39" s="347">
        <f t="shared" ca="1" si="6"/>
        <v>0.01</v>
      </c>
      <c r="B39" s="304">
        <f t="shared" ca="1" si="7"/>
        <v>0.35000000000000014</v>
      </c>
      <c r="D39" s="306">
        <f t="shared" ca="1" si="8"/>
        <v>16.57600767383197</v>
      </c>
      <c r="E39" s="307">
        <f t="shared" ca="1" si="9"/>
        <v>83.865882377099638</v>
      </c>
      <c r="F39" s="304">
        <f t="shared" ca="1" si="10"/>
        <v>85.488304798331612</v>
      </c>
      <c r="G39" s="306">
        <f t="shared" ca="1" si="11"/>
        <v>4.9994485191217235</v>
      </c>
      <c r="H39" s="307">
        <f t="shared" ca="1" si="12"/>
        <v>28.155250302615144</v>
      </c>
      <c r="I39" s="304">
        <f t="shared" ca="1" si="13"/>
        <v>28.595674587221378</v>
      </c>
      <c r="J39" s="306">
        <f t="shared" ca="1" si="14"/>
        <v>0.81172420709704107</v>
      </c>
      <c r="K39" s="307">
        <f t="shared" ca="1" si="15"/>
        <v>4.6017965686459812</v>
      </c>
      <c r="L39" s="304">
        <f t="shared" ca="1" si="0"/>
        <v>4.6728393774651886</v>
      </c>
      <c r="M39" s="306">
        <f t="shared" ca="1" si="16"/>
        <v>1.3950608503566611</v>
      </c>
      <c r="N39" s="304">
        <f t="shared" ca="1" si="17"/>
        <v>79.931098889368386</v>
      </c>
      <c r="P39" s="310">
        <f t="shared" ca="1" si="18"/>
        <v>2</v>
      </c>
      <c r="Q39" s="304">
        <f t="shared" ca="1" si="19"/>
        <v>830.72222222222217</v>
      </c>
      <c r="R39" s="306">
        <f t="shared" ca="1" si="20"/>
        <v>0.41690077855563162</v>
      </c>
      <c r="S39" s="307">
        <f t="shared" ca="1" si="21"/>
        <v>8.700117201960774</v>
      </c>
      <c r="T39" s="304">
        <f t="shared" ca="1" si="1"/>
        <v>85.348149751235198</v>
      </c>
      <c r="U39" s="311">
        <f t="shared" ca="1" si="2"/>
        <v>0</v>
      </c>
      <c r="V39" s="306">
        <f t="shared" ca="1" si="3"/>
        <v>1.2244364095967604</v>
      </c>
      <c r="W39" s="304">
        <f t="shared" ca="1" si="4"/>
        <v>3.2621087315483823</v>
      </c>
      <c r="Y39" s="314" t="str">
        <f t="shared" ca="1" si="22"/>
        <v/>
      </c>
      <c r="Z39" s="315" t="str">
        <f t="shared" ca="1" si="23"/>
        <v/>
      </c>
      <c r="AA39" s="316" t="str">
        <f t="shared" ca="1" si="24"/>
        <v/>
      </c>
      <c r="AC39" s="310" t="e">
        <f t="shared" ca="1" si="25"/>
        <v>#N/A</v>
      </c>
      <c r="AD39" s="323" t="e">
        <f t="shared" ca="1" si="26"/>
        <v>#N/A</v>
      </c>
      <c r="AE39" s="324">
        <f t="shared" ca="1" si="5"/>
        <v>4.6017965686459812</v>
      </c>
      <c r="AG39" s="306">
        <f t="shared" ca="1" si="27"/>
        <v>85.471214126014232</v>
      </c>
      <c r="AH39" s="304">
        <f t="shared" ca="1" si="28"/>
        <v>95.131146159032184</v>
      </c>
    </row>
    <row r="40" spans="1:34" x14ac:dyDescent="0.2">
      <c r="A40" s="347">
        <f t="shared" ca="1" si="6"/>
        <v>0.01</v>
      </c>
      <c r="B40" s="304">
        <f t="shared" ca="1" si="7"/>
        <v>0.36000000000000015</v>
      </c>
      <c r="D40" s="306">
        <f t="shared" ca="1" si="8"/>
        <v>16.593649490414482</v>
      </c>
      <c r="E40" s="307">
        <f t="shared" ca="1" si="9"/>
        <v>83.639978142500581</v>
      </c>
      <c r="F40" s="304">
        <f t="shared" ca="1" si="10"/>
        <v>85.270130450754607</v>
      </c>
      <c r="G40" s="306">
        <f t="shared" ca="1" si="11"/>
        <v>5.1653850140258681</v>
      </c>
      <c r="H40" s="307">
        <f t="shared" ca="1" si="12"/>
        <v>28.991650084040149</v>
      </c>
      <c r="I40" s="304">
        <f t="shared" ca="1" si="13"/>
        <v>29.448208382489899</v>
      </c>
      <c r="J40" s="306">
        <f t="shared" ca="1" si="14"/>
        <v>0.86254837476277901</v>
      </c>
      <c r="K40" s="307">
        <f t="shared" ca="1" si="15"/>
        <v>4.8875310705792572</v>
      </c>
      <c r="L40" s="304">
        <f t="shared" ca="1" si="0"/>
        <v>4.9630584990188797</v>
      </c>
      <c r="M40" s="306">
        <f t="shared" ca="1" si="16"/>
        <v>1.3944784362188092</v>
      </c>
      <c r="N40" s="304">
        <f t="shared" ca="1" si="17"/>
        <v>79.897729017340723</v>
      </c>
      <c r="P40" s="310">
        <f t="shared" ca="1" si="18"/>
        <v>2</v>
      </c>
      <c r="Q40" s="304">
        <f t="shared" ca="1" si="19"/>
        <v>828.61111111111109</v>
      </c>
      <c r="R40" s="306">
        <f t="shared" ca="1" si="20"/>
        <v>0.41584131024926407</v>
      </c>
      <c r="S40" s="307">
        <f t="shared" ca="1" si="21"/>
        <v>8.695958788858281</v>
      </c>
      <c r="T40" s="304">
        <f t="shared" ca="1" si="1"/>
        <v>85.307355718699739</v>
      </c>
      <c r="U40" s="311">
        <f t="shared" ca="1" si="2"/>
        <v>0</v>
      </c>
      <c r="V40" s="306">
        <f t="shared" ca="1" si="3"/>
        <v>1.2244014237218617</v>
      </c>
      <c r="W40" s="304">
        <f t="shared" ca="1" si="4"/>
        <v>3.459418361396895</v>
      </c>
      <c r="Y40" s="314" t="str">
        <f t="shared" ca="1" si="22"/>
        <v/>
      </c>
      <c r="Z40" s="315" t="str">
        <f t="shared" ca="1" si="23"/>
        <v/>
      </c>
      <c r="AA40" s="316" t="str">
        <f t="shared" ca="1" si="24"/>
        <v/>
      </c>
      <c r="AC40" s="310" t="e">
        <f t="shared" ca="1" si="25"/>
        <v>#N/A</v>
      </c>
      <c r="AD40" s="323" t="e">
        <f t="shared" ca="1" si="26"/>
        <v>#N/A</v>
      </c>
      <c r="AE40" s="324">
        <f t="shared" ca="1" si="5"/>
        <v>4.8875310705792572</v>
      </c>
      <c r="AG40" s="306">
        <f t="shared" ca="1" si="27"/>
        <v>85.252880076081695</v>
      </c>
      <c r="AH40" s="304">
        <f t="shared" ca="1" si="28"/>
        <v>94.911788615769794</v>
      </c>
    </row>
    <row r="41" spans="1:34" x14ac:dyDescent="0.2">
      <c r="A41" s="347">
        <f t="shared" ca="1" si="6"/>
        <v>0.01</v>
      </c>
      <c r="B41" s="304">
        <f t="shared" ca="1" si="7"/>
        <v>0.37000000000000016</v>
      </c>
      <c r="D41" s="306">
        <f t="shared" ca="1" si="8"/>
        <v>16.609432628032533</v>
      </c>
      <c r="E41" s="307">
        <f t="shared" ca="1" si="9"/>
        <v>83.413420430194321</v>
      </c>
      <c r="F41" s="304">
        <f t="shared" ca="1" si="10"/>
        <v>85.050996232198898</v>
      </c>
      <c r="G41" s="306">
        <f t="shared" ca="1" si="11"/>
        <v>5.3314793403061937</v>
      </c>
      <c r="H41" s="307">
        <f t="shared" ca="1" si="12"/>
        <v>29.825784288342092</v>
      </c>
      <c r="I41" s="304">
        <f t="shared" ca="1" si="13"/>
        <v>30.298549146301145</v>
      </c>
      <c r="J41" s="306">
        <f t="shared" ca="1" si="14"/>
        <v>0.9150326965344393</v>
      </c>
      <c r="K41" s="307">
        <f t="shared" ca="1" si="15"/>
        <v>5.1816182424411688</v>
      </c>
      <c r="L41" s="304">
        <f t="shared" ca="1" si="0"/>
        <v>5.2617917524476576</v>
      </c>
      <c r="M41" s="306">
        <f t="shared" ca="1" si="16"/>
        <v>1.3939105111770682</v>
      </c>
      <c r="N41" s="304">
        <f t="shared" ca="1" si="17"/>
        <v>79.865189309369171</v>
      </c>
      <c r="P41" s="310">
        <f t="shared" ca="1" si="18"/>
        <v>2</v>
      </c>
      <c r="Q41" s="304">
        <f t="shared" ca="1" si="19"/>
        <v>826.5</v>
      </c>
      <c r="R41" s="306">
        <f t="shared" ca="1" si="20"/>
        <v>0.41478184194289652</v>
      </c>
      <c r="S41" s="307">
        <f t="shared" ca="1" si="21"/>
        <v>8.6918109704388513</v>
      </c>
      <c r="T41" s="304">
        <f t="shared" ca="1" si="1"/>
        <v>85.266665620005142</v>
      </c>
      <c r="U41" s="311">
        <f t="shared" ca="1" si="2"/>
        <v>0</v>
      </c>
      <c r="V41" s="306">
        <f t="shared" ca="1" si="3"/>
        <v>1.2243654161738575</v>
      </c>
      <c r="W41" s="304">
        <f t="shared" ca="1" si="4"/>
        <v>3.6619821604827116</v>
      </c>
      <c r="Y41" s="314" t="str">
        <f t="shared" ca="1" si="22"/>
        <v/>
      </c>
      <c r="Z41" s="315" t="str">
        <f t="shared" ca="1" si="23"/>
        <v/>
      </c>
      <c r="AA41" s="316" t="str">
        <f t="shared" ca="1" si="24"/>
        <v/>
      </c>
      <c r="AC41" s="310" t="e">
        <f t="shared" ca="1" si="25"/>
        <v>#N/A</v>
      </c>
      <c r="AD41" s="323" t="e">
        <f t="shared" ca="1" si="26"/>
        <v>#N/A</v>
      </c>
      <c r="AE41" s="324">
        <f t="shared" ca="1" si="5"/>
        <v>5.1816182424411688</v>
      </c>
      <c r="AG41" s="306">
        <f t="shared" ca="1" si="27"/>
        <v>85.033587758173368</v>
      </c>
      <c r="AH41" s="304">
        <f t="shared" ca="1" si="28"/>
        <v>94.691495758224903</v>
      </c>
    </row>
    <row r="42" spans="1:34" x14ac:dyDescent="0.2">
      <c r="A42" s="347">
        <f t="shared" ca="1" si="6"/>
        <v>0.01</v>
      </c>
      <c r="B42" s="304">
        <f t="shared" ca="1" si="7"/>
        <v>0.38000000000000017</v>
      </c>
      <c r="D42" s="306">
        <f t="shared" ca="1" si="8"/>
        <v>16.623446356235334</v>
      </c>
      <c r="E42" s="307">
        <f t="shared" ca="1" si="9"/>
        <v>83.186201148446401</v>
      </c>
      <c r="F42" s="304">
        <f t="shared" ca="1" si="10"/>
        <v>84.830908460704464</v>
      </c>
      <c r="G42" s="306">
        <f t="shared" ca="1" si="11"/>
        <v>5.4977138038685469</v>
      </c>
      <c r="H42" s="307">
        <f t="shared" ca="1" si="12"/>
        <v>30.657646299826556</v>
      </c>
      <c r="I42" s="304">
        <f t="shared" ca="1" si="13"/>
        <v>31.146687363418213</v>
      </c>
      <c r="J42" s="306">
        <f t="shared" ca="1" si="14"/>
        <v>0.96917866225531302</v>
      </c>
      <c r="K42" s="307">
        <f t="shared" ca="1" si="15"/>
        <v>5.484035395382012</v>
      </c>
      <c r="L42" s="304">
        <f t="shared" ca="1" si="0"/>
        <v>5.5690171033292524</v>
      </c>
      <c r="M42" s="306">
        <f t="shared" ca="1" si="16"/>
        <v>1.3933562900669396</v>
      </c>
      <c r="N42" s="304">
        <f t="shared" ca="1" si="17"/>
        <v>79.833434778841749</v>
      </c>
      <c r="P42" s="310">
        <f t="shared" ca="1" si="18"/>
        <v>2</v>
      </c>
      <c r="Q42" s="304">
        <f t="shared" ca="1" si="19"/>
        <v>824.38888888888891</v>
      </c>
      <c r="R42" s="306">
        <f t="shared" ca="1" si="20"/>
        <v>0.41372237363652897</v>
      </c>
      <c r="S42" s="307">
        <f t="shared" ca="1" si="21"/>
        <v>8.6876737467024867</v>
      </c>
      <c r="T42" s="304">
        <f t="shared" ca="1" si="1"/>
        <v>85.226079455151392</v>
      </c>
      <c r="U42" s="311">
        <f t="shared" ca="1" si="2"/>
        <v>0</v>
      </c>
      <c r="V42" s="306">
        <f t="shared" ca="1" si="3"/>
        <v>1.2243283898207655</v>
      </c>
      <c r="W42" s="304">
        <f t="shared" ca="1" si="4"/>
        <v>3.869752169076166</v>
      </c>
      <c r="Y42" s="314" t="str">
        <f t="shared" ca="1" si="22"/>
        <v/>
      </c>
      <c r="Z42" s="315" t="str">
        <f t="shared" ca="1" si="23"/>
        <v/>
      </c>
      <c r="AA42" s="316" t="str">
        <f t="shared" ca="1" si="24"/>
        <v/>
      </c>
      <c r="AC42" s="310" t="e">
        <f t="shared" ca="1" si="25"/>
        <v>#N/A</v>
      </c>
      <c r="AD42" s="323" t="e">
        <f t="shared" ca="1" si="26"/>
        <v>#N/A</v>
      </c>
      <c r="AE42" s="324">
        <f t="shared" ca="1" si="5"/>
        <v>5.484035395382012</v>
      </c>
      <c r="AG42" s="306">
        <f t="shared" ca="1" si="27"/>
        <v>84.813343359276558</v>
      </c>
      <c r="AH42" s="304">
        <f t="shared" ca="1" si="28"/>
        <v>94.470272555978895</v>
      </c>
    </row>
    <row r="43" spans="1:34" x14ac:dyDescent="0.2">
      <c r="A43" s="347">
        <f t="shared" ca="1" si="6"/>
        <v>0.01</v>
      </c>
      <c r="B43" s="304">
        <f t="shared" ca="1" si="7"/>
        <v>0.39000000000000018</v>
      </c>
      <c r="D43" s="306">
        <f t="shared" ca="1" si="8"/>
        <v>16.635772733197374</v>
      </c>
      <c r="E43" s="307">
        <f t="shared" ca="1" si="9"/>
        <v>82.958313261375167</v>
      </c>
      <c r="F43" s="304">
        <f t="shared" ca="1" si="10"/>
        <v>84.60987338132027</v>
      </c>
      <c r="G43" s="306">
        <f t="shared" ca="1" si="11"/>
        <v>5.6640715312005208</v>
      </c>
      <c r="H43" s="307">
        <f t="shared" ca="1" si="12"/>
        <v>31.487229432440309</v>
      </c>
      <c r="I43" s="304">
        <f t="shared" ca="1" si="13"/>
        <v>31.992613579413788</v>
      </c>
      <c r="J43" s="306">
        <f t="shared" ca="1" si="14"/>
        <v>1.0249875889306583</v>
      </c>
      <c r="K43" s="307">
        <f t="shared" ca="1" si="15"/>
        <v>5.7947597740433467</v>
      </c>
      <c r="L43" s="304">
        <f t="shared" ca="1" si="0"/>
        <v>5.8847124310651573</v>
      </c>
      <c r="M43" s="306">
        <f t="shared" ca="1" si="16"/>
        <v>1.392815050456977</v>
      </c>
      <c r="N43" s="304">
        <f t="shared" ca="1" si="17"/>
        <v>79.802424033485579</v>
      </c>
      <c r="P43" s="310">
        <f t="shared" ca="1" si="18"/>
        <v>2</v>
      </c>
      <c r="Q43" s="304">
        <f t="shared" ca="1" si="19"/>
        <v>822.27777777777771</v>
      </c>
      <c r="R43" s="306">
        <f t="shared" ca="1" si="20"/>
        <v>0.41266290533016137</v>
      </c>
      <c r="S43" s="307">
        <f t="shared" ca="1" si="21"/>
        <v>8.6835471176491854</v>
      </c>
      <c r="T43" s="304">
        <f t="shared" ca="1" si="1"/>
        <v>85.185597224138519</v>
      </c>
      <c r="U43" s="311">
        <f t="shared" ca="1" si="2"/>
        <v>0</v>
      </c>
      <c r="V43" s="306">
        <f t="shared" ca="1" si="3"/>
        <v>1.2242903475409561</v>
      </c>
      <c r="W43" s="304">
        <f t="shared" ca="1" si="4"/>
        <v>4.0826802827070274</v>
      </c>
      <c r="Y43" s="314" t="str">
        <f t="shared" ca="1" si="22"/>
        <v/>
      </c>
      <c r="Z43" s="315" t="str">
        <f t="shared" ca="1" si="23"/>
        <v/>
      </c>
      <c r="AA43" s="316" t="str">
        <f t="shared" ca="1" si="24"/>
        <v/>
      </c>
      <c r="AC43" s="310" t="e">
        <f t="shared" ca="1" si="25"/>
        <v>#N/A</v>
      </c>
      <c r="AD43" s="323" t="e">
        <f t="shared" ca="1" si="26"/>
        <v>#N/A</v>
      </c>
      <c r="AE43" s="324">
        <f t="shared" ca="1" si="5"/>
        <v>5.7947597740433467</v>
      </c>
      <c r="AG43" s="306">
        <f t="shared" ca="1" si="27"/>
        <v>84.592153003253316</v>
      </c>
      <c r="AH43" s="304">
        <f t="shared" ca="1" si="28"/>
        <v>94.248124012052514</v>
      </c>
    </row>
    <row r="44" spans="1:34" x14ac:dyDescent="0.2">
      <c r="A44" s="347">
        <f t="shared" ca="1" si="6"/>
        <v>0.01</v>
      </c>
      <c r="B44" s="304">
        <f t="shared" ca="1" si="7"/>
        <v>0.40000000000000019</v>
      </c>
      <c r="D44" s="306">
        <f t="shared" ca="1" si="8"/>
        <v>16.646487378819909</v>
      </c>
      <c r="E44" s="307">
        <f t="shared" ca="1" si="9"/>
        <v>82.729750681790691</v>
      </c>
      <c r="F44" s="304">
        <f t="shared" ca="1" si="10"/>
        <v>84.387897176813553</v>
      </c>
      <c r="G44" s="306">
        <f t="shared" ca="1" si="11"/>
        <v>5.8305364049887203</v>
      </c>
      <c r="H44" s="307">
        <f t="shared" ca="1" si="12"/>
        <v>32.314526939258215</v>
      </c>
      <c r="I44" s="304">
        <f t="shared" ca="1" si="13"/>
        <v>32.836318400179145</v>
      </c>
      <c r="J44" s="306">
        <f t="shared" ca="1" si="14"/>
        <v>1.0824606286116045</v>
      </c>
      <c r="K44" s="307">
        <f t="shared" ca="1" si="15"/>
        <v>6.1137685559018395</v>
      </c>
      <c r="L44" s="304">
        <f t="shared" ca="1" si="0"/>
        <v>6.2088555280041984</v>
      </c>
      <c r="M44" s="306">
        <f t="shared" ca="1" si="16"/>
        <v>1.3922861260858219</v>
      </c>
      <c r="N44" s="304">
        <f t="shared" ca="1" si="17"/>
        <v>79.772118899336789</v>
      </c>
      <c r="P44" s="310">
        <f t="shared" ca="1" si="18"/>
        <v>2</v>
      </c>
      <c r="Q44" s="304">
        <f t="shared" ca="1" si="19"/>
        <v>820.16666666666663</v>
      </c>
      <c r="R44" s="306">
        <f t="shared" ca="1" si="20"/>
        <v>0.41160343702379387</v>
      </c>
      <c r="S44" s="307">
        <f t="shared" ca="1" si="21"/>
        <v>8.6794310832789474</v>
      </c>
      <c r="T44" s="304">
        <f t="shared" ca="1" si="1"/>
        <v>85.145218926966479</v>
      </c>
      <c r="U44" s="311">
        <f t="shared" ca="1" si="2"/>
        <v>0</v>
      </c>
      <c r="V44" s="306">
        <f t="shared" ca="1" si="3"/>
        <v>1.2242512922232054</v>
      </c>
      <c r="W44" s="304">
        <f t="shared" ca="1" si="4"/>
        <v>4.3007182562996311</v>
      </c>
      <c r="Y44" s="314" t="str">
        <f t="shared" ca="1" si="22"/>
        <v/>
      </c>
      <c r="Z44" s="315" t="str">
        <f t="shared" ca="1" si="23"/>
        <v/>
      </c>
      <c r="AA44" s="316" t="str">
        <f t="shared" ca="1" si="24"/>
        <v/>
      </c>
      <c r="AC44" s="310" t="e">
        <f t="shared" ca="1" si="25"/>
        <v>#N/A</v>
      </c>
      <c r="AD44" s="323" t="e">
        <f t="shared" ca="1" si="26"/>
        <v>#N/A</v>
      </c>
      <c r="AE44" s="324">
        <f t="shared" ca="1" si="5"/>
        <v>6.1137685559018395</v>
      </c>
      <c r="AG44" s="306">
        <f t="shared" ca="1" si="27"/>
        <v>84.370022760499012</v>
      </c>
      <c r="AH44" s="304">
        <f t="shared" ca="1" si="28"/>
        <v>94.025055162446947</v>
      </c>
    </row>
    <row r="45" spans="1:34" x14ac:dyDescent="0.2">
      <c r="A45" s="347">
        <f t="shared" ca="1" si="6"/>
        <v>0.01</v>
      </c>
      <c r="B45" s="304">
        <f t="shared" ca="1" si="7"/>
        <v>0.4100000000000002</v>
      </c>
      <c r="D45" s="306">
        <f t="shared" ca="1" si="8"/>
        <v>16.655660146440962</v>
      </c>
      <c r="E45" s="307">
        <f t="shared" ca="1" si="9"/>
        <v>82.500508177735526</v>
      </c>
      <c r="F45" s="304">
        <f t="shared" ca="1" si="10"/>
        <v>84.16498597693905</v>
      </c>
      <c r="G45" s="306">
        <f t="shared" ca="1" si="11"/>
        <v>5.99709300645313</v>
      </c>
      <c r="H45" s="307">
        <f t="shared" ca="1" si="12"/>
        <v>33.139532021035571</v>
      </c>
      <c r="I45" s="304">
        <f t="shared" ca="1" si="13"/>
        <v>33.677792491511241</v>
      </c>
      <c r="J45" s="306">
        <f t="shared" ca="1" si="14"/>
        <v>1.1415987756688137</v>
      </c>
      <c r="K45" s="307">
        <f t="shared" ca="1" si="15"/>
        <v>6.4410388507033085</v>
      </c>
      <c r="L45" s="304">
        <f t="shared" ca="1" si="0"/>
        <v>6.5414240988394825</v>
      </c>
      <c r="M45" s="306">
        <f t="shared" ca="1" si="16"/>
        <v>1.391768901139451</v>
      </c>
      <c r="N45" s="304">
        <f t="shared" ca="1" si="17"/>
        <v>79.742484092850844</v>
      </c>
      <c r="P45" s="310">
        <f t="shared" ca="1" si="18"/>
        <v>2</v>
      </c>
      <c r="Q45" s="304">
        <f t="shared" ca="1" si="19"/>
        <v>818.05555555555554</v>
      </c>
      <c r="R45" s="306">
        <f t="shared" ca="1" si="20"/>
        <v>0.41054396871742632</v>
      </c>
      <c r="S45" s="307">
        <f t="shared" ca="1" si="21"/>
        <v>8.6753256435917727</v>
      </c>
      <c r="T45" s="304">
        <f t="shared" ca="1" si="1"/>
        <v>85.1049445636353</v>
      </c>
      <c r="U45" s="311">
        <f t="shared" ca="1" si="2"/>
        <v>0</v>
      </c>
      <c r="V45" s="306">
        <f t="shared" ca="1" si="3"/>
        <v>1.2242112267667411</v>
      </c>
      <c r="W45" s="304">
        <f t="shared" ca="1" si="4"/>
        <v>4.5238177082995348</v>
      </c>
      <c r="Y45" s="314" t="str">
        <f t="shared" ca="1" si="22"/>
        <v/>
      </c>
      <c r="Z45" s="315" t="str">
        <f t="shared" ca="1" si="23"/>
        <v/>
      </c>
      <c r="AA45" s="316" t="str">
        <f t="shared" ca="1" si="24"/>
        <v/>
      </c>
      <c r="AC45" s="310" t="e">
        <f t="shared" ca="1" si="25"/>
        <v>#N/A</v>
      </c>
      <c r="AD45" s="323" t="e">
        <f t="shared" ca="1" si="26"/>
        <v>#N/A</v>
      </c>
      <c r="AE45" s="324">
        <f t="shared" ca="1" si="5"/>
        <v>6.4410388507033085</v>
      </c>
      <c r="AG45" s="306">
        <f t="shared" ca="1" si="27"/>
        <v>84.146958656296761</v>
      </c>
      <c r="AH45" s="304">
        <f t="shared" ca="1" si="28"/>
        <v>93.801071075683993</v>
      </c>
    </row>
    <row r="46" spans="1:34" x14ac:dyDescent="0.2">
      <c r="A46" s="347">
        <f t="shared" ca="1" si="6"/>
        <v>0.01</v>
      </c>
      <c r="B46" s="304">
        <f t="shared" ca="1" si="7"/>
        <v>0.42000000000000021</v>
      </c>
      <c r="D46" s="306">
        <f t="shared" ca="1" si="8"/>
        <v>16.663355708758953</v>
      </c>
      <c r="E46" s="307">
        <f t="shared" ca="1" si="9"/>
        <v>82.270581290654462</v>
      </c>
      <c r="F46" s="304">
        <f t="shared" ca="1" si="10"/>
        <v>83.941145866486806</v>
      </c>
      <c r="G46" s="306">
        <f t="shared" ca="1" si="11"/>
        <v>6.1637265635407195</v>
      </c>
      <c r="H46" s="307">
        <f t="shared" ca="1" si="12"/>
        <v>33.962237833942112</v>
      </c>
      <c r="I46" s="304">
        <f t="shared" ca="1" si="13"/>
        <v>34.517026578767563</v>
      </c>
      <c r="J46" s="306">
        <f t="shared" ca="1" si="14"/>
        <v>1.2024028735187831</v>
      </c>
      <c r="K46" s="307">
        <f t="shared" ca="1" si="15"/>
        <v>6.7765476999781971</v>
      </c>
      <c r="L46" s="304">
        <f t="shared" ca="1" si="0"/>
        <v>6.8823957602223098</v>
      </c>
      <c r="M46" s="306">
        <f t="shared" ca="1" si="16"/>
        <v>1.3912628052423988</v>
      </c>
      <c r="N46" s="304">
        <f t="shared" ca="1" si="17"/>
        <v>79.713486933920876</v>
      </c>
      <c r="P46" s="310">
        <f t="shared" ca="1" si="18"/>
        <v>2</v>
      </c>
      <c r="Q46" s="304">
        <f t="shared" ca="1" si="19"/>
        <v>815.94444444444434</v>
      </c>
      <c r="R46" s="306">
        <f t="shared" ca="1" si="20"/>
        <v>0.40948450041105872</v>
      </c>
      <c r="S46" s="307">
        <f t="shared" ca="1" si="21"/>
        <v>8.6712307985876613</v>
      </c>
      <c r="T46" s="304">
        <f t="shared" ca="1" si="1"/>
        <v>85.064774134144969</v>
      </c>
      <c r="U46" s="311">
        <f t="shared" ca="1" si="2"/>
        <v>0</v>
      </c>
      <c r="V46" s="306">
        <f t="shared" ca="1" si="3"/>
        <v>1.2241701540812753</v>
      </c>
      <c r="W46" s="304">
        <f t="shared" ca="1" si="4"/>
        <v>4.7519301247924277</v>
      </c>
      <c r="Y46" s="314" t="str">
        <f t="shared" ca="1" si="22"/>
        <v/>
      </c>
      <c r="Z46" s="315" t="str">
        <f t="shared" ca="1" si="23"/>
        <v/>
      </c>
      <c r="AA46" s="316" t="str">
        <f t="shared" ca="1" si="24"/>
        <v/>
      </c>
      <c r="AC46" s="310" t="e">
        <f t="shared" ca="1" si="25"/>
        <v>#N/A</v>
      </c>
      <c r="AD46" s="323" t="e">
        <f t="shared" ca="1" si="26"/>
        <v>#N/A</v>
      </c>
      <c r="AE46" s="324">
        <f t="shared" ca="1" si="5"/>
        <v>6.7765476999781971</v>
      </c>
      <c r="AG46" s="306">
        <f t="shared" ca="1" si="27"/>
        <v>83.922966678065208</v>
      </c>
      <c r="AH46" s="304">
        <f t="shared" ca="1" si="28"/>
        <v>93.576176852345569</v>
      </c>
    </row>
    <row r="47" spans="1:34" x14ac:dyDescent="0.2">
      <c r="A47" s="347">
        <f t="shared" ca="1" si="6"/>
        <v>0.01</v>
      </c>
      <c r="B47" s="304">
        <f t="shared" ca="1" si="7"/>
        <v>0.43000000000000022</v>
      </c>
      <c r="D47" s="306">
        <f t="shared" ca="1" si="8"/>
        <v>16.669634070836079</v>
      </c>
      <c r="E47" s="307">
        <f t="shared" ca="1" si="9"/>
        <v>82.039966263478163</v>
      </c>
      <c r="F47" s="304">
        <f t="shared" ca="1" si="10"/>
        <v>83.716382892288252</v>
      </c>
      <c r="G47" s="306">
        <f t="shared" ca="1" si="11"/>
        <v>6.3304229042490805</v>
      </c>
      <c r="H47" s="307">
        <f t="shared" ca="1" si="12"/>
        <v>34.782637496576896</v>
      </c>
      <c r="I47" s="304">
        <f t="shared" ca="1" si="13"/>
        <v>35.354011446580124</v>
      </c>
      <c r="J47" s="306">
        <f t="shared" ca="1" si="14"/>
        <v>1.264873620857732</v>
      </c>
      <c r="K47" s="307">
        <f t="shared" ca="1" si="15"/>
        <v>7.1202720766307923</v>
      </c>
      <c r="L47" s="304">
        <f t="shared" ca="1" si="0"/>
        <v>7.2317480405493892</v>
      </c>
      <c r="M47" s="306">
        <f t="shared" ca="1" si="16"/>
        <v>1.3907673090583557</v>
      </c>
      <c r="N47" s="304">
        <f t="shared" ca="1" si="17"/>
        <v>79.68509709381037</v>
      </c>
      <c r="P47" s="310">
        <f t="shared" ca="1" si="18"/>
        <v>2</v>
      </c>
      <c r="Q47" s="304">
        <f t="shared" ca="1" si="19"/>
        <v>813.83333333333326</v>
      </c>
      <c r="R47" s="306">
        <f t="shared" ca="1" si="20"/>
        <v>0.40842503210469117</v>
      </c>
      <c r="S47" s="307">
        <f t="shared" ca="1" si="21"/>
        <v>8.667146548266615</v>
      </c>
      <c r="T47" s="304">
        <f t="shared" ca="1" si="1"/>
        <v>85.024707638495499</v>
      </c>
      <c r="U47" s="311">
        <f t="shared" ca="1" si="2"/>
        <v>0</v>
      </c>
      <c r="V47" s="306">
        <f t="shared" ca="1" si="3"/>
        <v>1.2241280770870313</v>
      </c>
      <c r="W47" s="304">
        <f t="shared" ca="1" si="4"/>
        <v>4.9850068636159568</v>
      </c>
      <c r="Y47" s="314" t="str">
        <f t="shared" ca="1" si="22"/>
        <v/>
      </c>
      <c r="Z47" s="315" t="str">
        <f t="shared" ca="1" si="23"/>
        <v/>
      </c>
      <c r="AA47" s="316" t="str">
        <f t="shared" ca="1" si="24"/>
        <v/>
      </c>
      <c r="AC47" s="310" t="e">
        <f t="shared" ca="1" si="25"/>
        <v>#N/A</v>
      </c>
      <c r="AD47" s="323" t="e">
        <f t="shared" ca="1" si="26"/>
        <v>#N/A</v>
      </c>
      <c r="AE47" s="324">
        <f t="shared" ca="1" si="5"/>
        <v>7.1202720766307923</v>
      </c>
      <c r="AG47" s="306">
        <f t="shared" ca="1" si="27"/>
        <v>83.698052781662895</v>
      </c>
      <c r="AH47" s="304">
        <f t="shared" ca="1" si="28"/>
        <v>93.35037762461198</v>
      </c>
    </row>
    <row r="48" spans="1:34" x14ac:dyDescent="0.2">
      <c r="A48" s="347">
        <f t="shared" ca="1" si="6"/>
        <v>0.01</v>
      </c>
      <c r="B48" s="304">
        <f t="shared" ca="1" si="7"/>
        <v>0.44000000000000022</v>
      </c>
      <c r="D48" s="306">
        <f t="shared" ca="1" si="8"/>
        <v>16.674551020845612</v>
      </c>
      <c r="E48" s="307">
        <f t="shared" ca="1" si="9"/>
        <v>81.808659977195873</v>
      </c>
      <c r="F48" s="304">
        <f t="shared" ca="1" si="10"/>
        <v>83.490703069331218</v>
      </c>
      <c r="G48" s="306">
        <f t="shared" ca="1" si="11"/>
        <v>6.497168414457537</v>
      </c>
      <c r="H48" s="307">
        <f t="shared" ca="1" si="12"/>
        <v>35.600724096348856</v>
      </c>
      <c r="I48" s="304">
        <f t="shared" ca="1" si="13"/>
        <v>36.188737938620889</v>
      </c>
      <c r="J48" s="306">
        <f t="shared" ca="1" si="14"/>
        <v>1.3290115774512652</v>
      </c>
      <c r="K48" s="307">
        <f t="shared" ca="1" si="15"/>
        <v>7.472188884595421</v>
      </c>
      <c r="L48" s="304">
        <f t="shared" ca="1" si="0"/>
        <v>7.5894583798892308</v>
      </c>
      <c r="M48" s="306">
        <f t="shared" ca="1" si="16"/>
        <v>1.3902819204130266</v>
      </c>
      <c r="N48" s="304">
        <f t="shared" ca="1" si="17"/>
        <v>79.657286373009441</v>
      </c>
      <c r="P48" s="310">
        <f t="shared" ca="1" si="18"/>
        <v>2</v>
      </c>
      <c r="Q48" s="304">
        <f t="shared" ca="1" si="19"/>
        <v>811.72222222222217</v>
      </c>
      <c r="R48" s="306">
        <f t="shared" ca="1" si="20"/>
        <v>0.40736556379832362</v>
      </c>
      <c r="S48" s="307">
        <f t="shared" ca="1" si="21"/>
        <v>8.663072892628632</v>
      </c>
      <c r="T48" s="304">
        <f t="shared" ca="1" si="1"/>
        <v>84.984745076686877</v>
      </c>
      <c r="U48" s="311">
        <f t="shared" ca="1" si="2"/>
        <v>0</v>
      </c>
      <c r="V48" s="306">
        <f t="shared" ca="1" si="3"/>
        <v>1.2240849987147588</v>
      </c>
      <c r="W48" s="304">
        <f t="shared" ca="1" si="4"/>
        <v>5.2229991584648614</v>
      </c>
      <c r="Y48" s="314" t="str">
        <f t="shared" ca="1" si="22"/>
        <v/>
      </c>
      <c r="Z48" s="315" t="str">
        <f t="shared" ca="1" si="23"/>
        <v/>
      </c>
      <c r="AA48" s="316" t="str">
        <f t="shared" ca="1" si="24"/>
        <v/>
      </c>
      <c r="AC48" s="310" t="e">
        <f t="shared" ca="1" si="25"/>
        <v>#N/A</v>
      </c>
      <c r="AD48" s="323" t="e">
        <f t="shared" ca="1" si="26"/>
        <v>#N/A</v>
      </c>
      <c r="AE48" s="324">
        <f t="shared" ca="1" si="5"/>
        <v>7.472188884595421</v>
      </c>
      <c r="AG48" s="306">
        <f t="shared" ca="1" si="27"/>
        <v>83.47222289688483</v>
      </c>
      <c r="AH48" s="304">
        <f t="shared" ca="1" si="28"/>
        <v>93.123678555799202</v>
      </c>
    </row>
    <row r="49" spans="1:34" x14ac:dyDescent="0.2">
      <c r="A49" s="347">
        <f t="shared" ca="1" si="6"/>
        <v>0.01</v>
      </c>
      <c r="B49" s="304">
        <f t="shared" ca="1" si="7"/>
        <v>0.45000000000000023</v>
      </c>
      <c r="D49" s="306">
        <f t="shared" ca="1" si="8"/>
        <v>16.678158527446421</v>
      </c>
      <c r="E49" s="307">
        <f t="shared" ca="1" si="9"/>
        <v>81.576659894726092</v>
      </c>
      <c r="F49" s="304">
        <f t="shared" ca="1" si="10"/>
        <v>83.264112386108138</v>
      </c>
      <c r="G49" s="306">
        <f t="shared" ca="1" si="11"/>
        <v>6.6639499997320009</v>
      </c>
      <c r="H49" s="307">
        <f t="shared" ca="1" si="12"/>
        <v>36.416490695296119</v>
      </c>
      <c r="I49" s="304">
        <f t="shared" ca="1" si="13"/>
        <v>37.021196957412343</v>
      </c>
      <c r="J49" s="306">
        <f t="shared" ca="1" si="14"/>
        <v>1.3948171695222129</v>
      </c>
      <c r="K49" s="307">
        <f t="shared" ca="1" si="15"/>
        <v>7.8322749585536462</v>
      </c>
      <c r="L49" s="304">
        <f t="shared" ca="1" si="0"/>
        <v>7.9555041300209552</v>
      </c>
      <c r="M49" s="306">
        <f t="shared" ca="1" si="16"/>
        <v>1.3898061808663593</v>
      </c>
      <c r="N49" s="304">
        <f t="shared" ca="1" si="17"/>
        <v>79.630028504837938</v>
      </c>
      <c r="P49" s="310">
        <f t="shared" ca="1" si="18"/>
        <v>2</v>
      </c>
      <c r="Q49" s="304">
        <f t="shared" ca="1" si="19"/>
        <v>809.61111111111109</v>
      </c>
      <c r="R49" s="306">
        <f t="shared" ca="1" si="20"/>
        <v>0.40630609549195612</v>
      </c>
      <c r="S49" s="307">
        <f t="shared" ca="1" si="21"/>
        <v>8.6590098316737123</v>
      </c>
      <c r="T49" s="304">
        <f t="shared" ca="1" si="1"/>
        <v>84.944886448719117</v>
      </c>
      <c r="U49" s="311">
        <f t="shared" ca="1" si="2"/>
        <v>0</v>
      </c>
      <c r="V49" s="306">
        <f t="shared" ca="1" si="3"/>
        <v>1.2240409219057444</v>
      </c>
      <c r="W49" s="304">
        <f t="shared" ca="1" si="4"/>
        <v>5.4658581229898422</v>
      </c>
      <c r="Y49" s="314" t="str">
        <f t="shared" ca="1" si="22"/>
        <v/>
      </c>
      <c r="Z49" s="315" t="str">
        <f t="shared" ca="1" si="23"/>
        <v/>
      </c>
      <c r="AA49" s="316" t="str">
        <f t="shared" ca="1" si="24"/>
        <v/>
      </c>
      <c r="AC49" s="310" t="e">
        <f t="shared" ca="1" si="25"/>
        <v>#N/A</v>
      </c>
      <c r="AD49" s="323" t="e">
        <f t="shared" ca="1" si="26"/>
        <v>#N/A</v>
      </c>
      <c r="AE49" s="324">
        <f t="shared" ca="1" si="5"/>
        <v>7.8322749585536462</v>
      </c>
      <c r="AG49" s="306">
        <f t="shared" ca="1" si="27"/>
        <v>83.245482932264864</v>
      </c>
      <c r="AH49" s="304">
        <f t="shared" ca="1" si="28"/>
        <v>92.896084839895011</v>
      </c>
    </row>
    <row r="50" spans="1:34" x14ac:dyDescent="0.2">
      <c r="A50" s="347">
        <f t="shared" ca="1" si="6"/>
        <v>0.01</v>
      </c>
      <c r="B50" s="304">
        <f t="shared" ca="1" si="7"/>
        <v>0.46000000000000024</v>
      </c>
      <c r="D50" s="306">
        <f t="shared" ca="1" si="8"/>
        <v>16.680505091219906</v>
      </c>
      <c r="E50" s="307">
        <f t="shared" ca="1" si="9"/>
        <v>81.343964011086271</v>
      </c>
      <c r="F50" s="304">
        <f t="shared" ca="1" si="10"/>
        <v>83.036616809303538</v>
      </c>
      <c r="G50" s="306">
        <f t="shared" ca="1" si="11"/>
        <v>6.8307550506441999</v>
      </c>
      <c r="H50" s="307">
        <f t="shared" ca="1" si="12"/>
        <v>37.229930335406983</v>
      </c>
      <c r="I50" s="304">
        <f t="shared" ca="1" si="13"/>
        <v>37.851379464177505</v>
      </c>
      <c r="J50" s="306">
        <f t="shared" ca="1" si="14"/>
        <v>1.4622906947740939</v>
      </c>
      <c r="K50" s="307">
        <f t="shared" ca="1" si="15"/>
        <v>8.2005070637071622</v>
      </c>
      <c r="L50" s="304">
        <f t="shared" ca="1" si="0"/>
        <v>8.3298625545643876</v>
      </c>
      <c r="M50" s="306">
        <f t="shared" ca="1" si="16"/>
        <v>1.3893396626728702</v>
      </c>
      <c r="N50" s="304">
        <f t="shared" ca="1" si="17"/>
        <v>79.603298981284951</v>
      </c>
      <c r="P50" s="310">
        <f t="shared" ca="1" si="18"/>
        <v>2</v>
      </c>
      <c r="Q50" s="304">
        <f t="shared" ca="1" si="19"/>
        <v>807.5</v>
      </c>
      <c r="R50" s="306">
        <f t="shared" ca="1" si="20"/>
        <v>0.40524662718558857</v>
      </c>
      <c r="S50" s="307">
        <f t="shared" ca="1" si="21"/>
        <v>8.6549573654018559</v>
      </c>
      <c r="T50" s="304">
        <f t="shared" ca="1" si="1"/>
        <v>84.905131754592205</v>
      </c>
      <c r="U50" s="311">
        <f t="shared" ca="1" si="2"/>
        <v>0</v>
      </c>
      <c r="V50" s="306">
        <f t="shared" ca="1" si="3"/>
        <v>1.2239958496118137</v>
      </c>
      <c r="W50" s="304">
        <f t="shared" ca="1" si="4"/>
        <v>5.7135347548903734</v>
      </c>
      <c r="Y50" s="314" t="str">
        <f t="shared" ca="1" si="22"/>
        <v/>
      </c>
      <c r="Z50" s="315" t="str">
        <f t="shared" ca="1" si="23"/>
        <v/>
      </c>
      <c r="AA50" s="316" t="str">
        <f t="shared" ca="1" si="24"/>
        <v/>
      </c>
      <c r="AC50" s="310" t="e">
        <f t="shared" ca="1" si="25"/>
        <v>#N/A</v>
      </c>
      <c r="AD50" s="323" t="e">
        <f t="shared" ca="1" si="26"/>
        <v>#N/A</v>
      </c>
      <c r="AE50" s="324">
        <f t="shared" ca="1" si="5"/>
        <v>8.2005070637071622</v>
      </c>
      <c r="AG50" s="306">
        <f t="shared" ca="1" si="27"/>
        <v>83.017838779278947</v>
      </c>
      <c r="AH50" s="304">
        <f t="shared" ca="1" si="28"/>
        <v>92.667601701094128</v>
      </c>
    </row>
    <row r="51" spans="1:34" x14ac:dyDescent="0.2">
      <c r="A51" s="347">
        <f t="shared" ca="1" si="6"/>
        <v>0.01</v>
      </c>
      <c r="B51" s="304">
        <f t="shared" ca="1" si="7"/>
        <v>0.47000000000000025</v>
      </c>
      <c r="D51" s="306">
        <f t="shared" ca="1" si="8"/>
        <v>16.681636056420665</v>
      </c>
      <c r="E51" s="307">
        <f t="shared" ca="1" si="9"/>
        <v>81.110570809018185</v>
      </c>
      <c r="F51" s="304">
        <f t="shared" ca="1" si="10"/>
        <v>82.808222287908265</v>
      </c>
      <c r="G51" s="306">
        <f t="shared" ca="1" si="11"/>
        <v>6.9975714112084066</v>
      </c>
      <c r="H51" s="307">
        <f t="shared" ca="1" si="12"/>
        <v>38.041036043497165</v>
      </c>
      <c r="I51" s="304">
        <f t="shared" ca="1" si="13"/>
        <v>38.679276478724518</v>
      </c>
      <c r="J51" s="306">
        <f t="shared" ca="1" si="14"/>
        <v>1.531432327083357</v>
      </c>
      <c r="K51" s="307">
        <f t="shared" ca="1" si="15"/>
        <v>8.5768618956016827</v>
      </c>
      <c r="L51" s="304">
        <f t="shared" ca="1" si="0"/>
        <v>8.712510829184664</v>
      </c>
      <c r="M51" s="306">
        <f t="shared" ca="1" si="16"/>
        <v>1.3888819660783525</v>
      </c>
      <c r="N51" s="304">
        <f t="shared" ca="1" si="17"/>
        <v>79.577074898121566</v>
      </c>
      <c r="P51" s="310">
        <f t="shared" ca="1" si="18"/>
        <v>2</v>
      </c>
      <c r="Q51" s="304">
        <f t="shared" ca="1" si="19"/>
        <v>805.3888888888888</v>
      </c>
      <c r="R51" s="306">
        <f t="shared" ca="1" si="20"/>
        <v>0.40418715887922096</v>
      </c>
      <c r="S51" s="307">
        <f t="shared" ca="1" si="21"/>
        <v>8.6509154938130646</v>
      </c>
      <c r="T51" s="304">
        <f t="shared" ca="1" si="1"/>
        <v>84.865480994306168</v>
      </c>
      <c r="U51" s="311">
        <f t="shared" ca="1" si="2"/>
        <v>0</v>
      </c>
      <c r="V51" s="306">
        <f t="shared" ca="1" si="3"/>
        <v>1.2239497847953273</v>
      </c>
      <c r="W51" s="304">
        <f t="shared" ca="1" si="4"/>
        <v>5.9659799400015983</v>
      </c>
      <c r="Y51" s="314" t="str">
        <f t="shared" ca="1" si="22"/>
        <v/>
      </c>
      <c r="Z51" s="315" t="str">
        <f t="shared" ca="1" si="23"/>
        <v/>
      </c>
      <c r="AA51" s="316" t="str">
        <f t="shared" ca="1" si="24"/>
        <v/>
      </c>
      <c r="AC51" s="310" t="e">
        <f t="shared" ca="1" si="25"/>
        <v>#N/A</v>
      </c>
      <c r="AD51" s="323" t="e">
        <f t="shared" ca="1" si="26"/>
        <v>#N/A</v>
      </c>
      <c r="AE51" s="324">
        <f t="shared" ca="1" si="5"/>
        <v>8.5768618956016827</v>
      </c>
      <c r="AG51" s="306">
        <f t="shared" ca="1" si="27"/>
        <v>82.789296316029009</v>
      </c>
      <c r="AH51" s="304">
        <f t="shared" ca="1" si="28"/>
        <v>92.438234393331882</v>
      </c>
    </row>
    <row r="52" spans="1:34" x14ac:dyDescent="0.2">
      <c r="A52" s="347">
        <f t="shared" ca="1" si="6"/>
        <v>0.01</v>
      </c>
      <c r="B52" s="304">
        <f t="shared" ca="1" si="7"/>
        <v>0.48000000000000026</v>
      </c>
      <c r="D52" s="306">
        <f t="shared" ca="1" si="8"/>
        <v>16.681593888318744</v>
      </c>
      <c r="E52" s="307">
        <f t="shared" ca="1" si="9"/>
        <v>80.876479219356668</v>
      </c>
      <c r="F52" s="304">
        <f t="shared" ca="1" si="10"/>
        <v>82.57893475683629</v>
      </c>
      <c r="G52" s="306">
        <f t="shared" ca="1" si="11"/>
        <v>7.1643873500915944</v>
      </c>
      <c r="H52" s="307">
        <f t="shared" ca="1" si="12"/>
        <v>38.849800835690729</v>
      </c>
      <c r="I52" s="304">
        <f t="shared" ca="1" si="13"/>
        <v>39.504879079361686</v>
      </c>
      <c r="J52" s="306">
        <f t="shared" ca="1" si="14"/>
        <v>1.602242120889857</v>
      </c>
      <c r="K52" s="307">
        <f t="shared" ca="1" si="15"/>
        <v>8.9613160799976228</v>
      </c>
      <c r="L52" s="304">
        <f t="shared" ca="1" si="0"/>
        <v>9.1034260418579542</v>
      </c>
      <c r="M52" s="306">
        <f t="shared" ca="1" si="16"/>
        <v>1.3884327169091273</v>
      </c>
      <c r="N52" s="304">
        <f t="shared" ca="1" si="17"/>
        <v>79.55133481677521</v>
      </c>
      <c r="P52" s="310">
        <f t="shared" ca="1" si="18"/>
        <v>2</v>
      </c>
      <c r="Q52" s="304">
        <f t="shared" ca="1" si="19"/>
        <v>803.27777777777771</v>
      </c>
      <c r="R52" s="306">
        <f t="shared" ca="1" si="20"/>
        <v>0.40312769057285341</v>
      </c>
      <c r="S52" s="307">
        <f t="shared" ca="1" si="21"/>
        <v>8.6468842169073366</v>
      </c>
      <c r="T52" s="304">
        <f t="shared" ca="1" si="1"/>
        <v>84.825934167860979</v>
      </c>
      <c r="U52" s="311">
        <f t="shared" ca="1" si="2"/>
        <v>0</v>
      </c>
      <c r="V52" s="306">
        <f t="shared" ca="1" si="3"/>
        <v>1.223902730429173</v>
      </c>
      <c r="W52" s="304">
        <f t="shared" ca="1" si="4"/>
        <v>6.2231444563754676</v>
      </c>
      <c r="Y52" s="314" t="str">
        <f t="shared" ca="1" si="22"/>
        <v/>
      </c>
      <c r="Z52" s="315" t="str">
        <f t="shared" ca="1" si="23"/>
        <v/>
      </c>
      <c r="AA52" s="316" t="str">
        <f t="shared" ca="1" si="24"/>
        <v/>
      </c>
      <c r="AC52" s="310" t="e">
        <f t="shared" ca="1" si="25"/>
        <v>#N/A</v>
      </c>
      <c r="AD52" s="323" t="e">
        <f t="shared" ca="1" si="26"/>
        <v>#N/A</v>
      </c>
      <c r="AE52" s="324">
        <f t="shared" ca="1" si="5"/>
        <v>8.9613160799976228</v>
      </c>
      <c r="AG52" s="306">
        <f t="shared" ca="1" si="27"/>
        <v>82.559861410476117</v>
      </c>
      <c r="AH52" s="304">
        <f t="shared" ca="1" si="28"/>
        <v>92.207988199817066</v>
      </c>
    </row>
    <row r="53" spans="1:34" x14ac:dyDescent="0.2">
      <c r="A53" s="347">
        <f t="shared" ca="1" si="6"/>
        <v>0.01</v>
      </c>
      <c r="B53" s="304">
        <f t="shared" ca="1" si="7"/>
        <v>0.49000000000000027</v>
      </c>
      <c r="D53" s="306">
        <f t="shared" ca="1" si="8"/>
        <v>16.680418420608479</v>
      </c>
      <c r="E53" s="307">
        <f t="shared" ca="1" si="9"/>
        <v>80.641688585534354</v>
      </c>
      <c r="F53" s="304">
        <f t="shared" ca="1" si="10"/>
        <v>82.348760140107004</v>
      </c>
      <c r="G53" s="306">
        <f t="shared" ca="1" si="11"/>
        <v>7.3311915342976794</v>
      </c>
      <c r="H53" s="307">
        <f t="shared" ca="1" si="12"/>
        <v>39.656217721546071</v>
      </c>
      <c r="I53" s="304">
        <f t="shared" ca="1" si="13"/>
        <v>40.328178402839157</v>
      </c>
      <c r="J53" s="306">
        <f t="shared" ca="1" si="14"/>
        <v>1.6747200153118034</v>
      </c>
      <c r="K53" s="307">
        <f t="shared" ca="1" si="15"/>
        <v>9.3538461727838076</v>
      </c>
      <c r="L53" s="304">
        <f t="shared" ca="1" si="0"/>
        <v>9.5025851931876026</v>
      </c>
      <c r="M53" s="306">
        <f t="shared" ca="1" si="16"/>
        <v>1.387991564416541</v>
      </c>
      <c r="N53" s="304">
        <f t="shared" ca="1" si="17"/>
        <v>79.526058640828339</v>
      </c>
      <c r="P53" s="310">
        <f t="shared" ca="1" si="18"/>
        <v>2</v>
      </c>
      <c r="Q53" s="304">
        <f t="shared" ca="1" si="19"/>
        <v>801.16666666666663</v>
      </c>
      <c r="R53" s="306">
        <f t="shared" ca="1" si="20"/>
        <v>0.40206822226648586</v>
      </c>
      <c r="S53" s="307">
        <f t="shared" ca="1" si="21"/>
        <v>8.6428635346846718</v>
      </c>
      <c r="T53" s="304">
        <f t="shared" ca="1" si="1"/>
        <v>84.786491275256637</v>
      </c>
      <c r="U53" s="311">
        <f t="shared" ca="1" si="2"/>
        <v>0</v>
      </c>
      <c r="V53" s="306">
        <f t="shared" ca="1" si="3"/>
        <v>1.2238546894967475</v>
      </c>
      <c r="W53" s="304">
        <f t="shared" ca="1" si="4"/>
        <v>6.4849789783560174</v>
      </c>
      <c r="Y53" s="314" t="str">
        <f t="shared" ca="1" si="22"/>
        <v/>
      </c>
      <c r="Z53" s="315" t="str">
        <f t="shared" ca="1" si="23"/>
        <v/>
      </c>
      <c r="AA53" s="316" t="str">
        <f t="shared" ca="1" si="24"/>
        <v/>
      </c>
      <c r="AC53" s="310" t="e">
        <f t="shared" ca="1" si="25"/>
        <v>#N/A</v>
      </c>
      <c r="AD53" s="323" t="e">
        <f t="shared" ca="1" si="26"/>
        <v>#N/A</v>
      </c>
      <c r="AE53" s="324">
        <f t="shared" ca="1" si="5"/>
        <v>9.3538461727838076</v>
      </c>
      <c r="AG53" s="306">
        <f t="shared" ca="1" si="27"/>
        <v>82.329539923279739</v>
      </c>
      <c r="AH53" s="304">
        <f t="shared" ca="1" si="28"/>
        <v>91.976868432563307</v>
      </c>
    </row>
    <row r="54" spans="1:34" x14ac:dyDescent="0.2">
      <c r="A54" s="347">
        <f t="shared" ca="1" si="6"/>
        <v>0.01</v>
      </c>
      <c r="B54" s="304">
        <f t="shared" ca="1" si="7"/>
        <v>0.50000000000000022</v>
      </c>
      <c r="D54" s="306">
        <f t="shared" ca="1" si="8"/>
        <v>16.678147076692383</v>
      </c>
      <c r="E54" s="307">
        <f t="shared" ca="1" si="9"/>
        <v>80.406198631705891</v>
      </c>
      <c r="F54" s="304">
        <f t="shared" ca="1" si="10"/>
        <v>82.117704353647909</v>
      </c>
      <c r="G54" s="306">
        <f t="shared" ca="1" si="11"/>
        <v>7.497973005064603</v>
      </c>
      <c r="H54" s="307">
        <f t="shared" ca="1" si="12"/>
        <v>40.46027970786313</v>
      </c>
      <c r="I54" s="304">
        <f t="shared" ca="1" si="13"/>
        <v>41.149165644314081</v>
      </c>
      <c r="J54" s="306">
        <f t="shared" ca="1" si="14"/>
        <v>1.7488658380086148</v>
      </c>
      <c r="K54" s="307">
        <f t="shared" ca="1" si="15"/>
        <v>9.7544286599308538</v>
      </c>
      <c r="L54" s="304">
        <f t="shared" ca="1" si="0"/>
        <v>9.9099651967619948</v>
      </c>
      <c r="M54" s="306">
        <f t="shared" ca="1" si="16"/>
        <v>1.3875581793448528</v>
      </c>
      <c r="N54" s="304">
        <f t="shared" ca="1" si="17"/>
        <v>79.501227505316621</v>
      </c>
      <c r="P54" s="310">
        <f t="shared" ca="1" si="18"/>
        <v>2</v>
      </c>
      <c r="Q54" s="304">
        <f t="shared" ca="1" si="19"/>
        <v>799.05555555555554</v>
      </c>
      <c r="R54" s="306">
        <f t="shared" ca="1" si="20"/>
        <v>0.40100875396011837</v>
      </c>
      <c r="S54" s="307">
        <f t="shared" ca="1" si="21"/>
        <v>8.6388534471450704</v>
      </c>
      <c r="T54" s="304">
        <f t="shared" ca="1" si="1"/>
        <v>84.747152316493143</v>
      </c>
      <c r="U54" s="311">
        <f t="shared" ca="1" si="2"/>
        <v>0</v>
      </c>
      <c r="V54" s="306">
        <f t="shared" ca="1" si="3"/>
        <v>1.2238056649919402</v>
      </c>
      <c r="W54" s="304">
        <f t="shared" ca="1" si="4"/>
        <v>6.7514340806488979</v>
      </c>
      <c r="Y54" s="314" t="str">
        <f t="shared" ca="1" si="22"/>
        <v/>
      </c>
      <c r="Z54" s="315" t="str">
        <f t="shared" ca="1" si="23"/>
        <v/>
      </c>
      <c r="AA54" s="316" t="str">
        <f t="shared" ca="1" si="24"/>
        <v/>
      </c>
      <c r="AC54" s="310" t="e">
        <f t="shared" ca="1" si="25"/>
        <v>#N/A</v>
      </c>
      <c r="AD54" s="323" t="e">
        <f t="shared" ca="1" si="26"/>
        <v>#N/A</v>
      </c>
      <c r="AE54" s="324">
        <f t="shared" ca="1" si="5"/>
        <v>9.7544286599308538</v>
      </c>
      <c r="AG54" s="306">
        <f t="shared" ca="1" si="27"/>
        <v>82.098337710292839</v>
      </c>
      <c r="AH54" s="304">
        <f t="shared" ca="1" si="28"/>
        <v>91.744880431919441</v>
      </c>
    </row>
    <row r="55" spans="1:34" x14ac:dyDescent="0.2">
      <c r="A55" s="347">
        <f t="shared" ca="1" si="6"/>
        <v>0.01</v>
      </c>
      <c r="B55" s="304">
        <f t="shared" ca="1" si="7"/>
        <v>0.51000000000000023</v>
      </c>
      <c r="D55" s="306">
        <f t="shared" ca="1" si="8"/>
        <v>16.684643831475114</v>
      </c>
      <c r="E55" s="307">
        <f t="shared" ca="1" si="9"/>
        <v>80.223047037055835</v>
      </c>
      <c r="F55" s="304">
        <f t="shared" ca="1" si="10"/>
        <v>81.939701095945267</v>
      </c>
      <c r="G55" s="306">
        <f t="shared" ca="1" si="11"/>
        <v>7.6648194433793542</v>
      </c>
      <c r="H55" s="307">
        <f t="shared" ca="1" si="12"/>
        <v>41.26251017823369</v>
      </c>
      <c r="I55" s="304">
        <f t="shared" ca="1" si="13"/>
        <v>41.968371463620613</v>
      </c>
      <c r="J55" s="306">
        <f t="shared" ca="1" si="14"/>
        <v>1.8246798002508346</v>
      </c>
      <c r="K55" s="307">
        <f t="shared" ca="1" si="15"/>
        <v>10.163042609361337</v>
      </c>
      <c r="L55" s="304">
        <f t="shared" ca="1" si="0"/>
        <v>10.325545576536744</v>
      </c>
      <c r="M55" s="306">
        <f t="shared" ca="1" si="16"/>
        <v>1.3871322576695171</v>
      </c>
      <c r="N55" s="304">
        <f t="shared" ca="1" si="17"/>
        <v>79.476823990916742</v>
      </c>
      <c r="P55" s="310">
        <f t="shared" ca="1" si="18"/>
        <v>3</v>
      </c>
      <c r="Q55" s="304">
        <f t="shared" ca="1" si="19"/>
        <v>797.41</v>
      </c>
      <c r="R55" s="306">
        <f t="shared" ca="1" si="20"/>
        <v>0.40018292629604973</v>
      </c>
      <c r="S55" s="307">
        <f t="shared" ca="1" si="21"/>
        <v>8.6348516178821093</v>
      </c>
      <c r="T55" s="304">
        <f t="shared" ca="1" si="1"/>
        <v>84.707894371423492</v>
      </c>
      <c r="U55" s="311">
        <f t="shared" ca="1" si="2"/>
        <v>0</v>
      </c>
      <c r="V55" s="306">
        <f t="shared" ca="1" si="3"/>
        <v>1.2237556595945813</v>
      </c>
      <c r="W55" s="304">
        <f t="shared" ca="1" si="4"/>
        <v>7.0226407589502919</v>
      </c>
      <c r="Y55" s="314" t="str">
        <f t="shared" ca="1" si="22"/>
        <v/>
      </c>
      <c r="Z55" s="315" t="str">
        <f t="shared" ca="1" si="23"/>
        <v/>
      </c>
      <c r="AA55" s="316" t="str">
        <f t="shared" ca="1" si="24"/>
        <v/>
      </c>
      <c r="AC55" s="310" t="e">
        <f t="shared" ca="1" si="25"/>
        <v>#N/A</v>
      </c>
      <c r="AD55" s="323" t="e">
        <f t="shared" ca="1" si="26"/>
        <v>#N/A</v>
      </c>
      <c r="AE55" s="324">
        <f t="shared" ca="1" si="5"/>
        <v>10.163042609361337</v>
      </c>
      <c r="AG55" s="306">
        <f t="shared" ca="1" si="27"/>
        <v>81.92020125806971</v>
      </c>
      <c r="AH55" s="304">
        <f t="shared" ca="1" si="28"/>
        <v>91.565970199413542</v>
      </c>
    </row>
    <row r="56" spans="1:34" x14ac:dyDescent="0.2">
      <c r="A56" s="347">
        <f t="shared" ca="1" si="6"/>
        <v>0.01</v>
      </c>
      <c r="B56" s="304">
        <f t="shared" ca="1" si="7"/>
        <v>0.52000000000000024</v>
      </c>
      <c r="D56" s="306">
        <f t="shared" ca="1" si="8"/>
        <v>16.70002347975549</v>
      </c>
      <c r="E56" s="307">
        <f t="shared" ca="1" si="9"/>
        <v>80.092298925692745</v>
      </c>
      <c r="F56" s="304">
        <f t="shared" ca="1" si="10"/>
        <v>81.814834421557734</v>
      </c>
      <c r="G56" s="306">
        <f t="shared" ca="1" si="11"/>
        <v>7.8318196781769087</v>
      </c>
      <c r="H56" s="307">
        <f t="shared" ca="1" si="12"/>
        <v>42.063433167490615</v>
      </c>
      <c r="I56" s="304">
        <f t="shared" ca="1" si="13"/>
        <v>42.786327364094113</v>
      </c>
      <c r="J56" s="306">
        <f t="shared" ca="1" si="14"/>
        <v>1.9021629958586159</v>
      </c>
      <c r="K56" s="307">
        <f t="shared" ca="1" si="15"/>
        <v>10.579672326089959</v>
      </c>
      <c r="L56" s="304">
        <f t="shared" ca="1" si="0"/>
        <v>10.749311168174803</v>
      </c>
      <c r="M56" s="306">
        <f t="shared" ca="1" si="16"/>
        <v>1.3867135182737838</v>
      </c>
      <c r="N56" s="304">
        <f t="shared" ca="1" si="17"/>
        <v>79.452831990825374</v>
      </c>
      <c r="P56" s="310">
        <f t="shared" ca="1" si="18"/>
        <v>3</v>
      </c>
      <c r="Q56" s="304">
        <f t="shared" ca="1" si="19"/>
        <v>796.23</v>
      </c>
      <c r="R56" s="306">
        <f t="shared" ca="1" si="20"/>
        <v>0.39959073927428013</v>
      </c>
      <c r="S56" s="307">
        <f t="shared" ca="1" si="21"/>
        <v>8.6308557104893673</v>
      </c>
      <c r="T56" s="304">
        <f t="shared" ca="1" si="1"/>
        <v>84.668694519900697</v>
      </c>
      <c r="U56" s="311">
        <f t="shared" ca="1" si="2"/>
        <v>0</v>
      </c>
      <c r="V56" s="306">
        <f t="shared" ca="1" si="3"/>
        <v>1.223704675345574</v>
      </c>
      <c r="W56" s="304">
        <f t="shared" ca="1" si="4"/>
        <v>7.2987442097012156</v>
      </c>
      <c r="Y56" s="314" t="str">
        <f t="shared" ca="1" si="22"/>
        <v/>
      </c>
      <c r="Z56" s="315" t="str">
        <f t="shared" ca="1" si="23"/>
        <v/>
      </c>
      <c r="AA56" s="316" t="str">
        <f t="shared" ca="1" si="24"/>
        <v/>
      </c>
      <c r="AC56" s="310" t="e">
        <f t="shared" ca="1" si="25"/>
        <v>#N/A</v>
      </c>
      <c r="AD56" s="323" t="e">
        <f t="shared" ca="1" si="26"/>
        <v>#N/A</v>
      </c>
      <c r="AE56" s="324">
        <f t="shared" ca="1" si="5"/>
        <v>10.579672326089959</v>
      </c>
      <c r="AG56" s="306">
        <f t="shared" ca="1" si="27"/>
        <v>81.795214933886911</v>
      </c>
      <c r="AH56" s="304">
        <f t="shared" ca="1" si="28"/>
        <v>91.440221655183009</v>
      </c>
    </row>
    <row r="57" spans="1:34" x14ac:dyDescent="0.2">
      <c r="A57" s="347">
        <f t="shared" ca="1" si="6"/>
        <v>0.01</v>
      </c>
      <c r="B57" s="304">
        <f t="shared" ca="1" si="7"/>
        <v>0.53000000000000025</v>
      </c>
      <c r="D57" s="306">
        <f t="shared" ca="1" si="8"/>
        <v>16.714513320528624</v>
      </c>
      <c r="E57" s="307">
        <f t="shared" ca="1" si="9"/>
        <v>79.960939944425263</v>
      </c>
      <c r="F57" s="304">
        <f t="shared" ca="1" si="10"/>
        <v>81.689209032393705</v>
      </c>
      <c r="G57" s="306">
        <f t="shared" ca="1" si="11"/>
        <v>7.9989648113821952</v>
      </c>
      <c r="H57" s="307">
        <f t="shared" ca="1" si="12"/>
        <v>42.863042566934865</v>
      </c>
      <c r="I57" s="304">
        <f t="shared" ca="1" si="13"/>
        <v>43.603025768272097</v>
      </c>
      <c r="J57" s="306">
        <f t="shared" ca="1" si="14"/>
        <v>1.9813169183064114</v>
      </c>
      <c r="K57" s="307">
        <f t="shared" ca="1" si="15"/>
        <v>11.004304704762086</v>
      </c>
      <c r="L57" s="304">
        <f t="shared" ca="1" si="0"/>
        <v>11.181249427770414</v>
      </c>
      <c r="M57" s="306">
        <f t="shared" ca="1" si="16"/>
        <v>1.3863016957820045</v>
      </c>
      <c r="N57" s="304">
        <f t="shared" ca="1" si="17"/>
        <v>79.429236300137859</v>
      </c>
      <c r="P57" s="310">
        <f t="shared" ca="1" si="18"/>
        <v>3</v>
      </c>
      <c r="Q57" s="304">
        <f t="shared" ca="1" si="19"/>
        <v>795.05</v>
      </c>
      <c r="R57" s="306">
        <f t="shared" ca="1" si="20"/>
        <v>0.39899855225251041</v>
      </c>
      <c r="S57" s="307">
        <f t="shared" ca="1" si="21"/>
        <v>8.6268657249668426</v>
      </c>
      <c r="T57" s="304">
        <f t="shared" ca="1" si="1"/>
        <v>84.629552761924728</v>
      </c>
      <c r="U57" s="311">
        <f t="shared" ca="1" si="2"/>
        <v>0</v>
      </c>
      <c r="V57" s="306">
        <f t="shared" ca="1" si="3"/>
        <v>1.2236527139709661</v>
      </c>
      <c r="W57" s="304">
        <f t="shared" ca="1" si="4"/>
        <v>7.5797160744674104</v>
      </c>
      <c r="Y57" s="314" t="str">
        <f t="shared" ca="1" si="22"/>
        <v/>
      </c>
      <c r="Z57" s="315" t="str">
        <f t="shared" ca="1" si="23"/>
        <v/>
      </c>
      <c r="AA57" s="316" t="str">
        <f t="shared" ca="1" si="24"/>
        <v/>
      </c>
      <c r="AC57" s="310" t="e">
        <f t="shared" ca="1" si="25"/>
        <v>#N/A</v>
      </c>
      <c r="AD57" s="323" t="e">
        <f t="shared" ca="1" si="26"/>
        <v>#N/A</v>
      </c>
      <c r="AE57" s="324">
        <f t="shared" ca="1" si="5"/>
        <v>11.004304704762086</v>
      </c>
      <c r="AG57" s="306">
        <f t="shared" ca="1" si="27"/>
        <v>81.669470669018992</v>
      </c>
      <c r="AH57" s="304">
        <f t="shared" ca="1" si="28"/>
        <v>91.313726317830969</v>
      </c>
    </row>
    <row r="58" spans="1:34" x14ac:dyDescent="0.2">
      <c r="A58" s="347">
        <f t="shared" ca="1" si="6"/>
        <v>0.01</v>
      </c>
      <c r="B58" s="304">
        <f t="shared" ca="1" si="7"/>
        <v>0.54000000000000026</v>
      </c>
      <c r="D58" s="306">
        <f t="shared" ca="1" si="8"/>
        <v>16.728139516363349</v>
      </c>
      <c r="E58" s="307">
        <f t="shared" ca="1" si="9"/>
        <v>79.82896867444893</v>
      </c>
      <c r="F58" s="304">
        <f t="shared" ca="1" si="10"/>
        <v>81.562827877073175</v>
      </c>
      <c r="G58" s="306">
        <f t="shared" ca="1" si="11"/>
        <v>8.1662462065458286</v>
      </c>
      <c r="H58" s="307">
        <f t="shared" ca="1" si="12"/>
        <v>43.661332253679355</v>
      </c>
      <c r="I58" s="304">
        <f t="shared" ca="1" si="13"/>
        <v>44.418459127620643</v>
      </c>
      <c r="J58" s="306">
        <f t="shared" ca="1" si="14"/>
        <v>2.0621429733960515</v>
      </c>
      <c r="K58" s="307">
        <f t="shared" ca="1" si="15"/>
        <v>11.436926578865158</v>
      </c>
      <c r="L58" s="304">
        <f t="shared" ca="1" si="0"/>
        <v>11.621347736518299</v>
      </c>
      <c r="M58" s="306">
        <f t="shared" ca="1" si="16"/>
        <v>1.3858965393954628</v>
      </c>
      <c r="N58" s="304">
        <f t="shared" ca="1" si="17"/>
        <v>79.406022549146243</v>
      </c>
      <c r="P58" s="310">
        <f t="shared" ca="1" si="18"/>
        <v>3</v>
      </c>
      <c r="Q58" s="304">
        <f t="shared" ca="1" si="19"/>
        <v>793.87</v>
      </c>
      <c r="R58" s="306">
        <f t="shared" ca="1" si="20"/>
        <v>0.3984063652307408</v>
      </c>
      <c r="S58" s="307">
        <f t="shared" ca="1" si="21"/>
        <v>8.6228816613145352</v>
      </c>
      <c r="T58" s="304">
        <f t="shared" ca="1" si="1"/>
        <v>84.5904690974956</v>
      </c>
      <c r="U58" s="311">
        <f t="shared" ca="1" si="2"/>
        <v>0</v>
      </c>
      <c r="V58" s="306">
        <f t="shared" ca="1" si="3"/>
        <v>1.2235997772063534</v>
      </c>
      <c r="W58" s="304">
        <f t="shared" ca="1" si="4"/>
        <v>7.8655278280922634</v>
      </c>
      <c r="Y58" s="314" t="str">
        <f t="shared" ca="1" si="22"/>
        <v/>
      </c>
      <c r="Z58" s="315" t="str">
        <f t="shared" ca="1" si="23"/>
        <v/>
      </c>
      <c r="AA58" s="316" t="str">
        <f t="shared" ca="1" si="24"/>
        <v/>
      </c>
      <c r="AC58" s="310" t="e">
        <f t="shared" ca="1" si="25"/>
        <v>#N/A</v>
      </c>
      <c r="AD58" s="323" t="e">
        <f t="shared" ca="1" si="26"/>
        <v>#N/A</v>
      </c>
      <c r="AE58" s="324">
        <f t="shared" ca="1" si="5"/>
        <v>11.436926578865158</v>
      </c>
      <c r="AG58" s="306">
        <f t="shared" ca="1" si="27"/>
        <v>81.542971366585377</v>
      </c>
      <c r="AH58" s="304">
        <f t="shared" ca="1" si="28"/>
        <v>91.186486700046473</v>
      </c>
    </row>
    <row r="59" spans="1:34" x14ac:dyDescent="0.2">
      <c r="A59" s="347">
        <f t="shared" ca="1" si="6"/>
        <v>0.01</v>
      </c>
      <c r="B59" s="304">
        <f t="shared" ca="1" si="7"/>
        <v>0.55000000000000027</v>
      </c>
      <c r="D59" s="306">
        <f t="shared" ca="1" si="8"/>
        <v>16.740926822403338</v>
      </c>
      <c r="E59" s="307">
        <f t="shared" ca="1" si="9"/>
        <v>79.696383929692345</v>
      </c>
      <c r="F59" s="304">
        <f t="shared" ca="1" si="10"/>
        <v>81.435693908396132</v>
      </c>
      <c r="G59" s="306">
        <f t="shared" ca="1" si="11"/>
        <v>8.3336554747698628</v>
      </c>
      <c r="H59" s="307">
        <f t="shared" ca="1" si="12"/>
        <v>44.458296092976276</v>
      </c>
      <c r="I59" s="304">
        <f t="shared" ca="1" si="13"/>
        <v>45.232619922605757</v>
      </c>
      <c r="J59" s="306">
        <f t="shared" ca="1" si="14"/>
        <v>2.14464248180263</v>
      </c>
      <c r="K59" s="307">
        <f t="shared" ca="1" si="15"/>
        <v>11.877524720598437</v>
      </c>
      <c r="L59" s="304">
        <f t="shared" ca="1" si="0"/>
        <v>12.069593400905415</v>
      </c>
      <c r="M59" s="306">
        <f t="shared" ca="1" si="16"/>
        <v>1.3854978118344148</v>
      </c>
      <c r="N59" s="304">
        <f t="shared" ca="1" si="17"/>
        <v>79.383177142722644</v>
      </c>
      <c r="P59" s="310">
        <f t="shared" ca="1" si="18"/>
        <v>3</v>
      </c>
      <c r="Q59" s="304">
        <f t="shared" ca="1" si="19"/>
        <v>792.68999999999994</v>
      </c>
      <c r="R59" s="306">
        <f t="shared" ca="1" si="20"/>
        <v>0.39781417820897108</v>
      </c>
      <c r="S59" s="307">
        <f t="shared" ca="1" si="21"/>
        <v>8.618903519532445</v>
      </c>
      <c r="T59" s="304">
        <f t="shared" ca="1" si="1"/>
        <v>84.551443526613284</v>
      </c>
      <c r="U59" s="311">
        <f t="shared" ca="1" si="2"/>
        <v>0</v>
      </c>
      <c r="V59" s="306">
        <f t="shared" ca="1" si="3"/>
        <v>1.2235458667968799</v>
      </c>
      <c r="W59" s="304">
        <f t="shared" ca="1" si="4"/>
        <v>8.1561507807527498</v>
      </c>
      <c r="Y59" s="314" t="str">
        <f t="shared" ca="1" si="22"/>
        <v/>
      </c>
      <c r="Z59" s="315" t="str">
        <f t="shared" ca="1" si="23"/>
        <v/>
      </c>
      <c r="AA59" s="316" t="str">
        <f t="shared" ca="1" si="24"/>
        <v/>
      </c>
      <c r="AC59" s="310" t="e">
        <f t="shared" ca="1" si="25"/>
        <v>#N/A</v>
      </c>
      <c r="AD59" s="323" t="e">
        <f t="shared" ca="1" si="26"/>
        <v>#N/A</v>
      </c>
      <c r="AE59" s="324">
        <f t="shared" ca="1" si="5"/>
        <v>11.877524720598437</v>
      </c>
      <c r="AG59" s="306">
        <f t="shared" ca="1" si="27"/>
        <v>81.415719936125555</v>
      </c>
      <c r="AH59" s="304">
        <f t="shared" ca="1" si="28"/>
        <v>91.058505341579988</v>
      </c>
    </row>
    <row r="60" spans="1:34" x14ac:dyDescent="0.2">
      <c r="A60" s="347">
        <f t="shared" ca="1" si="6"/>
        <v>0.01</v>
      </c>
      <c r="B60" s="304">
        <f t="shared" ca="1" si="7"/>
        <v>0.56000000000000028</v>
      </c>
      <c r="D60" s="306">
        <f t="shared" ca="1" si="8"/>
        <v>16.752898688825944</v>
      </c>
      <c r="E60" s="307">
        <f t="shared" ca="1" si="9"/>
        <v>79.563184742080509</v>
      </c>
      <c r="F60" s="304">
        <f t="shared" ca="1" si="10"/>
        <v>81.307810084766757</v>
      </c>
      <c r="G60" s="306">
        <f t="shared" ca="1" si="11"/>
        <v>8.5011844616581218</v>
      </c>
      <c r="H60" s="307">
        <f t="shared" ca="1" si="12"/>
        <v>45.253927940397084</v>
      </c>
      <c r="I60" s="304">
        <f t="shared" ca="1" si="13"/>
        <v>46.045500662776917</v>
      </c>
      <c r="J60" s="306">
        <f t="shared" ca="1" si="14"/>
        <v>2.2288166814847701</v>
      </c>
      <c r="K60" s="307">
        <f t="shared" ca="1" si="15"/>
        <v>12.326085840765304</v>
      </c>
      <c r="L60" s="304">
        <f t="shared" ca="1" si="0"/>
        <v>12.525973652917353</v>
      </c>
      <c r="M60" s="306">
        <f t="shared" ca="1" si="16"/>
        <v>1.3851052883748805</v>
      </c>
      <c r="N60" s="304">
        <f t="shared" ca="1" si="17"/>
        <v>79.360687205131455</v>
      </c>
      <c r="P60" s="310">
        <f t="shared" ca="1" si="18"/>
        <v>3</v>
      </c>
      <c r="Q60" s="304">
        <f t="shared" ca="1" si="19"/>
        <v>791.51</v>
      </c>
      <c r="R60" s="306">
        <f t="shared" ca="1" si="20"/>
        <v>0.39722199118720147</v>
      </c>
      <c r="S60" s="307">
        <f t="shared" ca="1" si="21"/>
        <v>8.6149312996205722</v>
      </c>
      <c r="T60" s="304">
        <f t="shared" ca="1" si="1"/>
        <v>84.512476049277822</v>
      </c>
      <c r="U60" s="311">
        <f t="shared" ca="1" si="2"/>
        <v>0</v>
      </c>
      <c r="V60" s="306">
        <f t="shared" ca="1" si="3"/>
        <v>1.2234909844972373</v>
      </c>
      <c r="W60" s="304">
        <f t="shared" ca="1" si="4"/>
        <v>8.4515560800238525</v>
      </c>
      <c r="Y60" s="314" t="str">
        <f t="shared" ca="1" si="22"/>
        <v/>
      </c>
      <c r="Z60" s="315" t="str">
        <f t="shared" ca="1" si="23"/>
        <v/>
      </c>
      <c r="AA60" s="316" t="str">
        <f t="shared" ca="1" si="24"/>
        <v/>
      </c>
      <c r="AC60" s="310" t="e">
        <f t="shared" ca="1" si="25"/>
        <v>#N/A</v>
      </c>
      <c r="AD60" s="323" t="e">
        <f t="shared" ca="1" si="26"/>
        <v>#N/A</v>
      </c>
      <c r="AE60" s="324">
        <f t="shared" ca="1" si="5"/>
        <v>12.326085840765304</v>
      </c>
      <c r="AG60" s="306">
        <f t="shared" ca="1" si="27"/>
        <v>81.287719294862612</v>
      </c>
      <c r="AH60" s="304">
        <f t="shared" ca="1" si="28"/>
        <v>90.929784809049892</v>
      </c>
    </row>
    <row r="61" spans="1:34" x14ac:dyDescent="0.2">
      <c r="A61" s="347">
        <f t="shared" ca="1" si="6"/>
        <v>0.01</v>
      </c>
      <c r="B61" s="304">
        <f t="shared" ca="1" si="7"/>
        <v>0.57000000000000028</v>
      </c>
      <c r="D61" s="306">
        <f t="shared" ca="1" si="8"/>
        <v>16.764077354132496</v>
      </c>
      <c r="E61" s="307">
        <f t="shared" ca="1" si="9"/>
        <v>79.429370348068559</v>
      </c>
      <c r="F61" s="304">
        <f t="shared" ca="1" si="10"/>
        <v>81.179179371474135</v>
      </c>
      <c r="G61" s="306">
        <f t="shared" ca="1" si="11"/>
        <v>8.6688252351994475</v>
      </c>
      <c r="H61" s="307">
        <f t="shared" ca="1" si="12"/>
        <v>46.048221643877767</v>
      </c>
      <c r="I61" s="304">
        <f t="shared" ca="1" si="13"/>
        <v>46.857093886861179</v>
      </c>
      <c r="J61" s="306">
        <f t="shared" ca="1" si="14"/>
        <v>2.314666729969058</v>
      </c>
      <c r="K61" s="307">
        <f t="shared" ca="1" si="15"/>
        <v>12.782596588686678</v>
      </c>
      <c r="L61" s="304">
        <f t="shared" ca="1" si="0"/>
        <v>12.990475650257382</v>
      </c>
      <c r="M61" s="306">
        <f t="shared" ca="1" si="16"/>
        <v>1.3847187559701488</v>
      </c>
      <c r="N61" s="304">
        <f t="shared" ca="1" si="17"/>
        <v>79.338540529695294</v>
      </c>
      <c r="P61" s="310">
        <f t="shared" ca="1" si="18"/>
        <v>3</v>
      </c>
      <c r="Q61" s="304">
        <f t="shared" ca="1" si="19"/>
        <v>790.32999999999993</v>
      </c>
      <c r="R61" s="306">
        <f t="shared" ca="1" si="20"/>
        <v>0.39662980416543181</v>
      </c>
      <c r="S61" s="307">
        <f t="shared" ca="1" si="21"/>
        <v>8.6109650015789185</v>
      </c>
      <c r="T61" s="304">
        <f t="shared" ca="1" si="1"/>
        <v>84.473566665489201</v>
      </c>
      <c r="U61" s="311">
        <f t="shared" ca="1" si="2"/>
        <v>0</v>
      </c>
      <c r="V61" s="306">
        <f t="shared" ca="1" si="3"/>
        <v>1.2234351320716581</v>
      </c>
      <c r="W61" s="304">
        <f t="shared" ca="1" si="4"/>
        <v>8.7517147129512907</v>
      </c>
      <c r="Y61" s="314" t="str">
        <f t="shared" ca="1" si="22"/>
        <v/>
      </c>
      <c r="Z61" s="315" t="str">
        <f t="shared" ca="1" si="23"/>
        <v/>
      </c>
      <c r="AA61" s="316" t="str">
        <f t="shared" ca="1" si="24"/>
        <v/>
      </c>
      <c r="AC61" s="310" t="e">
        <f t="shared" ca="1" si="25"/>
        <v>#N/A</v>
      </c>
      <c r="AD61" s="323" t="e">
        <f t="shared" ca="1" si="26"/>
        <v>#N/A</v>
      </c>
      <c r="AE61" s="324">
        <f t="shared" ca="1" si="5"/>
        <v>12.782596588686678</v>
      </c>
      <c r="AG61" s="306">
        <f t="shared" ca="1" si="27"/>
        <v>81.15897236883734</v>
      </c>
      <c r="AH61" s="304">
        <f t="shared" ca="1" si="28"/>
        <v>90.8003276957472</v>
      </c>
    </row>
    <row r="62" spans="1:34" x14ac:dyDescent="0.2">
      <c r="A62" s="347">
        <f t="shared" ca="1" si="6"/>
        <v>0.01</v>
      </c>
      <c r="B62" s="304">
        <f t="shared" ca="1" si="7"/>
        <v>0.58000000000000029</v>
      </c>
      <c r="D62" s="306">
        <f t="shared" ca="1" si="8"/>
        <v>16.774483930240145</v>
      </c>
      <c r="E62" s="307">
        <f t="shared" ca="1" si="9"/>
        <v>79.294940176313574</v>
      </c>
      <c r="F62" s="304">
        <f t="shared" ca="1" si="10"/>
        <v>81.049804741843971</v>
      </c>
      <c r="G62" s="306">
        <f t="shared" ca="1" si="11"/>
        <v>8.8365700745018483</v>
      </c>
      <c r="H62" s="307">
        <f t="shared" ca="1" si="12"/>
        <v>46.841171045640905</v>
      </c>
      <c r="I62" s="304">
        <f t="shared" ca="1" si="13"/>
        <v>47.667392162867159</v>
      </c>
      <c r="J62" s="306">
        <f t="shared" ca="1" si="14"/>
        <v>2.4021937065175645</v>
      </c>
      <c r="K62" s="307">
        <f t="shared" ca="1" si="15"/>
        <v>13.247043552134272</v>
      </c>
      <c r="L62" s="304">
        <f t="shared" ca="1" si="0"/>
        <v>13.463086476576416</v>
      </c>
      <c r="M62" s="306">
        <f t="shared" ca="1" si="16"/>
        <v>1.3843380124481841</v>
      </c>
      <c r="N62" s="304">
        <f t="shared" ca="1" si="17"/>
        <v>79.31672553280977</v>
      </c>
      <c r="P62" s="310">
        <f t="shared" ca="1" si="18"/>
        <v>3</v>
      </c>
      <c r="Q62" s="304">
        <f t="shared" ca="1" si="19"/>
        <v>789.15</v>
      </c>
      <c r="R62" s="306">
        <f t="shared" ca="1" si="20"/>
        <v>0.39603761714366215</v>
      </c>
      <c r="S62" s="307">
        <f t="shared" ca="1" si="21"/>
        <v>8.6070046254074821</v>
      </c>
      <c r="T62" s="304">
        <f t="shared" ca="1" si="1"/>
        <v>84.434715375247407</v>
      </c>
      <c r="U62" s="311">
        <f t="shared" ca="1" si="2"/>
        <v>0</v>
      </c>
      <c r="V62" s="306">
        <f t="shared" ca="1" si="3"/>
        <v>1.2233783112939094</v>
      </c>
      <c r="W62" s="304">
        <f t="shared" ca="1" si="4"/>
        <v>9.0565975081326666</v>
      </c>
      <c r="Y62" s="314" t="str">
        <f t="shared" ca="1" si="22"/>
        <v/>
      </c>
      <c r="Z62" s="315" t="str">
        <f t="shared" ca="1" si="23"/>
        <v/>
      </c>
      <c r="AA62" s="316" t="str">
        <f t="shared" ca="1" si="24"/>
        <v/>
      </c>
      <c r="AC62" s="310" t="e">
        <f t="shared" ca="1" si="25"/>
        <v>#N/A</v>
      </c>
      <c r="AD62" s="323" t="e">
        <f t="shared" ca="1" si="26"/>
        <v>#N/A</v>
      </c>
      <c r="AE62" s="324">
        <f t="shared" ca="1" si="5"/>
        <v>13.247043552134272</v>
      </c>
      <c r="AG62" s="306">
        <f t="shared" ca="1" si="27"/>
        <v>81.029482093926021</v>
      </c>
      <c r="AH62" s="304">
        <f t="shared" ca="1" si="28"/>
        <v>90.670136621438402</v>
      </c>
    </row>
    <row r="63" spans="1:34" x14ac:dyDescent="0.2">
      <c r="A63" s="347">
        <f t="shared" ca="1" si="6"/>
        <v>0.01</v>
      </c>
      <c r="B63" s="304">
        <f t="shared" ca="1" si="7"/>
        <v>0.5900000000000003</v>
      </c>
      <c r="D63" s="306">
        <f t="shared" ca="1" si="8"/>
        <v>16.784138480227533</v>
      </c>
      <c r="E63" s="307">
        <f t="shared" ca="1" si="9"/>
        <v>79.159893836368596</v>
      </c>
      <c r="F63" s="304">
        <f t="shared" ca="1" si="10"/>
        <v>80.919689178274794</v>
      </c>
      <c r="G63" s="306">
        <f t="shared" ca="1" si="11"/>
        <v>9.0044114593041229</v>
      </c>
      <c r="H63" s="307">
        <f t="shared" ca="1" si="12"/>
        <v>47.63276998400459</v>
      </c>
      <c r="I63" s="304">
        <f t="shared" ca="1" si="13"/>
        <v>48.476388088197496</v>
      </c>
      <c r="J63" s="306">
        <f t="shared" ca="1" si="14"/>
        <v>2.4913986141865943</v>
      </c>
      <c r="K63" s="307">
        <f t="shared" ca="1" si="15"/>
        <v>13.7194132572825</v>
      </c>
      <c r="L63" s="304">
        <f t="shared" ca="1" si="0"/>
        <v>13.943793141712542</v>
      </c>
      <c r="M63" s="306">
        <f t="shared" ca="1" si="16"/>
        <v>1.3839628657771668</v>
      </c>
      <c r="N63" s="304">
        <f t="shared" ca="1" si="17"/>
        <v>79.295231211862088</v>
      </c>
      <c r="P63" s="310">
        <f t="shared" ca="1" si="18"/>
        <v>3</v>
      </c>
      <c r="Q63" s="304">
        <f t="shared" ca="1" si="19"/>
        <v>787.96999999999991</v>
      </c>
      <c r="R63" s="306">
        <f t="shared" ca="1" si="20"/>
        <v>0.39544543012189248</v>
      </c>
      <c r="S63" s="307">
        <f t="shared" ca="1" si="21"/>
        <v>8.603050171106263</v>
      </c>
      <c r="T63" s="304">
        <f t="shared" ca="1" si="1"/>
        <v>84.395922178552439</v>
      </c>
      <c r="U63" s="311">
        <f t="shared" ca="1" si="2"/>
        <v>0</v>
      </c>
      <c r="V63" s="306">
        <f t="shared" ca="1" si="3"/>
        <v>1.223320523947284</v>
      </c>
      <c r="W63" s="304">
        <f t="shared" ca="1" si="4"/>
        <v>9.3661751378067759</v>
      </c>
      <c r="Y63" s="314" t="str">
        <f t="shared" ca="1" si="22"/>
        <v/>
      </c>
      <c r="Z63" s="315" t="str">
        <f t="shared" ca="1" si="23"/>
        <v/>
      </c>
      <c r="AA63" s="316" t="str">
        <f t="shared" ca="1" si="24"/>
        <v/>
      </c>
      <c r="AC63" s="310" t="e">
        <f t="shared" ca="1" si="25"/>
        <v>#N/A</v>
      </c>
      <c r="AD63" s="323" t="e">
        <f t="shared" ca="1" si="26"/>
        <v>#N/A</v>
      </c>
      <c r="AE63" s="324">
        <f t="shared" ca="1" si="5"/>
        <v>13.7194132572825</v>
      </c>
      <c r="AG63" s="306">
        <f t="shared" ca="1" si="27"/>
        <v>80.899251416753813</v>
      </c>
      <c r="AH63" s="304">
        <f t="shared" ca="1" si="28"/>
        <v>90.539214232166572</v>
      </c>
    </row>
    <row r="64" spans="1:34" x14ac:dyDescent="0.2">
      <c r="A64" s="347">
        <f t="shared" ca="1" si="6"/>
        <v>0.01</v>
      </c>
      <c r="B64" s="304">
        <f t="shared" ca="1" si="7"/>
        <v>0.60000000000000031</v>
      </c>
      <c r="D64" s="306">
        <f t="shared" ca="1" si="8"/>
        <v>16.793060089485056</v>
      </c>
      <c r="E64" s="307">
        <f t="shared" ca="1" si="9"/>
        <v>79.02423110829578</v>
      </c>
      <c r="F64" s="304">
        <f t="shared" ca="1" si="10"/>
        <v>80.788835673169586</v>
      </c>
      <c r="G64" s="306">
        <f t="shared" ca="1" si="11"/>
        <v>9.1723420601989734</v>
      </c>
      <c r="H64" s="307">
        <f t="shared" ca="1" si="12"/>
        <v>48.423012295087545</v>
      </c>
      <c r="I64" s="304">
        <f t="shared" ca="1" si="13"/>
        <v>49.284074289769251</v>
      </c>
      <c r="J64" s="306">
        <f t="shared" ca="1" si="14"/>
        <v>2.5822823817841098</v>
      </c>
      <c r="K64" s="307">
        <f t="shared" ca="1" si="15"/>
        <v>14.199692168677961</v>
      </c>
      <c r="L64" s="304">
        <f t="shared" ca="1" si="0"/>
        <v>14.432582581938926</v>
      </c>
      <c r="M64" s="306">
        <f t="shared" ca="1" si="16"/>
        <v>1.3835931333923246</v>
      </c>
      <c r="N64" s="304">
        <f t="shared" ca="1" si="17"/>
        <v>79.274047106661328</v>
      </c>
      <c r="P64" s="310">
        <f t="shared" ca="1" si="18"/>
        <v>3</v>
      </c>
      <c r="Q64" s="304">
        <f t="shared" ca="1" si="19"/>
        <v>786.79</v>
      </c>
      <c r="R64" s="306">
        <f t="shared" ca="1" si="20"/>
        <v>0.39485324310012287</v>
      </c>
      <c r="S64" s="307">
        <f t="shared" ca="1" si="21"/>
        <v>8.5991016386752612</v>
      </c>
      <c r="T64" s="304">
        <f t="shared" ca="1" si="1"/>
        <v>84.357187075404312</v>
      </c>
      <c r="U64" s="311">
        <f t="shared" ca="1" si="2"/>
        <v>0</v>
      </c>
      <c r="V64" s="306">
        <f t="shared" ca="1" si="3"/>
        <v>1.2232617718245877</v>
      </c>
      <c r="W64" s="304">
        <f t="shared" ca="1" si="4"/>
        <v>9.6804181199511365</v>
      </c>
      <c r="Y64" s="314" t="str">
        <f t="shared" ca="1" si="22"/>
        <v/>
      </c>
      <c r="Z64" s="315" t="str">
        <f t="shared" ca="1" si="23"/>
        <v/>
      </c>
      <c r="AA64" s="316" t="str">
        <f t="shared" ca="1" si="24"/>
        <v/>
      </c>
      <c r="AC64" s="310" t="e">
        <f t="shared" ca="1" si="25"/>
        <v>#N/A</v>
      </c>
      <c r="AD64" s="323" t="e">
        <f t="shared" ca="1" si="26"/>
        <v>#N/A</v>
      </c>
      <c r="AE64" s="324">
        <f t="shared" ca="1" si="5"/>
        <v>14.199692168677961</v>
      </c>
      <c r="AG64" s="306">
        <f t="shared" ca="1" si="27"/>
        <v>80.768283295513982</v>
      </c>
      <c r="AH64" s="304">
        <f t="shared" ca="1" si="28"/>
        <v>90.407563200050703</v>
      </c>
    </row>
    <row r="65" spans="1:34" x14ac:dyDescent="0.2">
      <c r="A65" s="347">
        <f t="shared" ca="1" si="6"/>
        <v>0.01</v>
      </c>
      <c r="B65" s="304">
        <f t="shared" ca="1" si="7"/>
        <v>0.61000000000000032</v>
      </c>
      <c r="D65" s="306">
        <f t="shared" ca="1" si="8"/>
        <v>16.801266930931689</v>
      </c>
      <c r="E65" s="307">
        <f t="shared" ca="1" si="9"/>
        <v>78.8879519331079</v>
      </c>
      <c r="F65" s="304">
        <f t="shared" ca="1" si="10"/>
        <v>80.657247229773233</v>
      </c>
      <c r="G65" s="306">
        <f t="shared" ca="1" si="11"/>
        <v>9.3403547295082898</v>
      </c>
      <c r="H65" s="307">
        <f t="shared" ca="1" si="12"/>
        <v>49.211891814418621</v>
      </c>
      <c r="I65" s="304">
        <f t="shared" ca="1" si="13"/>
        <v>50.090443424141199</v>
      </c>
      <c r="J65" s="306">
        <f t="shared" ca="1" si="14"/>
        <v>2.6748458657326464</v>
      </c>
      <c r="K65" s="307">
        <f t="shared" ca="1" si="15"/>
        <v>14.687866689225492</v>
      </c>
      <c r="L65" s="304">
        <f t="shared" ca="1" si="0"/>
        <v>14.92944166021914</v>
      </c>
      <c r="M65" s="306">
        <f t="shared" ca="1" si="16"/>
        <v>1.3832286415779966</v>
      </c>
      <c r="N65" s="304">
        <f t="shared" ca="1" si="17"/>
        <v>79.253163264033276</v>
      </c>
      <c r="P65" s="310">
        <f t="shared" ca="1" si="18"/>
        <v>3</v>
      </c>
      <c r="Q65" s="304">
        <f t="shared" ca="1" si="19"/>
        <v>785.61</v>
      </c>
      <c r="R65" s="306">
        <f t="shared" ca="1" si="20"/>
        <v>0.39426105607835321</v>
      </c>
      <c r="S65" s="307">
        <f t="shared" ca="1" si="21"/>
        <v>8.5951590281144785</v>
      </c>
      <c r="T65" s="304">
        <f t="shared" ca="1" si="1"/>
        <v>84.318510065803039</v>
      </c>
      <c r="U65" s="311">
        <f t="shared" ca="1" si="2"/>
        <v>0</v>
      </c>
      <c r="V65" s="306">
        <f t="shared" ca="1" si="3"/>
        <v>1.2232020567281245</v>
      </c>
      <c r="W65" s="304">
        <f t="shared" ca="1" si="4"/>
        <v>9.9992968203875279</v>
      </c>
      <c r="Y65" s="314" t="str">
        <f t="shared" ca="1" si="22"/>
        <v/>
      </c>
      <c r="Z65" s="315" t="str">
        <f t="shared" ca="1" si="23"/>
        <v/>
      </c>
      <c r="AA65" s="316" t="str">
        <f t="shared" ca="1" si="24"/>
        <v/>
      </c>
      <c r="AC65" s="310" t="e">
        <f t="shared" ca="1" si="25"/>
        <v>#N/A</v>
      </c>
      <c r="AD65" s="323" t="e">
        <f t="shared" ca="1" si="26"/>
        <v>#N/A</v>
      </c>
      <c r="AE65" s="324">
        <f t="shared" ca="1" si="5"/>
        <v>14.687866689225492</v>
      </c>
      <c r="AG65" s="306">
        <f t="shared" ca="1" si="27"/>
        <v>80.636580700702069</v>
      </c>
      <c r="AH65" s="304">
        <f t="shared" ca="1" si="28"/>
        <v>90.275186223083139</v>
      </c>
    </row>
    <row r="66" spans="1:34" x14ac:dyDescent="0.2">
      <c r="A66" s="347">
        <f t="shared" ca="1" si="6"/>
        <v>0.01</v>
      </c>
      <c r="B66" s="304">
        <f t="shared" ca="1" si="7"/>
        <v>0.62000000000000033</v>
      </c>
      <c r="D66" s="306">
        <f t="shared" ca="1" si="8"/>
        <v>16.808776324884203</v>
      </c>
      <c r="E66" s="307">
        <f t="shared" ca="1" si="9"/>
        <v>78.751056403958344</v>
      </c>
      <c r="F66" s="304">
        <f t="shared" ca="1" si="10"/>
        <v>80.524926862924971</v>
      </c>
      <c r="G66" s="306">
        <f t="shared" ca="1" si="11"/>
        <v>9.5084424927571316</v>
      </c>
      <c r="H66" s="307">
        <f t="shared" ca="1" si="12"/>
        <v>49.999402378458207</v>
      </c>
      <c r="I66" s="304">
        <f t="shared" ca="1" si="13"/>
        <v>50.895488177647351</v>
      </c>
      <c r="J66" s="306">
        <f t="shared" ca="1" si="14"/>
        <v>2.7690898518439733</v>
      </c>
      <c r="K66" s="307">
        <f t="shared" ca="1" si="15"/>
        <v>15.183923160189877</v>
      </c>
      <c r="L66" s="304">
        <f t="shared" ca="1" si="0"/>
        <v>15.434357166469093</v>
      </c>
      <c r="M66" s="306">
        <f t="shared" ca="1" si="16"/>
        <v>1.3828692248995582</v>
      </c>
      <c r="N66" s="304">
        <f t="shared" ca="1" si="17"/>
        <v>79.23257020527214</v>
      </c>
      <c r="P66" s="310">
        <f t="shared" ca="1" si="18"/>
        <v>3</v>
      </c>
      <c r="Q66" s="304">
        <f t="shared" ca="1" si="19"/>
        <v>784.43</v>
      </c>
      <c r="R66" s="306">
        <f t="shared" ca="1" si="20"/>
        <v>0.39366886905658355</v>
      </c>
      <c r="S66" s="307">
        <f t="shared" ca="1" si="21"/>
        <v>8.5912223394239131</v>
      </c>
      <c r="T66" s="304">
        <f t="shared" ca="1" si="1"/>
        <v>84.279891149748593</v>
      </c>
      <c r="U66" s="311">
        <f t="shared" ca="1" si="2"/>
        <v>0</v>
      </c>
      <c r="V66" s="306">
        <f t="shared" ca="1" si="3"/>
        <v>1.2231413804696831</v>
      </c>
      <c r="W66" s="304">
        <f t="shared" ca="1" si="4"/>
        <v>10.32278145489547</v>
      </c>
      <c r="Y66" s="314" t="str">
        <f t="shared" ca="1" si="22"/>
        <v/>
      </c>
      <c r="Z66" s="315" t="str">
        <f t="shared" ca="1" si="23"/>
        <v/>
      </c>
      <c r="AA66" s="316" t="str">
        <f t="shared" ca="1" si="24"/>
        <v/>
      </c>
      <c r="AC66" s="310" t="e">
        <f t="shared" ca="1" si="25"/>
        <v>#N/A</v>
      </c>
      <c r="AD66" s="323" t="e">
        <f t="shared" ca="1" si="26"/>
        <v>#N/A</v>
      </c>
      <c r="AE66" s="324">
        <f t="shared" ca="1" si="5"/>
        <v>15.183923160189877</v>
      </c>
      <c r="AG66" s="306">
        <f t="shared" ca="1" si="27"/>
        <v>80.504146615773195</v>
      </c>
      <c r="AH66" s="304">
        <f t="shared" ca="1" si="28"/>
        <v>90.142086024925547</v>
      </c>
    </row>
    <row r="67" spans="1:34" x14ac:dyDescent="0.2">
      <c r="A67" s="347">
        <f t="shared" ca="1" si="6"/>
        <v>0.01</v>
      </c>
      <c r="B67" s="304">
        <f t="shared" ca="1" si="7"/>
        <v>0.63000000000000034</v>
      </c>
      <c r="D67" s="306">
        <f t="shared" ca="1" si="8"/>
        <v>16.815604794098199</v>
      </c>
      <c r="E67" s="307">
        <f t="shared" ca="1" si="9"/>
        <v>78.613544758007123</v>
      </c>
      <c r="F67" s="304">
        <f t="shared" ca="1" si="10"/>
        <v>80.391877599733206</v>
      </c>
      <c r="G67" s="306">
        <f t="shared" ca="1" si="11"/>
        <v>9.6765985406981141</v>
      </c>
      <c r="H67" s="307">
        <f t="shared" ca="1" si="12"/>
        <v>50.785537826038279</v>
      </c>
      <c r="I67" s="304">
        <f t="shared" ca="1" si="13"/>
        <v>51.699201266536079</v>
      </c>
      <c r="J67" s="306">
        <f t="shared" ca="1" si="14"/>
        <v>2.8650150570112496</v>
      </c>
      <c r="K67" s="307">
        <f t="shared" ca="1" si="15"/>
        <v>15.68784786121236</v>
      </c>
      <c r="L67" s="304">
        <f t="shared" ca="1" si="0"/>
        <v>15.94731581782484</v>
      </c>
      <c r="M67" s="306">
        <f t="shared" ca="1" si="16"/>
        <v>1.3825147256804451</v>
      </c>
      <c r="N67" s="304">
        <f t="shared" ca="1" si="17"/>
        <v>79.21225889617628</v>
      </c>
      <c r="P67" s="310">
        <f t="shared" ca="1" si="18"/>
        <v>3</v>
      </c>
      <c r="Q67" s="304">
        <f t="shared" ca="1" si="19"/>
        <v>783.25</v>
      </c>
      <c r="R67" s="306">
        <f t="shared" ca="1" si="20"/>
        <v>0.39307668203481394</v>
      </c>
      <c r="S67" s="307">
        <f t="shared" ca="1" si="21"/>
        <v>8.587291572603565</v>
      </c>
      <c r="T67" s="304">
        <f t="shared" ca="1" si="1"/>
        <v>84.241330327240973</v>
      </c>
      <c r="U67" s="311">
        <f t="shared" ca="1" si="2"/>
        <v>0</v>
      </c>
      <c r="V67" s="306">
        <f t="shared" ca="1" si="3"/>
        <v>1.223079744870518</v>
      </c>
      <c r="W67" s="304">
        <f t="shared" ca="1" si="4"/>
        <v>10.650842091333487</v>
      </c>
      <c r="Y67" s="314" t="str">
        <f t="shared" ca="1" si="22"/>
        <v/>
      </c>
      <c r="Z67" s="315" t="str">
        <f t="shared" ca="1" si="23"/>
        <v/>
      </c>
      <c r="AA67" s="316" t="str">
        <f t="shared" ca="1" si="24"/>
        <v/>
      </c>
      <c r="AC67" s="310" t="e">
        <f t="shared" ca="1" si="25"/>
        <v>#N/A</v>
      </c>
      <c r="AD67" s="323" t="e">
        <f t="shared" ca="1" si="26"/>
        <v>#N/A</v>
      </c>
      <c r="AE67" s="324">
        <f t="shared" ca="1" si="5"/>
        <v>15.68784786121236</v>
      </c>
      <c r="AG67" s="306">
        <f t="shared" ca="1" si="27"/>
        <v>80.3709840377295</v>
      </c>
      <c r="AH67" s="304">
        <f t="shared" ca="1" si="28"/>
        <v>90.008265354702772</v>
      </c>
    </row>
    <row r="68" spans="1:34" x14ac:dyDescent="0.2">
      <c r="A68" s="347">
        <f t="shared" ca="1" si="6"/>
        <v>0.01</v>
      </c>
      <c r="B68" s="304">
        <f t="shared" ca="1" si="7"/>
        <v>0.64000000000000035</v>
      </c>
      <c r="D68" s="306">
        <f t="shared" ca="1" si="8"/>
        <v>16.821768114441749</v>
      </c>
      <c r="E68" s="307">
        <f t="shared" ca="1" si="9"/>
        <v>78.475417368900452</v>
      </c>
      <c r="F68" s="304">
        <f t="shared" ca="1" si="10"/>
        <v>80.258102480180611</v>
      </c>
      <c r="G68" s="306">
        <f t="shared" ca="1" si="11"/>
        <v>9.8448162218425317</v>
      </c>
      <c r="H68" s="307">
        <f t="shared" ca="1" si="12"/>
        <v>51.570291999727282</v>
      </c>
      <c r="I68" s="304">
        <f t="shared" ca="1" si="13"/>
        <v>52.50157543711417</v>
      </c>
      <c r="J68" s="306">
        <f t="shared" ca="1" si="14"/>
        <v>2.9626221308239526</v>
      </c>
      <c r="K68" s="307">
        <f t="shared" ca="1" si="15"/>
        <v>16.199627010341189</v>
      </c>
      <c r="L68" s="304">
        <f t="shared" ref="L68:L131" ca="1" si="29">SQRT(pos_x^2+pos_z^2)</f>
        <v>16.468304258915779</v>
      </c>
      <c r="M68" s="306">
        <f t="shared" ca="1" si="16"/>
        <v>1.3821649935200284</v>
      </c>
      <c r="N68" s="304">
        <f t="shared" ca="1" si="17"/>
        <v>79.192220719424412</v>
      </c>
      <c r="P68" s="310">
        <f t="shared" ca="1" si="18"/>
        <v>3</v>
      </c>
      <c r="Q68" s="304">
        <f t="shared" ca="1" si="19"/>
        <v>782.06999999999994</v>
      </c>
      <c r="R68" s="306">
        <f t="shared" ca="1" si="20"/>
        <v>0.39248449501304422</v>
      </c>
      <c r="S68" s="307">
        <f t="shared" ca="1" si="21"/>
        <v>8.5833667276534342</v>
      </c>
      <c r="T68" s="304">
        <f t="shared" ref="T68:T131" ca="1" si="30">m*g</f>
        <v>84.202827598280194</v>
      </c>
      <c r="U68" s="311">
        <f t="shared" ref="U68:U131" ca="1" si="31">IF(pos_xz&lt;L_rampe,Poids*COS(Beta),0)</f>
        <v>0</v>
      </c>
      <c r="V68" s="306">
        <f t="shared" ref="V68:V131" ca="1" si="32">Rho_moyen*(20000-Alt_rampe-pos_z)/(20000+Alt_rampe+pos_z)</f>
        <v>1.2230171517613275</v>
      </c>
      <c r="W68" s="304">
        <f t="shared" ref="W68:W131" ca="1" si="33">1/2*Rho*Sref*Cx*vit_xz^2</f>
        <v>10.983448651767995</v>
      </c>
      <c r="Y68" s="314" t="str">
        <f t="shared" ca="1" si="22"/>
        <v/>
      </c>
      <c r="Z68" s="315" t="str">
        <f t="shared" ca="1" si="23"/>
        <v/>
      </c>
      <c r="AA68" s="316" t="str">
        <f t="shared" ca="1" si="24"/>
        <v/>
      </c>
      <c r="AC68" s="310" t="e">
        <f t="shared" ca="1" si="25"/>
        <v>#N/A</v>
      </c>
      <c r="AD68" s="323" t="e">
        <f t="shared" ca="1" si="26"/>
        <v>#N/A</v>
      </c>
      <c r="AE68" s="324">
        <f t="shared" ref="AE68:AE131" ca="1" si="34">IF(t&lt;T_para, pos_z, NA())</f>
        <v>16.199627010341189</v>
      </c>
      <c r="AG68" s="306">
        <f t="shared" ca="1" si="27"/>
        <v>80.237095977644287</v>
      </c>
      <c r="AH68" s="304">
        <f t="shared" ca="1" si="28"/>
        <v>89.873726986795191</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16.82728136161246</v>
      </c>
      <c r="E69" s="307">
        <f t="shared" ref="E69:E132" ca="1" si="38">IF(AND(L68&lt;L_rampe,Poussee&lt;Poids*SIN(M68)),0,(-W68+Poussee)/m*SIN(M68)+U68/m*COS(M68)-Poids/m)</f>
        <v>78.336674739806341</v>
      </c>
      <c r="F69" s="304">
        <f t="shared" ref="F69:F132" ca="1" si="39">SQRT(acc_x^2+acc_z^2)</f>
        <v>80.123604557665047</v>
      </c>
      <c r="G69" s="306">
        <f t="shared" ref="G69:G132" ca="1" si="40">G68+acc_x*pas</f>
        <v>10.013089035458655</v>
      </c>
      <c r="H69" s="307">
        <f t="shared" ref="H69:H132" ca="1" si="41">H68+acc_z*pas</f>
        <v>52.353658747125344</v>
      </c>
      <c r="I69" s="304">
        <f t="shared" ref="I69:I132" ca="1" si="42">SQRT(vit_x^2+vit_z^2)</f>
        <v>53.302603465895324</v>
      </c>
      <c r="J69" s="306">
        <f t="shared" ref="J69:J132" ca="1" si="43">J68+0.5*(vit_x+G68)*pas*(K68&gt;=0)</f>
        <v>3.0619116571104588</v>
      </c>
      <c r="K69" s="307">
        <f t="shared" ref="K69:K132" ca="1" si="44">K68+0.5*(vit_z+H68)*pas</f>
        <v>16.719246764075454</v>
      </c>
      <c r="L69" s="304">
        <f t="shared" ca="1" si="29"/>
        <v>16.997309062142644</v>
      </c>
      <c r="M69" s="306">
        <f t="shared" ref="M69:M132" ca="1" si="45">IF(AND(L68&gt;L_rampe,G69&gt;0),ATAN2(G69,H69),$M$4)</f>
        <v>1.3818198848485597</v>
      </c>
      <c r="N69" s="304">
        <f t="shared" ref="N69:N132" ca="1" si="46">DEGREES(Beta)</f>
        <v>79.172447449075875</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8.5794478045735207</v>
      </c>
      <c r="T69" s="304">
        <f t="shared" ca="1" si="30"/>
        <v>84.164382962866242</v>
      </c>
      <c r="U69" s="311">
        <f t="shared" ca="1" si="31"/>
        <v>0</v>
      </c>
      <c r="V69" s="306">
        <f t="shared" ca="1" si="32"/>
        <v>1.2229536029822368</v>
      </c>
      <c r="W69" s="304">
        <f t="shared" ca="1" si="33"/>
        <v>11.320570914609718</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16.719246764075454</v>
      </c>
      <c r="AG69" s="306">
        <f t="shared" ref="AG69:AG132" ca="1" si="56">IF(AND(L68&lt;L_rampe,Poussee&lt;Poids*SIN(M68)),0,(-W68+Poussee)/m-Poids*SIN(M68)/m)</f>
        <v>80.102485461128595</v>
      </c>
      <c r="AH69" s="304">
        <f t="shared" ref="AH69:AH132" ca="1" si="57">IF(AND(L68&lt;L_rampe,Poussee&lt;Poids*SIN(M68)), g*SIN(M68), (-W68+Poussee)/m)</f>
        <v>89.738473720629344</v>
      </c>
    </row>
    <row r="70" spans="1:34" x14ac:dyDescent="0.2">
      <c r="A70" s="347">
        <f t="shared" ca="1" si="35"/>
        <v>0.01</v>
      </c>
      <c r="B70" s="304">
        <f t="shared" ca="1" si="36"/>
        <v>0.66000000000000036</v>
      </c>
      <c r="D70" s="306">
        <f t="shared" ca="1" si="37"/>
        <v>16.832158954263786</v>
      </c>
      <c r="E70" s="307">
        <f t="shared" ca="1" si="38"/>
        <v>78.197317496955804</v>
      </c>
      <c r="F70" s="304">
        <f t="shared" ca="1" si="39"/>
        <v>79.988386899482563</v>
      </c>
      <c r="G70" s="306">
        <f t="shared" ca="1" si="40"/>
        <v>10.181410625001293</v>
      </c>
      <c r="H70" s="307">
        <f t="shared" ca="1" si="41"/>
        <v>53.135631922094902</v>
      </c>
      <c r="I70" s="304">
        <f t="shared" ca="1" si="42"/>
        <v>54.102278159752572</v>
      </c>
      <c r="J70" s="306">
        <f t="shared" ca="1" si="43"/>
        <v>3.1628841554127587</v>
      </c>
      <c r="K70" s="307">
        <f t="shared" ca="1" si="44"/>
        <v>17.246693217421555</v>
      </c>
      <c r="L70" s="304">
        <f t="shared" ca="1" si="29"/>
        <v>17.53431672795994</v>
      </c>
      <c r="M70" s="306">
        <f t="shared" ca="1" si="45"/>
        <v>1.3814792625158046</v>
      </c>
      <c r="N70" s="304">
        <f t="shared" ca="1" si="46"/>
        <v>79.152931227001105</v>
      </c>
      <c r="P70" s="310">
        <f t="shared" ca="1" si="47"/>
        <v>3</v>
      </c>
      <c r="Q70" s="304">
        <f t="shared" ca="1" si="48"/>
        <v>779.70999999999992</v>
      </c>
      <c r="R70" s="306">
        <f t="shared" ca="1" si="49"/>
        <v>0.39130012096950489</v>
      </c>
      <c r="S70" s="307">
        <f t="shared" ca="1" si="50"/>
        <v>8.5755348033638263</v>
      </c>
      <c r="T70" s="304">
        <f t="shared" ca="1" si="30"/>
        <v>84.125996420999144</v>
      </c>
      <c r="U70" s="311">
        <f t="shared" ca="1" si="31"/>
        <v>0</v>
      </c>
      <c r="V70" s="306">
        <f t="shared" ca="1" si="32"/>
        <v>1.2228891003827715</v>
      </c>
      <c r="W70" s="304">
        <f t="shared" ca="1" si="33"/>
        <v>11.662178516757409</v>
      </c>
      <c r="Y70" s="314" t="str">
        <f t="shared" ca="1" si="51"/>
        <v/>
      </c>
      <c r="Z70" s="315" t="str">
        <f t="shared" ca="1" si="52"/>
        <v/>
      </c>
      <c r="AA70" s="316" t="str">
        <f t="shared" ca="1" si="53"/>
        <v/>
      </c>
      <c r="AC70" s="310" t="e">
        <f t="shared" ca="1" si="54"/>
        <v>#N/A</v>
      </c>
      <c r="AD70" s="323" t="e">
        <f t="shared" ca="1" si="55"/>
        <v>#N/A</v>
      </c>
      <c r="AE70" s="324">
        <f t="shared" ca="1" si="34"/>
        <v>17.246693217421555</v>
      </c>
      <c r="AG70" s="306">
        <f t="shared" ca="1" si="56"/>
        <v>79.96715552874501</v>
      </c>
      <c r="AH70" s="304">
        <f t="shared" ca="1" si="57"/>
        <v>89.602508380466602</v>
      </c>
    </row>
    <row r="71" spans="1:34" x14ac:dyDescent="0.2">
      <c r="A71" s="347">
        <f t="shared" ca="1" si="35"/>
        <v>0.01</v>
      </c>
      <c r="B71" s="304">
        <f t="shared" ca="1" si="36"/>
        <v>0.67000000000000037</v>
      </c>
      <c r="D71" s="306">
        <f t="shared" ca="1" si="37"/>
        <v>16.836414693867805</v>
      </c>
      <c r="E71" s="307">
        <f t="shared" ca="1" si="38"/>
        <v>78.057346383644742</v>
      </c>
      <c r="F71" s="304">
        <f t="shared" ca="1" si="39"/>
        <v>79.852452587257361</v>
      </c>
      <c r="G71" s="306">
        <f t="shared" ca="1" si="40"/>
        <v>10.349774771939972</v>
      </c>
      <c r="H71" s="307">
        <f t="shared" ca="1" si="41"/>
        <v>53.916205385931349</v>
      </c>
      <c r="I71" s="304">
        <f t="shared" ca="1" si="42"/>
        <v>54.900592356074064</v>
      </c>
      <c r="J71" s="306">
        <f t="shared" ca="1" si="43"/>
        <v>3.265540082397465</v>
      </c>
      <c r="K71" s="307">
        <f t="shared" ca="1" si="44"/>
        <v>17.781952403961686</v>
      </c>
      <c r="L71" s="304">
        <f t="shared" ca="1" si="29"/>
        <v>18.079313685162479</v>
      </c>
      <c r="M71" s="306">
        <f t="shared" ca="1" si="45"/>
        <v>1.381142995410344</v>
      </c>
      <c r="N71" s="304">
        <f t="shared" ca="1" si="46"/>
        <v>79.133664541069137</v>
      </c>
      <c r="P71" s="310">
        <f t="shared" ca="1" si="47"/>
        <v>3</v>
      </c>
      <c r="Q71" s="304">
        <f t="shared" ca="1" si="48"/>
        <v>778.53</v>
      </c>
      <c r="R71" s="306">
        <f t="shared" ca="1" si="49"/>
        <v>0.39070793394773529</v>
      </c>
      <c r="S71" s="307">
        <f t="shared" ca="1" si="50"/>
        <v>8.5716277240243492</v>
      </c>
      <c r="T71" s="304">
        <f t="shared" ca="1" si="30"/>
        <v>84.087667972678872</v>
      </c>
      <c r="U71" s="311">
        <f t="shared" ca="1" si="31"/>
        <v>0</v>
      </c>
      <c r="V71" s="306">
        <f t="shared" ca="1" si="32"/>
        <v>1.2228236458218351</v>
      </c>
      <c r="W71" s="304">
        <f t="shared" ca="1" si="33"/>
        <v>12.008240955748706</v>
      </c>
      <c r="Y71" s="314" t="str">
        <f t="shared" ca="1" si="51"/>
        <v/>
      </c>
      <c r="Z71" s="315" t="str">
        <f t="shared" ca="1" si="52"/>
        <v/>
      </c>
      <c r="AA71" s="316" t="str">
        <f t="shared" ca="1" si="53"/>
        <v/>
      </c>
      <c r="AC71" s="310" t="e">
        <f t="shared" ca="1" si="54"/>
        <v>#N/A</v>
      </c>
      <c r="AD71" s="323" t="e">
        <f t="shared" ca="1" si="55"/>
        <v>#N/A</v>
      </c>
      <c r="AE71" s="324">
        <f t="shared" ca="1" si="34"/>
        <v>17.781952403961686</v>
      </c>
      <c r="AG71" s="306">
        <f t="shared" ca="1" si="56"/>
        <v>79.831109236373777</v>
      </c>
      <c r="AH71" s="304">
        <f t="shared" ca="1" si="57"/>
        <v>89.465833815190564</v>
      </c>
    </row>
    <row r="72" spans="1:34" x14ac:dyDescent="0.2">
      <c r="A72" s="347">
        <f t="shared" ca="1" si="35"/>
        <v>0.01</v>
      </c>
      <c r="B72" s="304">
        <f t="shared" ca="1" si="36"/>
        <v>0.68000000000000038</v>
      </c>
      <c r="D72" s="306">
        <f t="shared" ca="1" si="37"/>
        <v>16.840061801606726</v>
      </c>
      <c r="E72" s="307">
        <f t="shared" ca="1" si="38"/>
        <v>77.916762254655097</v>
      </c>
      <c r="F72" s="304">
        <f t="shared" ca="1" si="39"/>
        <v>79.715804717323024</v>
      </c>
      <c r="G72" s="306">
        <f t="shared" ca="1" si="40"/>
        <v>10.518175389956038</v>
      </c>
      <c r="H72" s="307">
        <f t="shared" ca="1" si="41"/>
        <v>54.695373008477901</v>
      </c>
      <c r="I72" s="304">
        <f t="shared" ca="1" si="42"/>
        <v>55.697538922921986</v>
      </c>
      <c r="J72" s="306">
        <f t="shared" ca="1" si="43"/>
        <v>3.3698798332069448</v>
      </c>
      <c r="K72" s="307">
        <f t="shared" ca="1" si="44"/>
        <v>18.325010295933733</v>
      </c>
      <c r="L72" s="304">
        <f t="shared" ca="1" si="29"/>
        <v>18.632286291175653</v>
      </c>
      <c r="M72" s="306">
        <f t="shared" ca="1" si="45"/>
        <v>1.3808109581068246</v>
      </c>
      <c r="N72" s="304">
        <f t="shared" ca="1" si="46"/>
        <v>79.114640204936578</v>
      </c>
      <c r="P72" s="310">
        <f t="shared" ca="1" si="47"/>
        <v>3</v>
      </c>
      <c r="Q72" s="304">
        <f t="shared" ca="1" si="48"/>
        <v>777.34999999999991</v>
      </c>
      <c r="R72" s="306">
        <f t="shared" ca="1" si="49"/>
        <v>0.39011574692596562</v>
      </c>
      <c r="S72" s="307">
        <f t="shared" ca="1" si="50"/>
        <v>8.5677265665550895</v>
      </c>
      <c r="T72" s="304">
        <f t="shared" ca="1" si="30"/>
        <v>84.049397617905427</v>
      </c>
      <c r="U72" s="311">
        <f t="shared" ca="1" si="31"/>
        <v>0</v>
      </c>
      <c r="V72" s="306">
        <f t="shared" ca="1" si="32"/>
        <v>1.2227572411676826</v>
      </c>
      <c r="W72" s="304">
        <f t="shared" ca="1" si="33"/>
        <v>12.358727591917997</v>
      </c>
      <c r="Y72" s="314" t="str">
        <f t="shared" ca="1" si="51"/>
        <v/>
      </c>
      <c r="Z72" s="315" t="str">
        <f t="shared" ca="1" si="52"/>
        <v/>
      </c>
      <c r="AA72" s="316" t="str">
        <f t="shared" ca="1" si="53"/>
        <v/>
      </c>
      <c r="AC72" s="310" t="e">
        <f t="shared" ca="1" si="54"/>
        <v>#N/A</v>
      </c>
      <c r="AD72" s="323" t="e">
        <f t="shared" ca="1" si="55"/>
        <v>#N/A</v>
      </c>
      <c r="AE72" s="324">
        <f t="shared" ca="1" si="34"/>
        <v>18.325010295933733</v>
      </c>
      <c r="AG72" s="306">
        <f t="shared" ca="1" si="56"/>
        <v>79.694349655534779</v>
      </c>
      <c r="AH72" s="304">
        <f t="shared" ca="1" si="57"/>
        <v>89.328452898092394</v>
      </c>
    </row>
    <row r="73" spans="1:34" x14ac:dyDescent="0.2">
      <c r="A73" s="347">
        <f t="shared" ca="1" si="35"/>
        <v>0.01</v>
      </c>
      <c r="B73" s="304">
        <f t="shared" ca="1" si="36"/>
        <v>0.69000000000000039</v>
      </c>
      <c r="D73" s="306">
        <f t="shared" ca="1" si="37"/>
        <v>16.843112952556186</v>
      </c>
      <c r="E73" s="307">
        <f t="shared" ca="1" si="38"/>
        <v>77.77556607105943</v>
      </c>
      <c r="F73" s="304">
        <f t="shared" ca="1" si="39"/>
        <v>79.57844640105948</v>
      </c>
      <c r="G73" s="306">
        <f t="shared" ca="1" si="40"/>
        <v>10.6866065194816</v>
      </c>
      <c r="H73" s="307">
        <f t="shared" ca="1" si="41"/>
        <v>55.473128669188497</v>
      </c>
      <c r="I73" s="304">
        <f t="shared" ca="1" si="42"/>
        <v>56.493110759194074</v>
      </c>
      <c r="J73" s="306">
        <f t="shared" ca="1" si="43"/>
        <v>3.4759037427541331</v>
      </c>
      <c r="K73" s="307">
        <f t="shared" ca="1" si="44"/>
        <v>18.875852804322065</v>
      </c>
      <c r="L73" s="304">
        <f t="shared" ca="1" si="29"/>
        <v>19.193220832349255</v>
      </c>
      <c r="M73" s="306">
        <f t="shared" ca="1" si="45"/>
        <v>1.3804830305387288</v>
      </c>
      <c r="N73" s="304">
        <f t="shared" ca="1" si="46"/>
        <v>79.09585133929869</v>
      </c>
      <c r="P73" s="310">
        <f t="shared" ca="1" si="47"/>
        <v>3</v>
      </c>
      <c r="Q73" s="304">
        <f t="shared" ca="1" si="48"/>
        <v>776.17</v>
      </c>
      <c r="R73" s="306">
        <f t="shared" ca="1" si="49"/>
        <v>0.38952355990419596</v>
      </c>
      <c r="S73" s="307">
        <f t="shared" ca="1" si="50"/>
        <v>8.563831330956047</v>
      </c>
      <c r="T73" s="304">
        <f t="shared" ca="1" si="30"/>
        <v>84.011185356678823</v>
      </c>
      <c r="U73" s="311">
        <f t="shared" ca="1" si="31"/>
        <v>0</v>
      </c>
      <c r="V73" s="306">
        <f t="shared" ca="1" si="32"/>
        <v>1.2226898882978934</v>
      </c>
      <c r="W73" s="304">
        <f t="shared" ca="1" si="33"/>
        <v>12.71360765056107</v>
      </c>
      <c r="Y73" s="314" t="str">
        <f t="shared" ca="1" si="51"/>
        <v/>
      </c>
      <c r="Z73" s="315" t="str">
        <f t="shared" ca="1" si="52"/>
        <v/>
      </c>
      <c r="AA73" s="316" t="str">
        <f t="shared" ca="1" si="53"/>
        <v/>
      </c>
      <c r="AC73" s="310" t="e">
        <f t="shared" ca="1" si="54"/>
        <v>#N/A</v>
      </c>
      <c r="AD73" s="323" t="e">
        <f t="shared" ca="1" si="55"/>
        <v>#N/A</v>
      </c>
      <c r="AE73" s="324">
        <f t="shared" ca="1" si="34"/>
        <v>18.875852804322065</v>
      </c>
      <c r="AG73" s="306">
        <f t="shared" ca="1" si="56"/>
        <v>79.556879873669573</v>
      </c>
      <c r="AH73" s="304">
        <f t="shared" ca="1" si="57"/>
        <v>89.190368526654737</v>
      </c>
    </row>
    <row r="74" spans="1:34" x14ac:dyDescent="0.2">
      <c r="A74" s="347">
        <f t="shared" ca="1" si="35"/>
        <v>0.01</v>
      </c>
      <c r="B74" s="304">
        <f t="shared" ca="1" si="36"/>
        <v>0.7000000000000004</v>
      </c>
      <c r="D74" s="306">
        <f t="shared" ca="1" si="37"/>
        <v>16.845580307395515</v>
      </c>
      <c r="E74" s="307">
        <f t="shared" ca="1" si="38"/>
        <v>77.63375889537572</v>
      </c>
      <c r="F74" s="304">
        <f t="shared" ca="1" si="39"/>
        <v>79.44038076518919</v>
      </c>
      <c r="G74" s="306">
        <f t="shared" ca="1" si="40"/>
        <v>10.855062322555556</v>
      </c>
      <c r="H74" s="307">
        <f t="shared" ca="1" si="41"/>
        <v>56.249466258142256</v>
      </c>
      <c r="I74" s="304">
        <f t="shared" ca="1" si="42"/>
        <v>57.287300794787399</v>
      </c>
      <c r="J74" s="306">
        <f t="shared" ca="1" si="43"/>
        <v>3.5836120869643189</v>
      </c>
      <c r="K74" s="307">
        <f t="shared" ca="1" si="44"/>
        <v>19.434465778958717</v>
      </c>
      <c r="L74" s="304">
        <f t="shared" ca="1" si="29"/>
        <v>19.762103524254552</v>
      </c>
      <c r="M74" s="306">
        <f t="shared" ca="1" si="45"/>
        <v>1.3801590976944702</v>
      </c>
      <c r="N74" s="304">
        <f t="shared" ca="1" si="46"/>
        <v>79.077291354477012</v>
      </c>
      <c r="P74" s="310">
        <f t="shared" ca="1" si="47"/>
        <v>3</v>
      </c>
      <c r="Q74" s="304">
        <f t="shared" ca="1" si="48"/>
        <v>774.99</v>
      </c>
      <c r="R74" s="306">
        <f t="shared" ca="1" si="49"/>
        <v>0.38893137288242635</v>
      </c>
      <c r="S74" s="307">
        <f t="shared" ca="1" si="50"/>
        <v>8.5599420172272236</v>
      </c>
      <c r="T74" s="304">
        <f t="shared" ca="1" si="30"/>
        <v>83.973031188999073</v>
      </c>
      <c r="U74" s="311">
        <f t="shared" ca="1" si="31"/>
        <v>0</v>
      </c>
      <c r="V74" s="306">
        <f t="shared" ca="1" si="32"/>
        <v>1.2226215890993404</v>
      </c>
      <c r="W74" s="304">
        <f t="shared" ca="1" si="33"/>
        <v>13.072850224106286</v>
      </c>
      <c r="Y74" s="314" t="str">
        <f t="shared" ca="1" si="51"/>
        <v/>
      </c>
      <c r="Z74" s="315" t="str">
        <f t="shared" ca="1" si="52"/>
        <v/>
      </c>
      <c r="AA74" s="316" t="str">
        <f t="shared" ca="1" si="53"/>
        <v/>
      </c>
      <c r="AC74" s="310" t="e">
        <f t="shared" ca="1" si="54"/>
        <v>#N/A</v>
      </c>
      <c r="AD74" s="323" t="e">
        <f t="shared" ca="1" si="55"/>
        <v>#N/A</v>
      </c>
      <c r="AE74" s="324">
        <f t="shared" ca="1" si="34"/>
        <v>19.434465778958717</v>
      </c>
      <c r="AG74" s="306">
        <f t="shared" ca="1" si="56"/>
        <v>79.418702994386209</v>
      </c>
      <c r="AH74" s="304">
        <f t="shared" ca="1" si="57"/>
        <v>89.051583622333823</v>
      </c>
    </row>
    <row r="75" spans="1:34" x14ac:dyDescent="0.2">
      <c r="A75" s="347">
        <f t="shared" ca="1" si="35"/>
        <v>0.01</v>
      </c>
      <c r="B75" s="304">
        <f t="shared" ca="1" si="36"/>
        <v>0.71000000000000041</v>
      </c>
      <c r="D75" s="306">
        <f t="shared" ca="1" si="37"/>
        <v>16.847475541857328</v>
      </c>
      <c r="E75" s="307">
        <f t="shared" ca="1" si="38"/>
        <v>77.491341887042907</v>
      </c>
      <c r="F75" s="304">
        <f t="shared" ca="1" si="39"/>
        <v>79.301610952035844</v>
      </c>
      <c r="G75" s="306">
        <f t="shared" ca="1" si="40"/>
        <v>11.02353707797413</v>
      </c>
      <c r="H75" s="307">
        <f t="shared" ca="1" si="41"/>
        <v>57.024379677012682</v>
      </c>
      <c r="I75" s="304">
        <f t="shared" ca="1" si="42"/>
        <v>58.080101990764163</v>
      </c>
      <c r="J75" s="306">
        <f t="shared" ca="1" si="43"/>
        <v>3.6930050839669675</v>
      </c>
      <c r="K75" s="307">
        <f t="shared" ca="1" si="44"/>
        <v>20.000835008634493</v>
      </c>
      <c r="L75" s="304">
        <f t="shared" ca="1" si="29"/>
        <v>20.338920511984529</v>
      </c>
      <c r="M75" s="306">
        <f t="shared" ca="1" si="45"/>
        <v>1.379839049334842</v>
      </c>
      <c r="N75" s="304">
        <f t="shared" ca="1" si="46"/>
        <v>79.058953934230232</v>
      </c>
      <c r="P75" s="310">
        <f t="shared" ca="1" si="47"/>
        <v>3</v>
      </c>
      <c r="Q75" s="304">
        <f t="shared" ca="1" si="48"/>
        <v>773.81</v>
      </c>
      <c r="R75" s="306">
        <f t="shared" ca="1" si="49"/>
        <v>0.38833918586065669</v>
      </c>
      <c r="S75" s="307">
        <f t="shared" ca="1" si="50"/>
        <v>8.5560586253686175</v>
      </c>
      <c r="T75" s="304">
        <f t="shared" ca="1" si="30"/>
        <v>83.934935114866136</v>
      </c>
      <c r="U75" s="311">
        <f t="shared" ca="1" si="31"/>
        <v>0</v>
      </c>
      <c r="V75" s="306">
        <f t="shared" ca="1" si="32"/>
        <v>1.2225523454681648</v>
      </c>
      <c r="W75" s="304">
        <f t="shared" ca="1" si="33"/>
        <v>13.436424274292296</v>
      </c>
      <c r="Y75" s="314" t="str">
        <f t="shared" ca="1" si="51"/>
        <v/>
      </c>
      <c r="Z75" s="315" t="str">
        <f t="shared" ca="1" si="52"/>
        <v/>
      </c>
      <c r="AA75" s="316" t="str">
        <f t="shared" ca="1" si="53"/>
        <v/>
      </c>
      <c r="AC75" s="310" t="e">
        <f t="shared" ca="1" si="54"/>
        <v>#N/A</v>
      </c>
      <c r="AD75" s="323" t="e">
        <f t="shared" ca="1" si="55"/>
        <v>#N/A</v>
      </c>
      <c r="AE75" s="324">
        <f t="shared" ca="1" si="34"/>
        <v>20.000835008634493</v>
      </c>
      <c r="AG75" s="306">
        <f t="shared" ca="1" si="56"/>
        <v>79.279822137670536</v>
      </c>
      <c r="AH75" s="304">
        <f t="shared" ca="1" si="57"/>
        <v>88.912101130340147</v>
      </c>
    </row>
    <row r="76" spans="1:34" x14ac:dyDescent="0.2">
      <c r="A76" s="347">
        <f t="shared" ca="1" si="35"/>
        <v>0.01</v>
      </c>
      <c r="B76" s="304">
        <f t="shared" ca="1" si="36"/>
        <v>0.72000000000000042</v>
      </c>
      <c r="D76" s="306">
        <f t="shared" ca="1" si="37"/>
        <v>16.848809874107388</v>
      </c>
      <c r="E76" s="307">
        <f t="shared" ca="1" si="38"/>
        <v>77.348316298190454</v>
      </c>
      <c r="F76" s="304">
        <f t="shared" ca="1" si="39"/>
        <v>79.162140119748742</v>
      </c>
      <c r="G76" s="306">
        <f t="shared" ca="1" si="40"/>
        <v>11.192025176715203</v>
      </c>
      <c r="H76" s="307">
        <f t="shared" ca="1" si="41"/>
        <v>57.797862839994586</v>
      </c>
      <c r="I76" s="304">
        <f t="shared" ca="1" si="42"/>
        <v>58.87150733951912</v>
      </c>
      <c r="J76" s="306">
        <f t="shared" ca="1" si="43"/>
        <v>3.804082895240414</v>
      </c>
      <c r="K76" s="307">
        <f t="shared" ca="1" si="44"/>
        <v>20.57494622121953</v>
      </c>
      <c r="L76" s="304">
        <f t="shared" ca="1" si="29"/>
        <v>20.923657870456985</v>
      </c>
      <c r="M76" s="306">
        <f t="shared" ca="1" si="45"/>
        <v>1.379522779730036</v>
      </c>
      <c r="N76" s="304">
        <f t="shared" ca="1" si="46"/>
        <v>79.040833020686577</v>
      </c>
      <c r="P76" s="310">
        <f t="shared" ca="1" si="47"/>
        <v>3</v>
      </c>
      <c r="Q76" s="304">
        <f t="shared" ca="1" si="48"/>
        <v>772.63</v>
      </c>
      <c r="R76" s="306">
        <f t="shared" ca="1" si="49"/>
        <v>0.38774699883888702</v>
      </c>
      <c r="S76" s="307">
        <f t="shared" ca="1" si="50"/>
        <v>8.5521811553802287</v>
      </c>
      <c r="T76" s="304">
        <f t="shared" ca="1" si="30"/>
        <v>83.896897134280053</v>
      </c>
      <c r="U76" s="311">
        <f t="shared" ca="1" si="31"/>
        <v>0</v>
      </c>
      <c r="V76" s="306">
        <f t="shared" ca="1" si="32"/>
        <v>1.2224821593097406</v>
      </c>
      <c r="W76" s="304">
        <f t="shared" ca="1" si="33"/>
        <v>13.804298634351779</v>
      </c>
      <c r="Y76" s="314" t="str">
        <f t="shared" ca="1" si="51"/>
        <v/>
      </c>
      <c r="Z76" s="315" t="str">
        <f t="shared" ca="1" si="52"/>
        <v/>
      </c>
      <c r="AA76" s="316" t="str">
        <f t="shared" ca="1" si="53"/>
        <v/>
      </c>
      <c r="AC76" s="310" t="e">
        <f t="shared" ca="1" si="54"/>
        <v>#N/A</v>
      </c>
      <c r="AD76" s="323" t="e">
        <f t="shared" ca="1" si="55"/>
        <v>#N/A</v>
      </c>
      <c r="AE76" s="324">
        <f t="shared" ca="1" si="34"/>
        <v>20.57494622121953</v>
      </c>
      <c r="AG76" s="306">
        <f t="shared" ca="1" si="56"/>
        <v>79.140240440066137</v>
      </c>
      <c r="AH76" s="304">
        <f t="shared" ca="1" si="57"/>
        <v>88.771924019417483</v>
      </c>
    </row>
    <row r="77" spans="1:34" x14ac:dyDescent="0.2">
      <c r="A77" s="347">
        <f t="shared" ca="1" si="35"/>
        <v>0.01</v>
      </c>
      <c r="B77" s="304">
        <f t="shared" ca="1" si="36"/>
        <v>0.73000000000000043</v>
      </c>
      <c r="D77" s="306">
        <f t="shared" ca="1" si="37"/>
        <v>16.849594090227225</v>
      </c>
      <c r="E77" s="307">
        <f t="shared" ca="1" si="38"/>
        <v>77.204683469677633</v>
      </c>
      <c r="F77" s="304">
        <f t="shared" ca="1" si="39"/>
        <v>79.021971442495257</v>
      </c>
      <c r="G77" s="306">
        <f t="shared" ca="1" si="40"/>
        <v>11.360521117617475</v>
      </c>
      <c r="H77" s="307">
        <f t="shared" ca="1" si="41"/>
        <v>58.56990967469136</v>
      </c>
      <c r="I77" s="304">
        <f t="shared" ca="1" si="42"/>
        <v>59.661509864948414</v>
      </c>
      <c r="J77" s="306">
        <f t="shared" ca="1" si="43"/>
        <v>3.9168456267120773</v>
      </c>
      <c r="K77" s="307">
        <f t="shared" ca="1" si="44"/>
        <v>21.156785083792961</v>
      </c>
      <c r="L77" s="304">
        <f t="shared" ca="1" si="29"/>
        <v>21.5163016047205</v>
      </c>
      <c r="M77" s="306">
        <f t="shared" ca="1" si="45"/>
        <v>1.3792101874146216</v>
      </c>
      <c r="N77" s="304">
        <f t="shared" ca="1" si="46"/>
        <v>79.022922800305111</v>
      </c>
      <c r="P77" s="310">
        <f t="shared" ca="1" si="47"/>
        <v>3</v>
      </c>
      <c r="Q77" s="304">
        <f t="shared" ca="1" si="48"/>
        <v>771.44999999999993</v>
      </c>
      <c r="R77" s="306">
        <f t="shared" ca="1" si="49"/>
        <v>0.38715481181711736</v>
      </c>
      <c r="S77" s="307">
        <f t="shared" ca="1" si="50"/>
        <v>8.5483096072620572</v>
      </c>
      <c r="T77" s="304">
        <f t="shared" ca="1" si="30"/>
        <v>83.858917247240782</v>
      </c>
      <c r="U77" s="311">
        <f t="shared" ca="1" si="31"/>
        <v>0</v>
      </c>
      <c r="V77" s="306">
        <f t="shared" ca="1" si="32"/>
        <v>1.2224110325386439</v>
      </c>
      <c r="W77" s="304">
        <f t="shared" ca="1" si="33"/>
        <v>14.176442011201306</v>
      </c>
      <c r="Y77" s="314" t="str">
        <f t="shared" ca="1" si="51"/>
        <v/>
      </c>
      <c r="Z77" s="315" t="str">
        <f t="shared" ca="1" si="52"/>
        <v/>
      </c>
      <c r="AA77" s="316" t="str">
        <f t="shared" ca="1" si="53"/>
        <v/>
      </c>
      <c r="AC77" s="310" t="e">
        <f t="shared" ca="1" si="54"/>
        <v>#N/A</v>
      </c>
      <c r="AD77" s="323" t="e">
        <f t="shared" ca="1" si="55"/>
        <v>#N/A</v>
      </c>
      <c r="AE77" s="324">
        <f t="shared" ca="1" si="34"/>
        <v>21.156785083792961</v>
      </c>
      <c r="AG77" s="306">
        <f t="shared" ca="1" si="56"/>
        <v>78.99996105482542</v>
      </c>
      <c r="AH77" s="304">
        <f t="shared" ca="1" si="57"/>
        <v>88.631055281620164</v>
      </c>
    </row>
    <row r="78" spans="1:34" x14ac:dyDescent="0.2">
      <c r="A78" s="347">
        <f t="shared" ca="1" si="35"/>
        <v>0.01</v>
      </c>
      <c r="B78" s="304">
        <f t="shared" ca="1" si="36"/>
        <v>0.74000000000000044</v>
      </c>
      <c r="D78" s="306">
        <f t="shared" ca="1" si="37"/>
        <v>16.849838567955516</v>
      </c>
      <c r="E78" s="307">
        <f t="shared" ca="1" si="38"/>
        <v>77.060444827380977</v>
      </c>
      <c r="F78" s="304">
        <f t="shared" ca="1" si="39"/>
        <v>78.88110811062424</v>
      </c>
      <c r="G78" s="306">
        <f t="shared" ca="1" si="40"/>
        <v>11.529019503297031</v>
      </c>
      <c r="H78" s="307">
        <f t="shared" ca="1" si="41"/>
        <v>59.340514122965168</v>
      </c>
      <c r="I78" s="304">
        <f t="shared" ca="1" si="42"/>
        <v>60.450102622619518</v>
      </c>
      <c r="J78" s="306">
        <f t="shared" ca="1" si="43"/>
        <v>4.0312933298166502</v>
      </c>
      <c r="K78" s="307">
        <f t="shared" ca="1" si="44"/>
        <v>21.746337202781245</v>
      </c>
      <c r="L78" s="304">
        <f t="shared" ca="1" si="29"/>
        <v>22.116837650263019</v>
      </c>
      <c r="M78" s="306">
        <f t="shared" ca="1" si="45"/>
        <v>1.3789011749590305</v>
      </c>
      <c r="N78" s="304">
        <f t="shared" ca="1" si="46"/>
        <v>79.005217690782771</v>
      </c>
      <c r="P78" s="310">
        <f t="shared" ca="1" si="47"/>
        <v>3</v>
      </c>
      <c r="Q78" s="304">
        <f t="shared" ca="1" si="48"/>
        <v>770.27</v>
      </c>
      <c r="R78" s="306">
        <f t="shared" ca="1" si="49"/>
        <v>0.38656262479534775</v>
      </c>
      <c r="S78" s="307">
        <f t="shared" ca="1" si="50"/>
        <v>8.5444439810141031</v>
      </c>
      <c r="T78" s="304">
        <f t="shared" ca="1" si="30"/>
        <v>83.820995453748353</v>
      </c>
      <c r="U78" s="311">
        <f t="shared" ca="1" si="31"/>
        <v>0</v>
      </c>
      <c r="V78" s="306">
        <f t="shared" ca="1" si="32"/>
        <v>1.2223389670786202</v>
      </c>
      <c r="W78" s="304">
        <f t="shared" ca="1" si="33"/>
        <v>14.552822987636883</v>
      </c>
      <c r="Y78" s="314" t="str">
        <f t="shared" ca="1" si="51"/>
        <v/>
      </c>
      <c r="Z78" s="315" t="str">
        <f t="shared" ca="1" si="52"/>
        <v/>
      </c>
      <c r="AA78" s="316" t="str">
        <f t="shared" ca="1" si="53"/>
        <v/>
      </c>
      <c r="AC78" s="310" t="e">
        <f t="shared" ca="1" si="54"/>
        <v>#N/A</v>
      </c>
      <c r="AD78" s="323" t="e">
        <f t="shared" ca="1" si="55"/>
        <v>#N/A</v>
      </c>
      <c r="AE78" s="324">
        <f t="shared" ca="1" si="34"/>
        <v>21.746337202781245</v>
      </c>
      <c r="AG78" s="306">
        <f t="shared" ca="1" si="56"/>
        <v>78.858987152034459</v>
      </c>
      <c r="AH78" s="304">
        <f t="shared" ca="1" si="57"/>
        <v>88.489497932089108</v>
      </c>
    </row>
    <row r="79" spans="1:34" x14ac:dyDescent="0.2">
      <c r="A79" s="347">
        <f t="shared" ca="1" si="35"/>
        <v>0.01</v>
      </c>
      <c r="B79" s="304">
        <f t="shared" ca="1" si="36"/>
        <v>0.75000000000000044</v>
      </c>
      <c r="D79" s="306">
        <f t="shared" ca="1" si="37"/>
        <v>16.849553298829019</v>
      </c>
      <c r="E79" s="307">
        <f t="shared" ca="1" si="38"/>
        <v>76.91560187870968</v>
      </c>
      <c r="F79" s="304">
        <f t="shared" ca="1" si="39"/>
        <v>78.739553330802224</v>
      </c>
      <c r="G79" s="306">
        <f t="shared" ca="1" si="40"/>
        <v>11.697515036285321</v>
      </c>
      <c r="H79" s="307">
        <f t="shared" ca="1" si="41"/>
        <v>60.109670141752261</v>
      </c>
      <c r="I79" s="304">
        <f t="shared" ca="1" si="42"/>
        <v>61.237278699942117</v>
      </c>
      <c r="J79" s="306">
        <f t="shared" ca="1" si="43"/>
        <v>4.1474260025145622</v>
      </c>
      <c r="K79" s="307">
        <f t="shared" ca="1" si="44"/>
        <v>22.343588124104834</v>
      </c>
      <c r="L79" s="304">
        <f t="shared" ca="1" si="29"/>
        <v>22.725251873323042</v>
      </c>
      <c r="M79" s="306">
        <f t="shared" ca="1" si="45"/>
        <v>1.378595648756223</v>
      </c>
      <c r="N79" s="304">
        <f t="shared" ca="1" si="46"/>
        <v>78.987712328831236</v>
      </c>
      <c r="P79" s="310">
        <f t="shared" ca="1" si="47"/>
        <v>3</v>
      </c>
      <c r="Q79" s="304">
        <f t="shared" ca="1" si="48"/>
        <v>769.08999999999992</v>
      </c>
      <c r="R79" s="306">
        <f t="shared" ca="1" si="49"/>
        <v>0.38597043777357803</v>
      </c>
      <c r="S79" s="307">
        <f t="shared" ca="1" si="50"/>
        <v>8.540584276636368</v>
      </c>
      <c r="T79" s="304">
        <f t="shared" ca="1" si="30"/>
        <v>83.783131753802778</v>
      </c>
      <c r="U79" s="311">
        <f t="shared" ca="1" si="31"/>
        <v>0</v>
      </c>
      <c r="V79" s="306">
        <f t="shared" ca="1" si="32"/>
        <v>1.2222659648625487</v>
      </c>
      <c r="W79" s="304">
        <f t="shared" ca="1" si="33"/>
        <v>14.933410024535114</v>
      </c>
      <c r="Y79" s="314" t="str">
        <f t="shared" ca="1" si="51"/>
        <v/>
      </c>
      <c r="Z79" s="315" t="str">
        <f t="shared" ca="1" si="52"/>
        <v/>
      </c>
      <c r="AA79" s="316" t="str">
        <f t="shared" ca="1" si="53"/>
        <v/>
      </c>
      <c r="AC79" s="310" t="e">
        <f t="shared" ca="1" si="54"/>
        <v>#N/A</v>
      </c>
      <c r="AD79" s="323" t="e">
        <f t="shared" ca="1" si="55"/>
        <v>#N/A</v>
      </c>
      <c r="AE79" s="324">
        <f t="shared" ca="1" si="34"/>
        <v>22.343588124104834</v>
      </c>
      <c r="AG79" s="306">
        <f t="shared" ca="1" si="56"/>
        <v>78.71732191871304</v>
      </c>
      <c r="AH79" s="304">
        <f t="shared" ca="1" si="57"/>
        <v>88.347255008826011</v>
      </c>
    </row>
    <row r="80" spans="1:34" x14ac:dyDescent="0.2">
      <c r="A80" s="347">
        <f t="shared" ca="1" si="35"/>
        <v>0.01</v>
      </c>
      <c r="B80" s="304">
        <f t="shared" ca="1" si="36"/>
        <v>0.76000000000000045</v>
      </c>
      <c r="D80" s="306">
        <f t="shared" ca="1" si="37"/>
        <v>16.848747908851262</v>
      </c>
      <c r="E80" s="307">
        <f t="shared" ca="1" si="38"/>
        <v>76.770156209331518</v>
      </c>
      <c r="F80" s="304">
        <f t="shared" ca="1" si="39"/>
        <v>78.597310326124912</v>
      </c>
      <c r="G80" s="306">
        <f t="shared" ca="1" si="40"/>
        <v>11.866002515373832</v>
      </c>
      <c r="H80" s="307">
        <f t="shared" ca="1" si="41"/>
        <v>60.877371703845576</v>
      </c>
      <c r="I80" s="304">
        <f t="shared" ca="1" si="42"/>
        <v>62.023031216339596</v>
      </c>
      <c r="J80" s="306">
        <f t="shared" ca="1" si="43"/>
        <v>4.265243590272858</v>
      </c>
      <c r="K80" s="307">
        <f t="shared" ca="1" si="44"/>
        <v>22.948523333332822</v>
      </c>
      <c r="L80" s="304">
        <f t="shared" ca="1" si="29"/>
        <v>23.341530071203231</v>
      </c>
      <c r="M80" s="306">
        <f t="shared" ca="1" si="45"/>
        <v>1.3782935188223391</v>
      </c>
      <c r="N80" s="304">
        <f t="shared" ca="1" si="46"/>
        <v>78.970401558755114</v>
      </c>
      <c r="P80" s="310">
        <f t="shared" ca="1" si="47"/>
        <v>3</v>
      </c>
      <c r="Q80" s="304">
        <f t="shared" ca="1" si="48"/>
        <v>767.91</v>
      </c>
      <c r="R80" s="306">
        <f t="shared" ca="1" si="49"/>
        <v>0.38537825075180843</v>
      </c>
      <c r="S80" s="307">
        <f t="shared" ca="1" si="50"/>
        <v>8.5367304941288502</v>
      </c>
      <c r="T80" s="304">
        <f t="shared" ca="1" si="30"/>
        <v>83.745326147404029</v>
      </c>
      <c r="U80" s="311">
        <f t="shared" ca="1" si="31"/>
        <v>0</v>
      </c>
      <c r="V80" s="306">
        <f t="shared" ca="1" si="32"/>
        <v>1.2221920278324072</v>
      </c>
      <c r="W80" s="304">
        <f t="shared" ca="1" si="33"/>
        <v>15.31817146305962</v>
      </c>
      <c r="Y80" s="314" t="str">
        <f t="shared" ca="1" si="51"/>
        <v/>
      </c>
      <c r="Z80" s="315" t="str">
        <f t="shared" ca="1" si="52"/>
        <v/>
      </c>
      <c r="AA80" s="316" t="str">
        <f t="shared" ca="1" si="53"/>
        <v/>
      </c>
      <c r="AC80" s="310" t="e">
        <f t="shared" ca="1" si="54"/>
        <v>#N/A</v>
      </c>
      <c r="AD80" s="323" t="e">
        <f t="shared" ca="1" si="55"/>
        <v>#N/A</v>
      </c>
      <c r="AE80" s="324">
        <f t="shared" ca="1" si="34"/>
        <v>22.948523333332822</v>
      </c>
      <c r="AG80" s="306">
        <f t="shared" ca="1" si="56"/>
        <v>78.574968558892351</v>
      </c>
      <c r="AH80" s="304">
        <f t="shared" ca="1" si="57"/>
        <v>88.204329572466378</v>
      </c>
    </row>
    <row r="81" spans="1:34" x14ac:dyDescent="0.2">
      <c r="A81" s="347">
        <f t="shared" ca="1" si="35"/>
        <v>0.01</v>
      </c>
      <c r="B81" s="304">
        <f t="shared" ca="1" si="36"/>
        <v>0.77000000000000046</v>
      </c>
      <c r="D81" s="306">
        <f t="shared" ca="1" si="37"/>
        <v>16.847431677804867</v>
      </c>
      <c r="E81" s="307">
        <f t="shared" ca="1" si="38"/>
        <v>76.624109480092088</v>
      </c>
      <c r="F81" s="304">
        <f t="shared" ca="1" si="39"/>
        <v>78.454382336205043</v>
      </c>
      <c r="G81" s="306">
        <f t="shared" ca="1" si="40"/>
        <v>12.034476832151881</v>
      </c>
      <c r="H81" s="307">
        <f t="shared" ca="1" si="41"/>
        <v>61.643612798646494</v>
      </c>
      <c r="I81" s="304">
        <f t="shared" ca="1" si="42"/>
        <v>62.80735332342109</v>
      </c>
      <c r="J81" s="306">
        <f t="shared" ca="1" si="43"/>
        <v>4.3847459870104863</v>
      </c>
      <c r="K81" s="307">
        <f t="shared" ca="1" si="44"/>
        <v>23.561128255845283</v>
      </c>
      <c r="L81" s="304">
        <f t="shared" ca="1" si="29"/>
        <v>23.965657972586431</v>
      </c>
      <c r="M81" s="306">
        <f t="shared" ca="1" si="45"/>
        <v>1.3779946986102436</v>
      </c>
      <c r="N81" s="304">
        <f t="shared" ca="1" si="46"/>
        <v>78.953280421768838</v>
      </c>
      <c r="P81" s="310">
        <f t="shared" ca="1" si="47"/>
        <v>3</v>
      </c>
      <c r="Q81" s="304">
        <f t="shared" ca="1" si="48"/>
        <v>766.7299999999999</v>
      </c>
      <c r="R81" s="306">
        <f t="shared" ca="1" si="49"/>
        <v>0.38478606373003871</v>
      </c>
      <c r="S81" s="307">
        <f t="shared" ca="1" si="50"/>
        <v>8.5328826334915497</v>
      </c>
      <c r="T81" s="304">
        <f t="shared" ca="1" si="30"/>
        <v>83.707578634552107</v>
      </c>
      <c r="U81" s="311">
        <f t="shared" ca="1" si="31"/>
        <v>0</v>
      </c>
      <c r="V81" s="306">
        <f t="shared" ca="1" si="32"/>
        <v>1.2221171579392358</v>
      </c>
      <c r="W81" s="304">
        <f t="shared" ca="1" si="33"/>
        <v>15.70707552687267</v>
      </c>
      <c r="Y81" s="314" t="str">
        <f t="shared" ca="1" si="51"/>
        <v/>
      </c>
      <c r="Z81" s="315" t="str">
        <f t="shared" ca="1" si="52"/>
        <v/>
      </c>
      <c r="AA81" s="316" t="str">
        <f t="shared" ca="1" si="53"/>
        <v/>
      </c>
      <c r="AC81" s="310" t="e">
        <f t="shared" ca="1" si="54"/>
        <v>#N/A</v>
      </c>
      <c r="AD81" s="323" t="e">
        <f t="shared" ca="1" si="55"/>
        <v>#N/A</v>
      </c>
      <c r="AE81" s="324">
        <f t="shared" ca="1" si="34"/>
        <v>23.561128255845283</v>
      </c>
      <c r="AG81" s="306">
        <f t="shared" ca="1" si="56"/>
        <v>78.431930293671286</v>
      </c>
      <c r="AH81" s="304">
        <f t="shared" ca="1" si="57"/>
        <v>88.060724706050706</v>
      </c>
    </row>
    <row r="82" spans="1:34" x14ac:dyDescent="0.2">
      <c r="A82" s="347">
        <f t="shared" ca="1" si="35"/>
        <v>0.01</v>
      </c>
      <c r="B82" s="304">
        <f t="shared" ca="1" si="36"/>
        <v>0.78000000000000047</v>
      </c>
      <c r="D82" s="306">
        <f t="shared" ca="1" si="37"/>
        <v>16.845613557313229</v>
      </c>
      <c r="E82" s="307">
        <f t="shared" ca="1" si="38"/>
        <v>76.477463424113466</v>
      </c>
      <c r="F82" s="304">
        <f t="shared" ca="1" si="39"/>
        <v>78.310772617239252</v>
      </c>
      <c r="G82" s="306">
        <f t="shared" ca="1" si="40"/>
        <v>12.202932967725014</v>
      </c>
      <c r="H82" s="307">
        <f t="shared" ca="1" si="41"/>
        <v>62.408387432887629</v>
      </c>
      <c r="I82" s="304">
        <f t="shared" ca="1" si="42"/>
        <v>63.59023820515376</v>
      </c>
      <c r="J82" s="306">
        <f t="shared" ca="1" si="43"/>
        <v>4.5059330360098704</v>
      </c>
      <c r="K82" s="307">
        <f t="shared" ca="1" si="44"/>
        <v>24.181388257002954</v>
      </c>
      <c r="L82" s="304">
        <f t="shared" ca="1" si="29"/>
        <v>24.597621237853989</v>
      </c>
      <c r="M82" s="306">
        <f t="shared" ca="1" si="45"/>
        <v>1.3776991048349767</v>
      </c>
      <c r="N82" s="304">
        <f t="shared" ca="1" si="46"/>
        <v>78.936344145995719</v>
      </c>
      <c r="P82" s="310">
        <f t="shared" ca="1" si="47"/>
        <v>3</v>
      </c>
      <c r="Q82" s="304">
        <f t="shared" ca="1" si="48"/>
        <v>765.55</v>
      </c>
      <c r="R82" s="306">
        <f t="shared" ca="1" si="49"/>
        <v>0.3841938767082691</v>
      </c>
      <c r="S82" s="307">
        <f t="shared" ca="1" si="50"/>
        <v>8.5290406947244666</v>
      </c>
      <c r="T82" s="304">
        <f t="shared" ca="1" si="30"/>
        <v>83.669889215247025</v>
      </c>
      <c r="U82" s="311">
        <f t="shared" ca="1" si="31"/>
        <v>0</v>
      </c>
      <c r="V82" s="306">
        <f t="shared" ca="1" si="32"/>
        <v>1.222041357143099</v>
      </c>
      <c r="W82" s="304">
        <f t="shared" ca="1" si="33"/>
        <v>16.100090324351601</v>
      </c>
      <c r="Y82" s="314" t="str">
        <f t="shared" ca="1" si="51"/>
        <v/>
      </c>
      <c r="Z82" s="315" t="str">
        <f t="shared" ca="1" si="52"/>
        <v/>
      </c>
      <c r="AA82" s="316" t="str">
        <f t="shared" ca="1" si="53"/>
        <v/>
      </c>
      <c r="AC82" s="310" t="e">
        <f t="shared" ca="1" si="54"/>
        <v>#N/A</v>
      </c>
      <c r="AD82" s="323" t="e">
        <f t="shared" ca="1" si="55"/>
        <v>#N/A</v>
      </c>
      <c r="AE82" s="324">
        <f t="shared" ca="1" si="34"/>
        <v>24.181388257002954</v>
      </c>
      <c r="AG82" s="306">
        <f t="shared" ca="1" si="56"/>
        <v>78.288210361253576</v>
      </c>
      <c r="AH82" s="304">
        <f t="shared" ca="1" si="57"/>
        <v>87.916443514794508</v>
      </c>
    </row>
    <row r="83" spans="1:34" x14ac:dyDescent="0.2">
      <c r="A83" s="347">
        <f t="shared" ca="1" si="35"/>
        <v>0.01</v>
      </c>
      <c r="B83" s="304">
        <f t="shared" ca="1" si="36"/>
        <v>0.79000000000000048</v>
      </c>
      <c r="D83" s="306">
        <f t="shared" ca="1" si="37"/>
        <v>16.843302187747234</v>
      </c>
      <c r="E83" s="307">
        <f t="shared" ca="1" si="38"/>
        <v>76.330219844057837</v>
      </c>
      <c r="F83" s="304">
        <f t="shared" ca="1" si="39"/>
        <v>78.166484442054653</v>
      </c>
      <c r="G83" s="306">
        <f t="shared" ca="1" si="40"/>
        <v>12.371365989602486</v>
      </c>
      <c r="H83" s="307">
        <f t="shared" ca="1" si="41"/>
        <v>63.171689631328206</v>
      </c>
      <c r="I83" s="304">
        <f t="shared" ca="1" si="42"/>
        <v>64.371679078035186</v>
      </c>
      <c r="J83" s="306">
        <f t="shared" ca="1" si="43"/>
        <v>4.6288045307965078</v>
      </c>
      <c r="K83" s="307">
        <f t="shared" ca="1" si="44"/>
        <v>24.809288642324034</v>
      </c>
      <c r="L83" s="304">
        <f t="shared" ca="1" si="29"/>
        <v>25.237405459406293</v>
      </c>
      <c r="M83" s="306">
        <f t="shared" ca="1" si="45"/>
        <v>1.3774066573102004</v>
      </c>
      <c r="N83" s="304">
        <f t="shared" ca="1" si="46"/>
        <v>78.91958813709698</v>
      </c>
      <c r="P83" s="310">
        <f t="shared" ca="1" si="47"/>
        <v>3</v>
      </c>
      <c r="Q83" s="304">
        <f t="shared" ca="1" si="48"/>
        <v>764.36999999999989</v>
      </c>
      <c r="R83" s="306">
        <f t="shared" ca="1" si="49"/>
        <v>0.38360168968649944</v>
      </c>
      <c r="S83" s="307">
        <f t="shared" ca="1" si="50"/>
        <v>8.5252046778276007</v>
      </c>
      <c r="T83" s="304">
        <f t="shared" ca="1" si="30"/>
        <v>83.63225788948877</v>
      </c>
      <c r="U83" s="311">
        <f t="shared" ca="1" si="31"/>
        <v>0</v>
      </c>
      <c r="V83" s="306">
        <f t="shared" ca="1" si="32"/>
        <v>1.2219646274130476</v>
      </c>
      <c r="W83" s="304">
        <f t="shared" ca="1" si="33"/>
        <v>16.497183850809947</v>
      </c>
      <c r="Y83" s="314" t="str">
        <f t="shared" ca="1" si="51"/>
        <v/>
      </c>
      <c r="Z83" s="315" t="str">
        <f t="shared" ca="1" si="52"/>
        <v/>
      </c>
      <c r="AA83" s="316" t="str">
        <f t="shared" ca="1" si="53"/>
        <v/>
      </c>
      <c r="AC83" s="310" t="e">
        <f t="shared" ca="1" si="54"/>
        <v>#N/A</v>
      </c>
      <c r="AD83" s="323" t="e">
        <f t="shared" ca="1" si="55"/>
        <v>#N/A</v>
      </c>
      <c r="AE83" s="324">
        <f t="shared" ca="1" si="34"/>
        <v>24.809288642324034</v>
      </c>
      <c r="AG83" s="306">
        <f t="shared" ca="1" si="56"/>
        <v>78.143812016966635</v>
      </c>
      <c r="AH83" s="304">
        <f t="shared" ca="1" si="57"/>
        <v>87.771489125856732</v>
      </c>
    </row>
    <row r="84" spans="1:34" x14ac:dyDescent="0.2">
      <c r="A84" s="347">
        <f t="shared" ca="1" si="35"/>
        <v>0.01</v>
      </c>
      <c r="B84" s="304">
        <f t="shared" ca="1" si="36"/>
        <v>0.80000000000000049</v>
      </c>
      <c r="D84" s="306">
        <f t="shared" ca="1" si="37"/>
        <v>16.840505914065144</v>
      </c>
      <c r="E84" s="307">
        <f t="shared" ca="1" si="38"/>
        <v>76.182380609544481</v>
      </c>
      <c r="F84" s="304">
        <f t="shared" ca="1" si="39"/>
        <v>78.02152110013725</v>
      </c>
      <c r="G84" s="306">
        <f t="shared" ca="1" si="40"/>
        <v>12.539771048743138</v>
      </c>
      <c r="H84" s="307">
        <f t="shared" ca="1" si="41"/>
        <v>63.933513437423649</v>
      </c>
      <c r="I84" s="304">
        <f t="shared" ca="1" si="42"/>
        <v>65.151669191265754</v>
      </c>
      <c r="J84" s="306">
        <f t="shared" ca="1" si="43"/>
        <v>4.753360215988236</v>
      </c>
      <c r="K84" s="307">
        <f t="shared" ca="1" si="44"/>
        <v>25.444814657667795</v>
      </c>
      <c r="L84" s="304">
        <f t="shared" ca="1" si="29"/>
        <v>25.88499616198553</v>
      </c>
      <c r="M84" s="306">
        <f t="shared" ca="1" si="45"/>
        <v>1.3771172787948245</v>
      </c>
      <c r="N84" s="304">
        <f t="shared" ca="1" si="46"/>
        <v>78.903007969484179</v>
      </c>
      <c r="P84" s="310">
        <f t="shared" ca="1" si="47"/>
        <v>3</v>
      </c>
      <c r="Q84" s="304">
        <f t="shared" ca="1" si="48"/>
        <v>763.18999999999994</v>
      </c>
      <c r="R84" s="306">
        <f t="shared" ca="1" si="49"/>
        <v>0.38300950266472977</v>
      </c>
      <c r="S84" s="307">
        <f t="shared" ca="1" si="50"/>
        <v>8.5213745828009539</v>
      </c>
      <c r="T84" s="304">
        <f t="shared" ca="1" si="30"/>
        <v>83.594684657277369</v>
      </c>
      <c r="U84" s="311">
        <f t="shared" ca="1" si="31"/>
        <v>0</v>
      </c>
      <c r="V84" s="306">
        <f t="shared" ca="1" si="32"/>
        <v>1.2218869707270794</v>
      </c>
      <c r="W84" s="304">
        <f t="shared" ca="1" si="33"/>
        <v>16.898323990722961</v>
      </c>
      <c r="Y84" s="314" t="str">
        <f t="shared" ca="1" si="51"/>
        <v/>
      </c>
      <c r="Z84" s="315" t="str">
        <f t="shared" ca="1" si="52"/>
        <v/>
      </c>
      <c r="AA84" s="316" t="str">
        <f t="shared" ca="1" si="53"/>
        <v/>
      </c>
      <c r="AC84" s="310" t="e">
        <f t="shared" ca="1" si="54"/>
        <v>#N/A</v>
      </c>
      <c r="AD84" s="323" t="e">
        <f t="shared" ca="1" si="55"/>
        <v>#N/A</v>
      </c>
      <c r="AE84" s="324">
        <f t="shared" ca="1" si="34"/>
        <v>25.444814657667795</v>
      </c>
      <c r="AG84" s="306">
        <f t="shared" ca="1" si="56"/>
        <v>77.998738533263662</v>
      </c>
      <c r="AH84" s="304">
        <f t="shared" ca="1" si="57"/>
        <v>87.62586468810693</v>
      </c>
    </row>
    <row r="85" spans="1:34" x14ac:dyDescent="0.2">
      <c r="A85" s="347">
        <f t="shared" ca="1" si="35"/>
        <v>0.01</v>
      </c>
      <c r="B85" s="304">
        <f t="shared" ca="1" si="36"/>
        <v>0.8100000000000005</v>
      </c>
      <c r="D85" s="306">
        <f t="shared" ca="1" si="37"/>
        <v>16.837232800664733</v>
      </c>
      <c r="E85" s="307">
        <f t="shared" ca="1" si="38"/>
        <v>76.03394765470803</v>
      </c>
      <c r="F85" s="304">
        <f t="shared" ca="1" si="39"/>
        <v>77.875885897642675</v>
      </c>
      <c r="G85" s="306">
        <f t="shared" ca="1" si="40"/>
        <v>12.708143376749785</v>
      </c>
      <c r="H85" s="307">
        <f t="shared" ca="1" si="41"/>
        <v>64.69385291397073</v>
      </c>
      <c r="I85" s="304">
        <f t="shared" ca="1" si="42"/>
        <v>65.930201826920779</v>
      </c>
      <c r="J85" s="306">
        <f t="shared" ca="1" si="43"/>
        <v>4.8795997881157005</v>
      </c>
      <c r="K85" s="307">
        <f t="shared" ca="1" si="44"/>
        <v>26.087951489424768</v>
      </c>
      <c r="L85" s="304">
        <f t="shared" ca="1" si="29"/>
        <v>26.540378803000511</v>
      </c>
      <c r="M85" s="306">
        <f t="shared" ca="1" si="45"/>
        <v>1.3768308948490524</v>
      </c>
      <c r="N85" s="304">
        <f t="shared" ca="1" si="46"/>
        <v>78.886599378071139</v>
      </c>
      <c r="P85" s="310">
        <f t="shared" ca="1" si="47"/>
        <v>3</v>
      </c>
      <c r="Q85" s="304">
        <f t="shared" ca="1" si="48"/>
        <v>762.01</v>
      </c>
      <c r="R85" s="306">
        <f t="shared" ca="1" si="49"/>
        <v>0.38241731564296016</v>
      </c>
      <c r="S85" s="307">
        <f t="shared" ca="1" si="50"/>
        <v>8.5175504096445245</v>
      </c>
      <c r="T85" s="304">
        <f t="shared" ca="1" si="30"/>
        <v>83.557169518612795</v>
      </c>
      <c r="U85" s="311">
        <f t="shared" ca="1" si="31"/>
        <v>0</v>
      </c>
      <c r="V85" s="306">
        <f t="shared" ca="1" si="32"/>
        <v>1.2218083890720985</v>
      </c>
      <c r="W85" s="304">
        <f t="shared" ca="1" si="33"/>
        <v>17.303478519957327</v>
      </c>
      <c r="Y85" s="314" t="str">
        <f t="shared" ca="1" si="51"/>
        <v/>
      </c>
      <c r="Z85" s="315" t="str">
        <f t="shared" ca="1" si="52"/>
        <v/>
      </c>
      <c r="AA85" s="316" t="str">
        <f t="shared" ca="1" si="53"/>
        <v/>
      </c>
      <c r="AC85" s="310" t="e">
        <f t="shared" ca="1" si="54"/>
        <v>#N/A</v>
      </c>
      <c r="AD85" s="323" t="e">
        <f t="shared" ca="1" si="55"/>
        <v>#N/A</v>
      </c>
      <c r="AE85" s="324">
        <f t="shared" ca="1" si="34"/>
        <v>26.087951489424768</v>
      </c>
      <c r="AG85" s="306">
        <f t="shared" ca="1" si="56"/>
        <v>77.852993199709971</v>
      </c>
      <c r="AH85" s="304">
        <f t="shared" ca="1" si="57"/>
        <v>87.479573371890837</v>
      </c>
    </row>
    <row r="86" spans="1:34" x14ac:dyDescent="0.2">
      <c r="A86" s="347">
        <f t="shared" ca="1" si="35"/>
        <v>0.01</v>
      </c>
      <c r="B86" s="304">
        <f t="shared" ca="1" si="36"/>
        <v>0.82000000000000051</v>
      </c>
      <c r="D86" s="306">
        <f t="shared" ca="1" si="37"/>
        <v>16.833490645321302</v>
      </c>
      <c r="E86" s="307">
        <f t="shared" ca="1" si="38"/>
        <v>75.884922975888387</v>
      </c>
      <c r="F86" s="304">
        <f t="shared" ca="1" si="39"/>
        <v>77.729582157391235</v>
      </c>
      <c r="G86" s="306">
        <f t="shared" ca="1" si="40"/>
        <v>12.876478283202998</v>
      </c>
      <c r="H86" s="307">
        <f t="shared" ca="1" si="41"/>
        <v>65.45270214372961</v>
      </c>
      <c r="I86" s="304">
        <f t="shared" ca="1" si="42"/>
        <v>66.707270300122346</v>
      </c>
      <c r="J86" s="306">
        <f t="shared" ca="1" si="43"/>
        <v>5.0075228964154643</v>
      </c>
      <c r="K86" s="307">
        <f t="shared" ca="1" si="44"/>
        <v>26.738684264713271</v>
      </c>
      <c r="L86" s="304">
        <f t="shared" ca="1" si="29"/>
        <v>27.203538772853619</v>
      </c>
      <c r="M86" s="306">
        <f t="shared" ca="1" si="45"/>
        <v>1.3765474336991614</v>
      </c>
      <c r="N86" s="304">
        <f t="shared" ca="1" si="46"/>
        <v>78.870358250526465</v>
      </c>
      <c r="P86" s="310">
        <f t="shared" ca="1" si="47"/>
        <v>3</v>
      </c>
      <c r="Q86" s="304">
        <f t="shared" ca="1" si="48"/>
        <v>760.82999999999993</v>
      </c>
      <c r="R86" s="306">
        <f t="shared" ca="1" si="49"/>
        <v>0.3818251286211905</v>
      </c>
      <c r="S86" s="307">
        <f t="shared" ca="1" si="50"/>
        <v>8.5137321583583123</v>
      </c>
      <c r="T86" s="304">
        <f t="shared" ca="1" si="30"/>
        <v>83.519712473495048</v>
      </c>
      <c r="U86" s="311">
        <f t="shared" ca="1" si="31"/>
        <v>0</v>
      </c>
      <c r="V86" s="306">
        <f t="shared" ca="1" si="32"/>
        <v>1.221728884443875</v>
      </c>
      <c r="W86" s="304">
        <f t="shared" ca="1" si="33"/>
        <v>17.712615108004854</v>
      </c>
      <c r="Y86" s="314" t="str">
        <f t="shared" ca="1" si="51"/>
        <v/>
      </c>
      <c r="Z86" s="315" t="str">
        <f t="shared" ca="1" si="52"/>
        <v/>
      </c>
      <c r="AA86" s="316" t="str">
        <f t="shared" ca="1" si="53"/>
        <v/>
      </c>
      <c r="AC86" s="310" t="e">
        <f t="shared" ca="1" si="54"/>
        <v>#N/A</v>
      </c>
      <c r="AD86" s="323" t="e">
        <f t="shared" ca="1" si="55"/>
        <v>#N/A</v>
      </c>
      <c r="AE86" s="324">
        <f t="shared" ca="1" si="34"/>
        <v>26.738684264713271</v>
      </c>
      <c r="AG86" s="306">
        <f t="shared" ca="1" si="56"/>
        <v>77.706579322954823</v>
      </c>
      <c r="AH86" s="304">
        <f t="shared" ca="1" si="57"/>
        <v>87.332618368794854</v>
      </c>
    </row>
    <row r="87" spans="1:34" x14ac:dyDescent="0.2">
      <c r="A87" s="347">
        <f t="shared" ca="1" si="35"/>
        <v>0.01</v>
      </c>
      <c r="B87" s="304">
        <f t="shared" ca="1" si="36"/>
        <v>0.83000000000000052</v>
      </c>
      <c r="D87" s="306">
        <f t="shared" ca="1" si="37"/>
        <v>16.829286992277968</v>
      </c>
      <c r="E87" s="307">
        <f t="shared" ca="1" si="38"/>
        <v>75.735308629442386</v>
      </c>
      <c r="F87" s="304">
        <f t="shared" ca="1" si="39"/>
        <v>77.582613218847854</v>
      </c>
      <c r="G87" s="306">
        <f t="shared" ca="1" si="40"/>
        <v>13.044771153125778</v>
      </c>
      <c r="H87" s="307">
        <f t="shared" ca="1" si="41"/>
        <v>66.210055230024039</v>
      </c>
      <c r="I87" s="304">
        <f t="shared" ca="1" si="42"/>
        <v>67.482867959210623</v>
      </c>
      <c r="J87" s="306">
        <f t="shared" ca="1" si="43"/>
        <v>5.1371291435971083</v>
      </c>
      <c r="K87" s="307">
        <f t="shared" ca="1" si="44"/>
        <v>27.396998051582038</v>
      </c>
      <c r="L87" s="304">
        <f t="shared" ca="1" si="29"/>
        <v>27.874461395269769</v>
      </c>
      <c r="M87" s="306">
        <f t="shared" ca="1" si="45"/>
        <v>1.3762668261103876</v>
      </c>
      <c r="N87" s="304">
        <f t="shared" ca="1" si="46"/>
        <v>78.854280619990377</v>
      </c>
      <c r="P87" s="310">
        <f t="shared" ca="1" si="47"/>
        <v>3</v>
      </c>
      <c r="Q87" s="304">
        <f t="shared" ca="1" si="48"/>
        <v>759.65</v>
      </c>
      <c r="R87" s="306">
        <f t="shared" ca="1" si="49"/>
        <v>0.38123294159942084</v>
      </c>
      <c r="S87" s="307">
        <f t="shared" ca="1" si="50"/>
        <v>8.5099198289423175</v>
      </c>
      <c r="T87" s="304">
        <f t="shared" ca="1" si="30"/>
        <v>83.482313521924141</v>
      </c>
      <c r="U87" s="311">
        <f t="shared" ca="1" si="31"/>
        <v>0</v>
      </c>
      <c r="V87" s="306">
        <f t="shared" ca="1" si="32"/>
        <v>1.2216484588470031</v>
      </c>
      <c r="W87" s="304">
        <f t="shared" ca="1" si="33"/>
        <v>18.125701320219822</v>
      </c>
      <c r="Y87" s="314" t="str">
        <f t="shared" ca="1" si="51"/>
        <v/>
      </c>
      <c r="Z87" s="315" t="str">
        <f t="shared" ca="1" si="52"/>
        <v/>
      </c>
      <c r="AA87" s="316" t="str">
        <f t="shared" ca="1" si="53"/>
        <v/>
      </c>
      <c r="AC87" s="310" t="e">
        <f t="shared" ca="1" si="54"/>
        <v>#N/A</v>
      </c>
      <c r="AD87" s="323" t="e">
        <f t="shared" ca="1" si="55"/>
        <v>#N/A</v>
      </c>
      <c r="AE87" s="324">
        <f t="shared" ca="1" si="34"/>
        <v>27.396998051582038</v>
      </c>
      <c r="AG87" s="306">
        <f t="shared" ca="1" si="56"/>
        <v>77.559500226689622</v>
      </c>
      <c r="AH87" s="304">
        <f t="shared" ca="1" si="57"/>
        <v>87.185002891409056</v>
      </c>
    </row>
    <row r="88" spans="1:34" x14ac:dyDescent="0.2">
      <c r="A88" s="347">
        <f t="shared" ca="1" si="35"/>
        <v>0.01</v>
      </c>
      <c r="B88" s="304">
        <f t="shared" ca="1" si="36"/>
        <v>0.84000000000000052</v>
      </c>
      <c r="D88" s="306">
        <f t="shared" ca="1" si="37"/>
        <v>16.82462914454921</v>
      </c>
      <c r="E88" s="307">
        <f t="shared" ca="1" si="38"/>
        <v>75.585106729668382</v>
      </c>
      <c r="F88" s="304">
        <f t="shared" ca="1" si="39"/>
        <v>77.434982438087857</v>
      </c>
      <c r="G88" s="306">
        <f t="shared" ca="1" si="40"/>
        <v>13.213017444571269</v>
      </c>
      <c r="H88" s="307">
        <f t="shared" ca="1" si="41"/>
        <v>66.965906297320728</v>
      </c>
      <c r="I88" s="304">
        <f t="shared" ca="1" si="42"/>
        <v>68.256988185914594</v>
      </c>
      <c r="J88" s="306">
        <f t="shared" ca="1" si="43"/>
        <v>5.2684180865855934</v>
      </c>
      <c r="K88" s="307">
        <f t="shared" ca="1" si="44"/>
        <v>28.062877859218762</v>
      </c>
      <c r="L88" s="304">
        <f t="shared" ca="1" si="29"/>
        <v>28.553131927627359</v>
      </c>
      <c r="M88" s="306">
        <f t="shared" ca="1" si="45"/>
        <v>1.3759890052673347</v>
      </c>
      <c r="N88" s="304">
        <f t="shared" ca="1" si="46"/>
        <v>78.838362658222678</v>
      </c>
      <c r="P88" s="310">
        <f t="shared" ca="1" si="47"/>
        <v>3</v>
      </c>
      <c r="Q88" s="304">
        <f t="shared" ca="1" si="48"/>
        <v>758.46999999999991</v>
      </c>
      <c r="R88" s="306">
        <f t="shared" ca="1" si="49"/>
        <v>0.38064075457765117</v>
      </c>
      <c r="S88" s="307">
        <f t="shared" ca="1" si="50"/>
        <v>8.5061134213965417</v>
      </c>
      <c r="T88" s="304">
        <f t="shared" ca="1" si="30"/>
        <v>83.444972663900074</v>
      </c>
      <c r="U88" s="311">
        <f t="shared" ca="1" si="31"/>
        <v>0</v>
      </c>
      <c r="V88" s="306">
        <f t="shared" ca="1" si="32"/>
        <v>1.2215671142948583</v>
      </c>
      <c r="W88" s="304">
        <f t="shared" ca="1" si="33"/>
        <v>18.54270462005983</v>
      </c>
      <c r="Y88" s="314" t="str">
        <f t="shared" ca="1" si="51"/>
        <v/>
      </c>
      <c r="Z88" s="315" t="str">
        <f t="shared" ca="1" si="52"/>
        <v/>
      </c>
      <c r="AA88" s="316" t="str">
        <f t="shared" ca="1" si="53"/>
        <v/>
      </c>
      <c r="AC88" s="310" t="e">
        <f t="shared" ca="1" si="54"/>
        <v>#N/A</v>
      </c>
      <c r="AD88" s="323" t="e">
        <f t="shared" ca="1" si="55"/>
        <v>#N/A</v>
      </c>
      <c r="AE88" s="324">
        <f t="shared" ca="1" si="34"/>
        <v>28.062877859218762</v>
      </c>
      <c r="AG88" s="306">
        <f t="shared" ca="1" si="56"/>
        <v>77.411759251593111</v>
      </c>
      <c r="AH88" s="304">
        <f t="shared" ca="1" si="57"/>
        <v>87.036730173088813</v>
      </c>
    </row>
    <row r="89" spans="1:34" x14ac:dyDescent="0.2">
      <c r="A89" s="347">
        <f t="shared" ca="1" si="35"/>
        <v>0.01</v>
      </c>
      <c r="B89" s="304">
        <f t="shared" ca="1" si="36"/>
        <v>0.85000000000000053</v>
      </c>
      <c r="D89" s="306">
        <f t="shared" ca="1" si="37"/>
        <v>16.819524175494095</v>
      </c>
      <c r="E89" s="307">
        <f t="shared" ca="1" si="38"/>
        <v>75.434319446836597</v>
      </c>
      <c r="F89" s="304">
        <f t="shared" ca="1" si="39"/>
        <v>77.286693187750117</v>
      </c>
      <c r="G89" s="306">
        <f t="shared" ca="1" si="40"/>
        <v>13.38121268632621</v>
      </c>
      <c r="H89" s="307">
        <f t="shared" ca="1" si="41"/>
        <v>67.72024949178909</v>
      </c>
      <c r="I89" s="304">
        <f t="shared" ca="1" si="42"/>
        <v>69.029624395522092</v>
      </c>
      <c r="J89" s="306">
        <f t="shared" ca="1" si="43"/>
        <v>5.4013892372400809</v>
      </c>
      <c r="K89" s="307">
        <f t="shared" ca="1" si="44"/>
        <v>28.73630863816431</v>
      </c>
      <c r="L89" s="304">
        <f t="shared" ca="1" si="29"/>
        <v>29.239535561291149</v>
      </c>
      <c r="M89" s="306">
        <f t="shared" ca="1" si="45"/>
        <v>1.3757139066613795</v>
      </c>
      <c r="N89" s="304">
        <f t="shared" ca="1" si="46"/>
        <v>78.822600669151512</v>
      </c>
      <c r="P89" s="310">
        <f t="shared" ca="1" si="47"/>
        <v>3</v>
      </c>
      <c r="Q89" s="304">
        <f t="shared" ca="1" si="48"/>
        <v>757.29</v>
      </c>
      <c r="R89" s="306">
        <f t="shared" ca="1" si="49"/>
        <v>0.38004856755588157</v>
      </c>
      <c r="S89" s="307">
        <f t="shared" ca="1" si="50"/>
        <v>8.5023129357209832</v>
      </c>
      <c r="T89" s="304">
        <f t="shared" ca="1" si="30"/>
        <v>83.407689899422849</v>
      </c>
      <c r="U89" s="311">
        <f t="shared" ca="1" si="31"/>
        <v>0</v>
      </c>
      <c r="V89" s="306">
        <f t="shared" ca="1" si="32"/>
        <v>1.2214848528095539</v>
      </c>
      <c r="W89" s="304">
        <f t="shared" ca="1" si="33"/>
        <v>18.963592371329849</v>
      </c>
      <c r="Y89" s="314" t="str">
        <f t="shared" ca="1" si="51"/>
        <v/>
      </c>
      <c r="Z89" s="315" t="str">
        <f t="shared" ca="1" si="52"/>
        <v/>
      </c>
      <c r="AA89" s="316" t="str">
        <f t="shared" ca="1" si="53"/>
        <v/>
      </c>
      <c r="AC89" s="310" t="e">
        <f t="shared" ca="1" si="54"/>
        <v>#N/A</v>
      </c>
      <c r="AD89" s="323" t="e">
        <f t="shared" ca="1" si="55"/>
        <v>#N/A</v>
      </c>
      <c r="AE89" s="324">
        <f t="shared" ca="1" si="34"/>
        <v>28.73630863816431</v>
      </c>
      <c r="AG89" s="306">
        <f t="shared" ca="1" si="56"/>
        <v>77.26335975526527</v>
      </c>
      <c r="AH89" s="304">
        <f t="shared" ca="1" si="57"/>
        <v>86.887803467715514</v>
      </c>
    </row>
    <row r="90" spans="1:34" x14ac:dyDescent="0.2">
      <c r="A90" s="347">
        <f t="shared" ca="1" si="35"/>
        <v>0.01</v>
      </c>
      <c r="B90" s="304">
        <f t="shared" ca="1" si="36"/>
        <v>0.86000000000000054</v>
      </c>
      <c r="D90" s="306">
        <f t="shared" ca="1" si="37"/>
        <v>16.813978939710072</v>
      </c>
      <c r="E90" s="307">
        <f t="shared" ca="1" si="38"/>
        <v>75.282949005316766</v>
      </c>
      <c r="F90" s="304">
        <f t="shared" ca="1" si="39"/>
        <v>77.137748856977538</v>
      </c>
      <c r="G90" s="306">
        <f t="shared" ca="1" si="40"/>
        <v>13.54935247572331</v>
      </c>
      <c r="H90" s="307">
        <f t="shared" ca="1" si="41"/>
        <v>68.473078981842264</v>
      </c>
      <c r="I90" s="304">
        <f t="shared" ca="1" si="42"/>
        <v>69.800770037049006</v>
      </c>
      <c r="J90" s="306">
        <f t="shared" ca="1" si="43"/>
        <v>5.5360420630503286</v>
      </c>
      <c r="K90" s="307">
        <f t="shared" ca="1" si="44"/>
        <v>29.417275280532468</v>
      </c>
      <c r="L90" s="304">
        <f t="shared" ca="1" si="29"/>
        <v>29.933657421947107</v>
      </c>
      <c r="M90" s="306">
        <f t="shared" ca="1" si="45"/>
        <v>1.375441467984585</v>
      </c>
      <c r="N90" s="304">
        <f t="shared" ca="1" si="46"/>
        <v>78.806991082795065</v>
      </c>
      <c r="P90" s="310">
        <f t="shared" ca="1" si="47"/>
        <v>3</v>
      </c>
      <c r="Q90" s="304">
        <f t="shared" ca="1" si="48"/>
        <v>756.1099999999999</v>
      </c>
      <c r="R90" s="306">
        <f t="shared" ca="1" si="49"/>
        <v>0.37945638053411185</v>
      </c>
      <c r="S90" s="307">
        <f t="shared" ca="1" si="50"/>
        <v>8.4985183719156421</v>
      </c>
      <c r="T90" s="304">
        <f t="shared" ca="1" si="30"/>
        <v>83.370465228492449</v>
      </c>
      <c r="U90" s="311">
        <f t="shared" ca="1" si="31"/>
        <v>0</v>
      </c>
      <c r="V90" s="306">
        <f t="shared" ca="1" si="32"/>
        <v>1.2214016764218971</v>
      </c>
      <c r="W90" s="304">
        <f t="shared" ca="1" si="33"/>
        <v>19.388331840429302</v>
      </c>
      <c r="Y90" s="314" t="str">
        <f t="shared" ca="1" si="51"/>
        <v/>
      </c>
      <c r="Z90" s="315" t="str">
        <f t="shared" ca="1" si="52"/>
        <v/>
      </c>
      <c r="AA90" s="316" t="str">
        <f t="shared" ca="1" si="53"/>
        <v/>
      </c>
      <c r="AC90" s="310" t="e">
        <f t="shared" ca="1" si="54"/>
        <v>#N/A</v>
      </c>
      <c r="AD90" s="323" t="e">
        <f t="shared" ca="1" si="55"/>
        <v>#N/A</v>
      </c>
      <c r="AE90" s="324">
        <f t="shared" ca="1" si="34"/>
        <v>29.417275280532468</v>
      </c>
      <c r="AG90" s="306">
        <f t="shared" ca="1" si="56"/>
        <v>77.114305112149339</v>
      </c>
      <c r="AH90" s="304">
        <f t="shared" ca="1" si="57"/>
        <v>86.738226049455577</v>
      </c>
    </row>
    <row r="91" spans="1:34" x14ac:dyDescent="0.2">
      <c r="A91" s="347">
        <f t="shared" ca="1" si="35"/>
        <v>0.01</v>
      </c>
      <c r="B91" s="304">
        <f t="shared" ca="1" si="36"/>
        <v>0.87000000000000055</v>
      </c>
      <c r="D91" s="306">
        <f t="shared" ca="1" si="37"/>
        <v>16.80800008329496</v>
      </c>
      <c r="E91" s="307">
        <f t="shared" ca="1" si="38"/>
        <v>75.130997681797183</v>
      </c>
      <c r="F91" s="304">
        <f t="shared" ca="1" si="39"/>
        <v>76.988152851346271</v>
      </c>
      <c r="G91" s="306">
        <f t="shared" ca="1" si="40"/>
        <v>13.71743247655626</v>
      </c>
      <c r="H91" s="307">
        <f t="shared" ca="1" si="41"/>
        <v>69.224388958660242</v>
      </c>
      <c r="I91" s="304">
        <f t="shared" ca="1" si="42"/>
        <v>70.570418593407553</v>
      </c>
      <c r="J91" s="306">
        <f t="shared" ca="1" si="43"/>
        <v>5.6723759878117264</v>
      </c>
      <c r="K91" s="307">
        <f t="shared" ca="1" si="44"/>
        <v>30.10576262023498</v>
      </c>
      <c r="L91" s="304">
        <f t="shared" ca="1" si="29"/>
        <v>30.635482569939075</v>
      </c>
      <c r="M91" s="306">
        <f t="shared" ca="1" si="45"/>
        <v>1.3751716290296754</v>
      </c>
      <c r="N91" s="304">
        <f t="shared" ca="1" si="46"/>
        <v>78.791530449530512</v>
      </c>
      <c r="P91" s="310">
        <f t="shared" ca="1" si="47"/>
        <v>3</v>
      </c>
      <c r="Q91" s="304">
        <f t="shared" ca="1" si="48"/>
        <v>754.93</v>
      </c>
      <c r="R91" s="306">
        <f t="shared" ca="1" si="49"/>
        <v>0.37886419351234224</v>
      </c>
      <c r="S91" s="307">
        <f t="shared" ca="1" si="50"/>
        <v>8.4947297299805182</v>
      </c>
      <c r="T91" s="304">
        <f t="shared" ca="1" si="30"/>
        <v>83.33329865110889</v>
      </c>
      <c r="U91" s="311">
        <f t="shared" ca="1" si="31"/>
        <v>0</v>
      </c>
      <c r="V91" s="306">
        <f t="shared" ca="1" si="32"/>
        <v>1.2213175871713458</v>
      </c>
      <c r="W91" s="304">
        <f t="shared" ca="1" si="33"/>
        <v>19.81689019860185</v>
      </c>
      <c r="Y91" s="314" t="str">
        <f t="shared" ca="1" si="51"/>
        <v/>
      </c>
      <c r="Z91" s="315" t="str">
        <f t="shared" ca="1" si="52"/>
        <v/>
      </c>
      <c r="AA91" s="316" t="str">
        <f t="shared" ca="1" si="53"/>
        <v/>
      </c>
      <c r="AC91" s="310" t="e">
        <f t="shared" ca="1" si="54"/>
        <v>#N/A</v>
      </c>
      <c r="AD91" s="323" t="e">
        <f t="shared" ca="1" si="55"/>
        <v>#N/A</v>
      </c>
      <c r="AE91" s="324">
        <f t="shared" ca="1" si="34"/>
        <v>30.10576262023498</v>
      </c>
      <c r="AG91" s="306">
        <f t="shared" ca="1" si="56"/>
        <v>76.96459871344392</v>
      </c>
      <c r="AH91" s="304">
        <f t="shared" ca="1" si="57"/>
        <v>86.588001212518577</v>
      </c>
    </row>
    <row r="92" spans="1:34" x14ac:dyDescent="0.2">
      <c r="A92" s="347">
        <f t="shared" ca="1" si="35"/>
        <v>0.01</v>
      </c>
      <c r="B92" s="304">
        <f t="shared" ca="1" si="36"/>
        <v>0.88000000000000056</v>
      </c>
      <c r="D92" s="306">
        <f t="shared" ca="1" si="37"/>
        <v>16.801594053520176</v>
      </c>
      <c r="E92" s="307">
        <f t="shared" ca="1" si="38"/>
        <v>74.978467803588757</v>
      </c>
      <c r="F92" s="304">
        <f t="shared" ca="1" si="39"/>
        <v>76.837908592784331</v>
      </c>
      <c r="G92" s="306">
        <f t="shared" ca="1" si="40"/>
        <v>13.885448417091462</v>
      </c>
      <c r="H92" s="307">
        <f t="shared" ca="1" si="41"/>
        <v>69.974173636696136</v>
      </c>
      <c r="I92" s="304">
        <f t="shared" ca="1" si="42"/>
        <v>71.338563581573524</v>
      </c>
      <c r="J92" s="306">
        <f t="shared" ca="1" si="43"/>
        <v>5.8103903922799649</v>
      </c>
      <c r="K92" s="307">
        <f t="shared" ca="1" si="44"/>
        <v>30.801755433211763</v>
      </c>
      <c r="L92" s="304">
        <f t="shared" ca="1" si="29"/>
        <v>31.344996000607335</v>
      </c>
      <c r="M92" s="306">
        <f t="shared" ca="1" si="45"/>
        <v>1.3749043315956573</v>
      </c>
      <c r="N92" s="304">
        <f t="shared" ca="1" si="46"/>
        <v>78.776215434686605</v>
      </c>
      <c r="P92" s="310">
        <f t="shared" ca="1" si="47"/>
        <v>3</v>
      </c>
      <c r="Q92" s="304">
        <f t="shared" ca="1" si="48"/>
        <v>753.74999999999989</v>
      </c>
      <c r="R92" s="306">
        <f t="shared" ca="1" si="49"/>
        <v>0.37827200649057252</v>
      </c>
      <c r="S92" s="307">
        <f t="shared" ca="1" si="50"/>
        <v>8.4909470099156117</v>
      </c>
      <c r="T92" s="304">
        <f t="shared" ca="1" si="30"/>
        <v>83.296190167272158</v>
      </c>
      <c r="U92" s="311">
        <f t="shared" ca="1" si="31"/>
        <v>0</v>
      </c>
      <c r="V92" s="306">
        <f t="shared" ca="1" si="32"/>
        <v>1.2212325871059606</v>
      </c>
      <c r="W92" s="304">
        <f t="shared" ca="1" si="33"/>
        <v>20.249234524187642</v>
      </c>
      <c r="Y92" s="314" t="str">
        <f t="shared" ca="1" si="51"/>
        <v/>
      </c>
      <c r="Z92" s="315" t="str">
        <f t="shared" ca="1" si="52"/>
        <v/>
      </c>
      <c r="AA92" s="316" t="str">
        <f t="shared" ca="1" si="53"/>
        <v/>
      </c>
      <c r="AC92" s="310" t="e">
        <f t="shared" ca="1" si="54"/>
        <v>#N/A</v>
      </c>
      <c r="AD92" s="323" t="e">
        <f t="shared" ca="1" si="55"/>
        <v>#N/A</v>
      </c>
      <c r="AE92" s="324">
        <f t="shared" ca="1" si="34"/>
        <v>30.801755433211763</v>
      </c>
      <c r="AG92" s="306">
        <f t="shared" ca="1" si="56"/>
        <v>76.814243967005154</v>
      </c>
      <c r="AH92" s="304">
        <f t="shared" ca="1" si="57"/>
        <v>86.437132270914063</v>
      </c>
    </row>
    <row r="93" spans="1:34" x14ac:dyDescent="0.2">
      <c r="A93" s="347">
        <f t="shared" ca="1" si="35"/>
        <v>0.01</v>
      </c>
      <c r="B93" s="304">
        <f t="shared" ca="1" si="36"/>
        <v>0.89000000000000057</v>
      </c>
      <c r="D93" s="306">
        <f t="shared" ca="1" si="37"/>
        <v>16.794767107955618</v>
      </c>
      <c r="E93" s="307">
        <f t="shared" ca="1" si="38"/>
        <v>74.825361747008259</v>
      </c>
      <c r="F93" s="304">
        <f t="shared" ca="1" si="39"/>
        <v>76.687019519480046</v>
      </c>
      <c r="G93" s="306">
        <f t="shared" ca="1" si="40"/>
        <v>14.053396088171018</v>
      </c>
      <c r="H93" s="307">
        <f t="shared" ca="1" si="41"/>
        <v>70.72242725416622</v>
      </c>
      <c r="I93" s="304">
        <f t="shared" ca="1" si="42"/>
        <v>72.105198552752455</v>
      </c>
      <c r="J93" s="306">
        <f t="shared" ca="1" si="43"/>
        <v>5.9500846148062774</v>
      </c>
      <c r="K93" s="307">
        <f t="shared" ca="1" si="44"/>
        <v>31.505238437666076</v>
      </c>
      <c r="L93" s="304">
        <f t="shared" ca="1" si="29"/>
        <v>32.062182644628955</v>
      </c>
      <c r="M93" s="306">
        <f t="shared" ca="1" si="45"/>
        <v>1.3746395193987111</v>
      </c>
      <c r="N93" s="304">
        <f t="shared" ca="1" si="46"/>
        <v>78.761042813437996</v>
      </c>
      <c r="P93" s="310">
        <f t="shared" ca="1" si="47"/>
        <v>3</v>
      </c>
      <c r="Q93" s="304">
        <f t="shared" ca="1" si="48"/>
        <v>752.56999999999994</v>
      </c>
      <c r="R93" s="306">
        <f t="shared" ca="1" si="49"/>
        <v>0.37767981946880291</v>
      </c>
      <c r="S93" s="307">
        <f t="shared" ca="1" si="50"/>
        <v>8.4871702117209242</v>
      </c>
      <c r="T93" s="304">
        <f t="shared" ca="1" si="30"/>
        <v>83.259139776982266</v>
      </c>
      <c r="U93" s="311">
        <f t="shared" ca="1" si="31"/>
        <v>0</v>
      </c>
      <c r="V93" s="306">
        <f t="shared" ca="1" si="32"/>
        <v>1.2211466782823606</v>
      </c>
      <c r="W93" s="304">
        <f t="shared" ca="1" si="33"/>
        <v>20.685331804877865</v>
      </c>
      <c r="Y93" s="314" t="str">
        <f t="shared" ca="1" si="51"/>
        <v/>
      </c>
      <c r="Z93" s="315" t="str">
        <f t="shared" ca="1" si="52"/>
        <v/>
      </c>
      <c r="AA93" s="316" t="str">
        <f t="shared" ca="1" si="53"/>
        <v/>
      </c>
      <c r="AC93" s="310" t="e">
        <f t="shared" ca="1" si="54"/>
        <v>#N/A</v>
      </c>
      <c r="AD93" s="323" t="e">
        <f t="shared" ca="1" si="55"/>
        <v>#N/A</v>
      </c>
      <c r="AE93" s="324">
        <f t="shared" ca="1" si="34"/>
        <v>31.505238437666076</v>
      </c>
      <c r="AG93" s="306">
        <f t="shared" ca="1" si="56"/>
        <v>76.663244297239714</v>
      </c>
      <c r="AH93" s="304">
        <f t="shared" ca="1" si="57"/>
        <v>86.285622558207336</v>
      </c>
    </row>
    <row r="94" spans="1:34" x14ac:dyDescent="0.2">
      <c r="A94" s="347">
        <f t="shared" ca="1" si="35"/>
        <v>0.01</v>
      </c>
      <c r="B94" s="304">
        <f t="shared" ca="1" si="36"/>
        <v>0.90000000000000058</v>
      </c>
      <c r="D94" s="306">
        <f t="shared" ca="1" si="37"/>
        <v>16.787525323082534</v>
      </c>
      <c r="E94" s="307">
        <f t="shared" ca="1" si="38"/>
        <v>74.67168193583538</v>
      </c>
      <c r="F94" s="304">
        <f t="shared" ca="1" si="39"/>
        <v>76.535489085780995</v>
      </c>
      <c r="G94" s="306">
        <f t="shared" ca="1" si="40"/>
        <v>14.221271341401843</v>
      </c>
      <c r="H94" s="307">
        <f t="shared" ca="1" si="41"/>
        <v>71.469144073524575</v>
      </c>
      <c r="I94" s="304">
        <f t="shared" ca="1" si="42"/>
        <v>72.870317092544539</v>
      </c>
      <c r="J94" s="306">
        <f t="shared" ca="1" si="43"/>
        <v>6.0914579519541414</v>
      </c>
      <c r="K94" s="307">
        <f t="shared" ca="1" si="44"/>
        <v>32.216196294304531</v>
      </c>
      <c r="L94" s="304">
        <f t="shared" ca="1" si="29"/>
        <v>32.787027368359979</v>
      </c>
      <c r="M94" s="306">
        <f t="shared" ca="1" si="45"/>
        <v>1.3743771379880003</v>
      </c>
      <c r="N94" s="304">
        <f t="shared" ca="1" si="46"/>
        <v>78.746009465981587</v>
      </c>
      <c r="P94" s="310">
        <f t="shared" ca="1" si="47"/>
        <v>3</v>
      </c>
      <c r="Q94" s="304">
        <f t="shared" ca="1" si="48"/>
        <v>751.38999999999987</v>
      </c>
      <c r="R94" s="306">
        <f t="shared" ca="1" si="49"/>
        <v>0.37708763244703325</v>
      </c>
      <c r="S94" s="307">
        <f t="shared" ca="1" si="50"/>
        <v>8.4833993353964541</v>
      </c>
      <c r="T94" s="304">
        <f t="shared" ca="1" si="30"/>
        <v>83.222147480239215</v>
      </c>
      <c r="U94" s="311">
        <f t="shared" ca="1" si="31"/>
        <v>0</v>
      </c>
      <c r="V94" s="306">
        <f t="shared" ca="1" si="32"/>
        <v>1.2210598627656764</v>
      </c>
      <c r="W94" s="304">
        <f t="shared" ca="1" si="33"/>
        <v>21.125148939971247</v>
      </c>
      <c r="Y94" s="314" t="str">
        <f t="shared" ca="1" si="51"/>
        <v/>
      </c>
      <c r="Z94" s="315" t="str">
        <f t="shared" ca="1" si="52"/>
        <v/>
      </c>
      <c r="AA94" s="316" t="str">
        <f t="shared" ca="1" si="53"/>
        <v/>
      </c>
      <c r="AC94" s="310" t="e">
        <f t="shared" ca="1" si="54"/>
        <v>#N/A</v>
      </c>
      <c r="AD94" s="323" t="e">
        <f t="shared" ca="1" si="55"/>
        <v>#N/A</v>
      </c>
      <c r="AE94" s="324">
        <f t="shared" ca="1" si="34"/>
        <v>32.216196294304531</v>
      </c>
      <c r="AG94" s="306">
        <f t="shared" ca="1" si="56"/>
        <v>76.511603144989081</v>
      </c>
      <c r="AH94" s="304">
        <f t="shared" ca="1" si="57"/>
        <v>86.133475427273879</v>
      </c>
    </row>
    <row r="95" spans="1:34" x14ac:dyDescent="0.2">
      <c r="A95" s="347">
        <f t="shared" ca="1" si="35"/>
        <v>0.01</v>
      </c>
      <c r="B95" s="304">
        <f t="shared" ca="1" si="36"/>
        <v>0.91000000000000059</v>
      </c>
      <c r="D95" s="306">
        <f t="shared" ca="1" si="37"/>
        <v>16.779874602428684</v>
      </c>
      <c r="E95" s="307">
        <f t="shared" ca="1" si="38"/>
        <v>74.517430839839193</v>
      </c>
      <c r="F95" s="304">
        <f t="shared" ca="1" si="39"/>
        <v>76.383320762084239</v>
      </c>
      <c r="G95" s="306">
        <f t="shared" ca="1" si="40"/>
        <v>14.389070087426131</v>
      </c>
      <c r="H95" s="307">
        <f t="shared" ca="1" si="41"/>
        <v>72.214318381922965</v>
      </c>
      <c r="I95" s="304">
        <f t="shared" ca="1" si="42"/>
        <v>73.633912821108439</v>
      </c>
      <c r="J95" s="306">
        <f t="shared" ca="1" si="43"/>
        <v>6.2345096590982809</v>
      </c>
      <c r="K95" s="307">
        <f t="shared" ca="1" si="44"/>
        <v>32.93461360658177</v>
      </c>
      <c r="L95" s="304">
        <f t="shared" ca="1" si="29"/>
        <v>33.519514974179309</v>
      </c>
      <c r="M95" s="306">
        <f t="shared" ca="1" si="45"/>
        <v>1.3741171346660757</v>
      </c>
      <c r="N95" s="304">
        <f t="shared" ca="1" si="46"/>
        <v>78.731112372975915</v>
      </c>
      <c r="P95" s="310">
        <f t="shared" ca="1" si="47"/>
        <v>3</v>
      </c>
      <c r="Q95" s="304">
        <f t="shared" ca="1" si="48"/>
        <v>750.20999999999992</v>
      </c>
      <c r="R95" s="306">
        <f t="shared" ca="1" si="49"/>
        <v>0.37649544542526359</v>
      </c>
      <c r="S95" s="307">
        <f t="shared" ca="1" si="50"/>
        <v>8.4796343809422012</v>
      </c>
      <c r="T95" s="304">
        <f t="shared" ca="1" si="30"/>
        <v>83.185213277043005</v>
      </c>
      <c r="U95" s="311">
        <f t="shared" ca="1" si="31"/>
        <v>0</v>
      </c>
      <c r="V95" s="306">
        <f t="shared" ca="1" si="32"/>
        <v>1.2209721426295015</v>
      </c>
      <c r="W95" s="304">
        <f t="shared" ca="1" si="33"/>
        <v>21.568652742632363</v>
      </c>
      <c r="Y95" s="314" t="str">
        <f t="shared" ca="1" si="51"/>
        <v/>
      </c>
      <c r="Z95" s="315" t="str">
        <f t="shared" ca="1" si="52"/>
        <v/>
      </c>
      <c r="AA95" s="316" t="str">
        <f t="shared" ca="1" si="53"/>
        <v/>
      </c>
      <c r="AC95" s="310" t="e">
        <f t="shared" ca="1" si="54"/>
        <v>#N/A</v>
      </c>
      <c r="AD95" s="323" t="e">
        <f t="shared" ca="1" si="55"/>
        <v>#N/A</v>
      </c>
      <c r="AE95" s="324">
        <f t="shared" ca="1" si="34"/>
        <v>32.93461360658177</v>
      </c>
      <c r="AG95" s="306">
        <f t="shared" ca="1" si="56"/>
        <v>76.359323967405913</v>
      </c>
      <c r="AH95" s="304">
        <f t="shared" ca="1" si="57"/>
        <v>85.980694250052977</v>
      </c>
    </row>
    <row r="96" spans="1:34" x14ac:dyDescent="0.2">
      <c r="A96" s="347">
        <f t="shared" ca="1" si="35"/>
        <v>0.01</v>
      </c>
      <c r="B96" s="304">
        <f t="shared" ca="1" si="36"/>
        <v>0.9200000000000006</v>
      </c>
      <c r="D96" s="306">
        <f t="shared" ca="1" si="37"/>
        <v>16.771820684257044</v>
      </c>
      <c r="E96" s="307">
        <f t="shared" ca="1" si="38"/>
        <v>74.36261097336893</v>
      </c>
      <c r="F96" s="304">
        <f t="shared" ca="1" si="39"/>
        <v>76.230518034718102</v>
      </c>
      <c r="G96" s="306">
        <f t="shared" ca="1" si="40"/>
        <v>14.556788294268701</v>
      </c>
      <c r="H96" s="307">
        <f t="shared" ca="1" si="41"/>
        <v>72.957944491656647</v>
      </c>
      <c r="I96" s="304">
        <f t="shared" ca="1" si="42"/>
        <v>74.395979393323472</v>
      </c>
      <c r="J96" s="306">
        <f t="shared" ca="1" si="43"/>
        <v>6.3792389510067551</v>
      </c>
      <c r="K96" s="307">
        <f t="shared" ca="1" si="44"/>
        <v>33.660474920949667</v>
      </c>
      <c r="L96" s="304">
        <f t="shared" ca="1" si="29"/>
        <v>34.259630200834387</v>
      </c>
      <c r="M96" s="306">
        <f t="shared" ca="1" si="45"/>
        <v>1.373859458413575</v>
      </c>
      <c r="N96" s="304">
        <f t="shared" ca="1" si="46"/>
        <v>78.716348611226891</v>
      </c>
      <c r="P96" s="310">
        <f t="shared" ca="1" si="47"/>
        <v>3</v>
      </c>
      <c r="Q96" s="304">
        <f t="shared" ca="1" si="48"/>
        <v>749.03</v>
      </c>
      <c r="R96" s="306">
        <f t="shared" ca="1" si="49"/>
        <v>0.37590325840349398</v>
      </c>
      <c r="S96" s="307">
        <f t="shared" ca="1" si="50"/>
        <v>8.4758753483581657</v>
      </c>
      <c r="T96" s="304">
        <f t="shared" ca="1" si="30"/>
        <v>83.148337167393606</v>
      </c>
      <c r="U96" s="311">
        <f t="shared" ca="1" si="31"/>
        <v>0</v>
      </c>
      <c r="V96" s="306">
        <f t="shared" ca="1" si="32"/>
        <v>1.2208835199558481</v>
      </c>
      <c r="W96" s="304">
        <f t="shared" ca="1" si="33"/>
        <v>22.015809942151378</v>
      </c>
      <c r="Y96" s="314" t="str">
        <f t="shared" ca="1" si="51"/>
        <v/>
      </c>
      <c r="Z96" s="315" t="str">
        <f t="shared" ca="1" si="52"/>
        <v/>
      </c>
      <c r="AA96" s="316" t="str">
        <f t="shared" ca="1" si="53"/>
        <v/>
      </c>
      <c r="AC96" s="310" t="e">
        <f t="shared" ca="1" si="54"/>
        <v>#N/A</v>
      </c>
      <c r="AD96" s="323" t="e">
        <f t="shared" ca="1" si="55"/>
        <v>#N/A</v>
      </c>
      <c r="AE96" s="324">
        <f t="shared" ca="1" si="34"/>
        <v>33.660474920949667</v>
      </c>
      <c r="AG96" s="306">
        <f t="shared" ca="1" si="56"/>
        <v>76.206410237822666</v>
      </c>
      <c r="AH96" s="304">
        <f t="shared" ca="1" si="57"/>
        <v>85.82728241730004</v>
      </c>
    </row>
    <row r="97" spans="1:34" x14ac:dyDescent="0.2">
      <c r="A97" s="347">
        <f t="shared" ca="1" si="35"/>
        <v>0.01</v>
      </c>
      <c r="B97" s="304">
        <f t="shared" ca="1" si="36"/>
        <v>0.9300000000000006</v>
      </c>
      <c r="D97" s="306">
        <f t="shared" ca="1" si="37"/>
        <v>16.763369148836993</v>
      </c>
      <c r="E97" s="307">
        <f t="shared" ca="1" si="38"/>
        <v>74.207224894005449</v>
      </c>
      <c r="F97" s="304">
        <f t="shared" ca="1" si="39"/>
        <v>76.077084405816194</v>
      </c>
      <c r="G97" s="306">
        <f t="shared" ca="1" si="40"/>
        <v>14.72442198575707</v>
      </c>
      <c r="H97" s="307">
        <f t="shared" ca="1" si="41"/>
        <v>73.700016740596695</v>
      </c>
      <c r="I97" s="304">
        <f t="shared" ca="1" si="42"/>
        <v>75.156510498950652</v>
      </c>
      <c r="J97" s="306">
        <f t="shared" ca="1" si="43"/>
        <v>6.5256450024068844</v>
      </c>
      <c r="K97" s="307">
        <f t="shared" ca="1" si="44"/>
        <v>34.393764727110934</v>
      </c>
      <c r="L97" s="304">
        <f t="shared" ca="1" si="29"/>
        <v>35.007357723788559</v>
      </c>
      <c r="M97" s="306">
        <f t="shared" ca="1" si="45"/>
        <v>1.3736040598179444</v>
      </c>
      <c r="N97" s="304">
        <f t="shared" ca="1" si="46"/>
        <v>78.701715349603688</v>
      </c>
      <c r="P97" s="310">
        <f t="shared" ca="1" si="47"/>
        <v>3</v>
      </c>
      <c r="Q97" s="304">
        <f t="shared" ca="1" si="48"/>
        <v>747.84999999999991</v>
      </c>
      <c r="R97" s="306">
        <f t="shared" ca="1" si="49"/>
        <v>0.37531107138172431</v>
      </c>
      <c r="S97" s="307">
        <f t="shared" ca="1" si="50"/>
        <v>8.4721222376443492</v>
      </c>
      <c r="T97" s="304">
        <f t="shared" ca="1" si="30"/>
        <v>83.111519151291077</v>
      </c>
      <c r="U97" s="311">
        <f t="shared" ca="1" si="31"/>
        <v>0</v>
      </c>
      <c r="V97" s="306">
        <f t="shared" ca="1" si="32"/>
        <v>1.2207939968350936</v>
      </c>
      <c r="W97" s="304">
        <f t="shared" ca="1" si="33"/>
        <v>22.466587186205043</v>
      </c>
      <c r="Y97" s="314" t="str">
        <f t="shared" ca="1" si="51"/>
        <v/>
      </c>
      <c r="Z97" s="315" t="str">
        <f t="shared" ca="1" si="52"/>
        <v/>
      </c>
      <c r="AA97" s="316" t="str">
        <f t="shared" ca="1" si="53"/>
        <v/>
      </c>
      <c r="AC97" s="310" t="e">
        <f t="shared" ca="1" si="54"/>
        <v>#N/A</v>
      </c>
      <c r="AD97" s="323" t="e">
        <f t="shared" ca="1" si="55"/>
        <v>#N/A</v>
      </c>
      <c r="AE97" s="324">
        <f t="shared" ca="1" si="34"/>
        <v>34.393764727110934</v>
      </c>
      <c r="AG97" s="306">
        <f t="shared" ca="1" si="56"/>
        <v>76.05286544561298</v>
      </c>
      <c r="AH97" s="304">
        <f t="shared" ca="1" si="57"/>
        <v>85.673243338337954</v>
      </c>
    </row>
    <row r="98" spans="1:34" x14ac:dyDescent="0.2">
      <c r="A98" s="347">
        <f t="shared" ca="1" si="35"/>
        <v>0.01</v>
      </c>
      <c r="B98" s="304">
        <f t="shared" ca="1" si="36"/>
        <v>0.94000000000000061</v>
      </c>
      <c r="D98" s="306">
        <f t="shared" ca="1" si="37"/>
        <v>16.754525425324843</v>
      </c>
      <c r="E98" s="307">
        <f t="shared" ca="1" si="38"/>
        <v>74.051275201269277</v>
      </c>
      <c r="F98" s="304">
        <f t="shared" ca="1" si="39"/>
        <v>75.923023393184067</v>
      </c>
      <c r="G98" s="306">
        <f t="shared" ca="1" si="40"/>
        <v>14.891967240010318</v>
      </c>
      <c r="H98" s="307">
        <f t="shared" ca="1" si="41"/>
        <v>74.440529492609386</v>
      </c>
      <c r="I98" s="304">
        <f t="shared" ca="1" si="42"/>
        <v>75.915499862792103</v>
      </c>
      <c r="J98" s="306">
        <f t="shared" ca="1" si="43"/>
        <v>6.6737269485357213</v>
      </c>
      <c r="K98" s="307">
        <f t="shared" ca="1" si="44"/>
        <v>35.134467458276966</v>
      </c>
      <c r="L98" s="304">
        <f t="shared" ca="1" si="29"/>
        <v>35.76268215557014</v>
      </c>
      <c r="M98" s="306">
        <f t="shared" ca="1" si="45"/>
        <v>1.3733508910059227</v>
      </c>
      <c r="N98" s="304">
        <f t="shared" ca="1" si="46"/>
        <v>78.6872098451705</v>
      </c>
      <c r="P98" s="310">
        <f t="shared" ca="1" si="47"/>
        <v>3</v>
      </c>
      <c r="Q98" s="304">
        <f t="shared" ca="1" si="48"/>
        <v>746.67</v>
      </c>
      <c r="R98" s="306">
        <f t="shared" ca="1" si="49"/>
        <v>0.37471888435995465</v>
      </c>
      <c r="S98" s="307">
        <f t="shared" ca="1" si="50"/>
        <v>8.4683750488007501</v>
      </c>
      <c r="T98" s="304">
        <f t="shared" ca="1" si="30"/>
        <v>83.07475922873536</v>
      </c>
      <c r="U98" s="311">
        <f t="shared" ca="1" si="31"/>
        <v>0</v>
      </c>
      <c r="V98" s="306">
        <f t="shared" ca="1" si="32"/>
        <v>1.2207035753659359</v>
      </c>
      <c r="W98" s="304">
        <f t="shared" ca="1" si="33"/>
        <v>22.920951043118759</v>
      </c>
      <c r="Y98" s="314" t="str">
        <f t="shared" ca="1" si="51"/>
        <v/>
      </c>
      <c r="Z98" s="315" t="str">
        <f t="shared" ca="1" si="52"/>
        <v/>
      </c>
      <c r="AA98" s="316" t="str">
        <f t="shared" ca="1" si="53"/>
        <v/>
      </c>
      <c r="AC98" s="310" t="e">
        <f t="shared" ca="1" si="54"/>
        <v>#N/A</v>
      </c>
      <c r="AD98" s="323" t="e">
        <f t="shared" ca="1" si="55"/>
        <v>#N/A</v>
      </c>
      <c r="AE98" s="324">
        <f t="shared" ca="1" si="34"/>
        <v>35.134467458276966</v>
      </c>
      <c r="AG98" s="306">
        <f t="shared" ca="1" si="56"/>
        <v>75.898693096046586</v>
      </c>
      <c r="AH98" s="304">
        <f t="shared" ca="1" si="57"/>
        <v>85.518580440807597</v>
      </c>
    </row>
    <row r="99" spans="1:34" x14ac:dyDescent="0.2">
      <c r="A99" s="347">
        <f t="shared" ca="1" si="35"/>
        <v>0.01</v>
      </c>
      <c r="B99" s="304">
        <f t="shared" ca="1" si="36"/>
        <v>0.95000000000000062</v>
      </c>
      <c r="D99" s="306">
        <f t="shared" ca="1" si="37"/>
        <v>16.745294798278405</v>
      </c>
      <c r="E99" s="307">
        <f t="shared" ca="1" si="38"/>
        <v>73.894764535381682</v>
      </c>
      <c r="F99" s="304">
        <f t="shared" ca="1" si="39"/>
        <v>75.768338530158843</v>
      </c>
      <c r="G99" s="306">
        <f t="shared" ca="1" si="40"/>
        <v>15.059420187993103</v>
      </c>
      <c r="H99" s="307">
        <f t="shared" ca="1" si="41"/>
        <v>75.179477137963204</v>
      </c>
      <c r="I99" s="304">
        <f t="shared" ca="1" si="42"/>
        <v>76.672941244849</v>
      </c>
      <c r="J99" s="306">
        <f t="shared" ca="1" si="43"/>
        <v>6.8234838856757385</v>
      </c>
      <c r="K99" s="307">
        <f t="shared" ca="1" si="44"/>
        <v>35.882567491429832</v>
      </c>
      <c r="L99" s="304">
        <f t="shared" ca="1" si="29"/>
        <v>36.52558804612314</v>
      </c>
      <c r="M99" s="306">
        <f t="shared" ca="1" si="45"/>
        <v>1.3730999055795532</v>
      </c>
      <c r="N99" s="304">
        <f t="shared" ca="1" si="46"/>
        <v>78.672829439520243</v>
      </c>
      <c r="P99" s="310">
        <f t="shared" ca="1" si="47"/>
        <v>3</v>
      </c>
      <c r="Q99" s="304">
        <f t="shared" ca="1" si="48"/>
        <v>745.4899999999999</v>
      </c>
      <c r="R99" s="306">
        <f t="shared" ca="1" si="49"/>
        <v>0.37412669733818499</v>
      </c>
      <c r="S99" s="307">
        <f t="shared" ca="1" si="50"/>
        <v>8.4646337818273683</v>
      </c>
      <c r="T99" s="304">
        <f t="shared" ca="1" si="30"/>
        <v>83.038057399726483</v>
      </c>
      <c r="U99" s="311">
        <f t="shared" ca="1" si="31"/>
        <v>0</v>
      </c>
      <c r="V99" s="306">
        <f t="shared" ca="1" si="32"/>
        <v>1.2206122576553409</v>
      </c>
      <c r="W99" s="304">
        <f t="shared" ca="1" si="33"/>
        <v>23.37886800412933</v>
      </c>
      <c r="Y99" s="314" t="str">
        <f t="shared" ca="1" si="51"/>
        <v/>
      </c>
      <c r="Z99" s="315" t="str">
        <f t="shared" ca="1" si="52"/>
        <v/>
      </c>
      <c r="AA99" s="316" t="str">
        <f t="shared" ca="1" si="53"/>
        <v/>
      </c>
      <c r="AC99" s="310" t="e">
        <f t="shared" ca="1" si="54"/>
        <v>#N/A</v>
      </c>
      <c r="AD99" s="323" t="e">
        <f t="shared" ca="1" si="55"/>
        <v>#N/A</v>
      </c>
      <c r="AE99" s="324">
        <f t="shared" ca="1" si="34"/>
        <v>35.882567491429832</v>
      </c>
      <c r="AG99" s="306">
        <f t="shared" ca="1" si="56"/>
        <v>75.743896710137506</v>
      </c>
      <c r="AH99" s="304">
        <f t="shared" ca="1" si="57"/>
        <v>85.363297170417098</v>
      </c>
    </row>
    <row r="100" spans="1:34" x14ac:dyDescent="0.2">
      <c r="A100" s="347">
        <f t="shared" ca="1" si="35"/>
        <v>0.01</v>
      </c>
      <c r="B100" s="304">
        <f t="shared" ca="1" si="36"/>
        <v>0.96000000000000063</v>
      </c>
      <c r="D100" s="306">
        <f t="shared" ca="1" si="37"/>
        <v>16.735682413828762</v>
      </c>
      <c r="E100" s="307">
        <f t="shared" ca="1" si="38"/>
        <v>73.73769557607541</v>
      </c>
      <c r="F100" s="304">
        <f t="shared" ca="1" si="39"/>
        <v>75.613033365462258</v>
      </c>
      <c r="G100" s="306">
        <f t="shared" ca="1" si="40"/>
        <v>15.226777012131391</v>
      </c>
      <c r="H100" s="307">
        <f t="shared" ca="1" si="41"/>
        <v>75.916854093723956</v>
      </c>
      <c r="I100" s="304">
        <f t="shared" ca="1" si="42"/>
        <v>77.428828440477815</v>
      </c>
      <c r="J100" s="306">
        <f t="shared" ca="1" si="43"/>
        <v>6.9749148716763614</v>
      </c>
      <c r="K100" s="307">
        <f t="shared" ca="1" si="44"/>
        <v>36.638049147588269</v>
      </c>
      <c r="L100" s="304">
        <f t="shared" ca="1" si="29"/>
        <v>37.296059883159579</v>
      </c>
      <c r="M100" s="306">
        <f t="shared" ca="1" si="45"/>
        <v>1.3728510585555038</v>
      </c>
      <c r="N100" s="304">
        <f t="shared" ca="1" si="46"/>
        <v>78.658571555297812</v>
      </c>
      <c r="P100" s="310">
        <f t="shared" ca="1" si="47"/>
        <v>3</v>
      </c>
      <c r="Q100" s="304">
        <f t="shared" ca="1" si="48"/>
        <v>744.31</v>
      </c>
      <c r="R100" s="306">
        <f t="shared" ca="1" si="49"/>
        <v>0.37353451031641538</v>
      </c>
      <c r="S100" s="307">
        <f t="shared" ca="1" si="50"/>
        <v>8.4608984367242037</v>
      </c>
      <c r="T100" s="304">
        <f t="shared" ca="1" si="30"/>
        <v>83.001413664264447</v>
      </c>
      <c r="U100" s="311">
        <f t="shared" ca="1" si="31"/>
        <v>0</v>
      </c>
      <c r="V100" s="306">
        <f t="shared" ca="1" si="32"/>
        <v>1.2205200458184946</v>
      </c>
      <c r="W100" s="304">
        <f t="shared" ca="1" si="33"/>
        <v>23.84030448564824</v>
      </c>
      <c r="Y100" s="314" t="str">
        <f t="shared" ca="1" si="51"/>
        <v/>
      </c>
      <c r="Z100" s="315" t="str">
        <f t="shared" ca="1" si="52"/>
        <v/>
      </c>
      <c r="AA100" s="316" t="str">
        <f t="shared" ca="1" si="53"/>
        <v/>
      </c>
      <c r="AC100" s="310" t="e">
        <f t="shared" ca="1" si="54"/>
        <v>#N/A</v>
      </c>
      <c r="AD100" s="323" t="e">
        <f t="shared" ca="1" si="55"/>
        <v>#N/A</v>
      </c>
      <c r="AE100" s="324">
        <f t="shared" ca="1" si="34"/>
        <v>36.638049147588269</v>
      </c>
      <c r="AG100" s="306">
        <f t="shared" ca="1" si="56"/>
        <v>75.588479824486484</v>
      </c>
      <c r="AH100" s="304">
        <f t="shared" ca="1" si="57"/>
        <v>85.207396990690356</v>
      </c>
    </row>
    <row r="101" spans="1:34" x14ac:dyDescent="0.2">
      <c r="A101" s="347">
        <f t="shared" ca="1" si="35"/>
        <v>0.01</v>
      </c>
      <c r="B101" s="304">
        <f t="shared" ca="1" si="36"/>
        <v>0.97000000000000064</v>
      </c>
      <c r="D101" s="306">
        <f t="shared" ca="1" si="37"/>
        <v>16.725693285530394</v>
      </c>
      <c r="E101" s="307">
        <f t="shared" ca="1" si="38"/>
        <v>73.580071041452328</v>
      </c>
      <c r="F101" s="304">
        <f t="shared" ca="1" si="39"/>
        <v>75.457111463047724</v>
      </c>
      <c r="G101" s="306">
        <f t="shared" ca="1" si="40"/>
        <v>15.394033944986695</v>
      </c>
      <c r="H101" s="307">
        <f t="shared" ca="1" si="41"/>
        <v>76.652654804138479</v>
      </c>
      <c r="I101" s="304">
        <f t="shared" ca="1" si="42"/>
        <v>78.183155280545023</v>
      </c>
      <c r="J101" s="306">
        <f t="shared" ca="1" si="43"/>
        <v>7.1280189264619516</v>
      </c>
      <c r="K101" s="307">
        <f t="shared" ca="1" si="44"/>
        <v>37.40089669207758</v>
      </c>
      <c r="L101" s="304">
        <f t="shared" ca="1" si="29"/>
        <v>38.074082092513528</v>
      </c>
      <c r="M101" s="306">
        <f t="shared" ca="1" si="45"/>
        <v>1.3726043063074904</v>
      </c>
      <c r="N101" s="304">
        <f t="shared" ca="1" si="46"/>
        <v>78.644433692901288</v>
      </c>
      <c r="P101" s="310">
        <f t="shared" ca="1" si="47"/>
        <v>3</v>
      </c>
      <c r="Q101" s="304">
        <f t="shared" ca="1" si="48"/>
        <v>743.12999999999988</v>
      </c>
      <c r="R101" s="306">
        <f t="shared" ca="1" si="49"/>
        <v>0.37294232329464566</v>
      </c>
      <c r="S101" s="307">
        <f t="shared" ca="1" si="50"/>
        <v>8.4571690134912565</v>
      </c>
      <c r="T101" s="304">
        <f t="shared" ca="1" si="30"/>
        <v>82.964828022349224</v>
      </c>
      <c r="U101" s="311">
        <f t="shared" ca="1" si="31"/>
        <v>0</v>
      </c>
      <c r="V101" s="306">
        <f t="shared" ca="1" si="32"/>
        <v>1.2204269419787515</v>
      </c>
      <c r="W101" s="304">
        <f t="shared" ca="1" si="33"/>
        <v>24.305226831525147</v>
      </c>
      <c r="Y101" s="314" t="str">
        <f t="shared" ca="1" si="51"/>
        <v/>
      </c>
      <c r="Z101" s="315" t="str">
        <f t="shared" ca="1" si="52"/>
        <v/>
      </c>
      <c r="AA101" s="316" t="str">
        <f t="shared" ca="1" si="53"/>
        <v/>
      </c>
      <c r="AC101" s="310" t="e">
        <f t="shared" ca="1" si="54"/>
        <v>#N/A</v>
      </c>
      <c r="AD101" s="323" t="e">
        <f t="shared" ca="1" si="55"/>
        <v>#N/A</v>
      </c>
      <c r="AE101" s="324">
        <f t="shared" ca="1" si="34"/>
        <v>37.40089669207758</v>
      </c>
      <c r="AG101" s="306">
        <f t="shared" ca="1" si="56"/>
        <v>75.432445991117632</v>
      </c>
      <c r="AH101" s="304">
        <f t="shared" ca="1" si="57"/>
        <v>85.050883382714517</v>
      </c>
    </row>
    <row r="102" spans="1:34" x14ac:dyDescent="0.2">
      <c r="A102" s="347">
        <f t="shared" ca="1" si="35"/>
        <v>0.01</v>
      </c>
      <c r="B102" s="304">
        <f t="shared" ca="1" si="36"/>
        <v>0.98000000000000065</v>
      </c>
      <c r="D102" s="306">
        <f t="shared" ca="1" si="37"/>
        <v>16.715332299909509</v>
      </c>
      <c r="E102" s="307">
        <f t="shared" ca="1" si="38"/>
        <v>73.421893686884857</v>
      </c>
      <c r="F102" s="304">
        <f t="shared" ca="1" si="39"/>
        <v>75.300576401941441</v>
      </c>
      <c r="G102" s="306">
        <f t="shared" ca="1" si="40"/>
        <v>15.56118726798579</v>
      </c>
      <c r="H102" s="307">
        <f t="shared" ca="1" si="41"/>
        <v>77.386873741007321</v>
      </c>
      <c r="I102" s="304">
        <f t="shared" ca="1" si="42"/>
        <v>78.935915631580102</v>
      </c>
      <c r="J102" s="306">
        <f t="shared" ca="1" si="43"/>
        <v>7.2827950325268143</v>
      </c>
      <c r="K102" s="307">
        <f t="shared" ca="1" si="44"/>
        <v>38.171094334803307</v>
      </c>
      <c r="L102" s="304">
        <f t="shared" ca="1" si="29"/>
        <v>38.859639038496617</v>
      </c>
      <c r="M102" s="306">
        <f t="shared" ca="1" si="45"/>
        <v>1.3723596065116164</v>
      </c>
      <c r="N102" s="304">
        <f t="shared" ca="1" si="46"/>
        <v>78.630413427349993</v>
      </c>
      <c r="P102" s="310">
        <f t="shared" ca="1" si="47"/>
        <v>3</v>
      </c>
      <c r="Q102" s="304">
        <f t="shared" ca="1" si="48"/>
        <v>741.94999999999993</v>
      </c>
      <c r="R102" s="306">
        <f t="shared" ca="1" si="49"/>
        <v>0.37235013627287605</v>
      </c>
      <c r="S102" s="307">
        <f t="shared" ca="1" si="50"/>
        <v>8.4534455121285283</v>
      </c>
      <c r="T102" s="304">
        <f t="shared" ca="1" si="30"/>
        <v>82.928300473980869</v>
      </c>
      <c r="U102" s="311">
        <f t="shared" ca="1" si="31"/>
        <v>0</v>
      </c>
      <c r="V102" s="306">
        <f t="shared" ca="1" si="32"/>
        <v>1.2203329482675838</v>
      </c>
      <c r="W102" s="304">
        <f t="shared" ca="1" si="33"/>
        <v>24.773601315311485</v>
      </c>
      <c r="Y102" s="314" t="str">
        <f t="shared" ca="1" si="51"/>
        <v/>
      </c>
      <c r="Z102" s="315" t="str">
        <f t="shared" ca="1" si="52"/>
        <v/>
      </c>
      <c r="AA102" s="316" t="str">
        <f t="shared" ca="1" si="53"/>
        <v/>
      </c>
      <c r="AC102" s="310" t="e">
        <f t="shared" ca="1" si="54"/>
        <v>#N/A</v>
      </c>
      <c r="AD102" s="323" t="e">
        <f t="shared" ca="1" si="55"/>
        <v>#N/A</v>
      </c>
      <c r="AE102" s="324">
        <f t="shared" ca="1" si="34"/>
        <v>38.171094334803307</v>
      </c>
      <c r="AG102" s="306">
        <f t="shared" ca="1" si="56"/>
        <v>75.275798777309873</v>
      </c>
      <c r="AH102" s="304">
        <f t="shared" ca="1" si="57"/>
        <v>84.893759844886731</v>
      </c>
    </row>
    <row r="103" spans="1:34" x14ac:dyDescent="0.2">
      <c r="A103" s="347">
        <f t="shared" ca="1" si="35"/>
        <v>0.01</v>
      </c>
      <c r="B103" s="304">
        <f t="shared" ca="1" si="36"/>
        <v>0.99000000000000066</v>
      </c>
      <c r="D103" s="306">
        <f t="shared" ca="1" si="37"/>
        <v>16.704604221728808</v>
      </c>
      <c r="E103" s="307">
        <f t="shared" ca="1" si="38"/>
        <v>73.263166303958485</v>
      </c>
      <c r="F103" s="304">
        <f t="shared" ca="1" si="39"/>
        <v>75.143431776077932</v>
      </c>
      <c r="G103" s="306">
        <f t="shared" ca="1" si="40"/>
        <v>15.728233310203079</v>
      </c>
      <c r="H103" s="307">
        <f t="shared" ca="1" si="41"/>
        <v>78.119505404046905</v>
      </c>
      <c r="I103" s="304">
        <f t="shared" ca="1" si="42"/>
        <v>79.687103395926599</v>
      </c>
      <c r="J103" s="306">
        <f t="shared" ca="1" si="43"/>
        <v>7.4392421354177589</v>
      </c>
      <c r="K103" s="307">
        <f t="shared" ca="1" si="44"/>
        <v>38.948626230528575</v>
      </c>
      <c r="L103" s="304">
        <f t="shared" ca="1" si="29"/>
        <v>39.652715024255194</v>
      </c>
      <c r="M103" s="306">
        <f t="shared" ca="1" si="45"/>
        <v>1.3721169180944488</v>
      </c>
      <c r="N103" s="304">
        <f t="shared" ca="1" si="46"/>
        <v>78.616508405309574</v>
      </c>
      <c r="P103" s="310">
        <f t="shared" ca="1" si="47"/>
        <v>3</v>
      </c>
      <c r="Q103" s="304">
        <f t="shared" ca="1" si="48"/>
        <v>740.77</v>
      </c>
      <c r="R103" s="306">
        <f t="shared" ca="1" si="49"/>
        <v>0.37175794925110639</v>
      </c>
      <c r="S103" s="307">
        <f t="shared" ca="1" si="50"/>
        <v>8.4497279326360175</v>
      </c>
      <c r="T103" s="304">
        <f t="shared" ca="1" si="30"/>
        <v>82.891831019159341</v>
      </c>
      <c r="U103" s="311">
        <f t="shared" ca="1" si="31"/>
        <v>0</v>
      </c>
      <c r="V103" s="306">
        <f t="shared" ca="1" si="32"/>
        <v>1.2202380668245296</v>
      </c>
      <c r="W103" s="304">
        <f t="shared" ca="1" si="33"/>
        <v>25.245394142523654</v>
      </c>
      <c r="Y103" s="314" t="str">
        <f t="shared" ca="1" si="51"/>
        <v/>
      </c>
      <c r="Z103" s="315" t="str">
        <f t="shared" ca="1" si="52"/>
        <v/>
      </c>
      <c r="AA103" s="316" t="str">
        <f t="shared" ca="1" si="53"/>
        <v/>
      </c>
      <c r="AC103" s="310" t="e">
        <f t="shared" ca="1" si="54"/>
        <v>#N/A</v>
      </c>
      <c r="AD103" s="323" t="e">
        <f t="shared" ca="1" si="55"/>
        <v>#N/A</v>
      </c>
      <c r="AE103" s="324">
        <f t="shared" ca="1" si="34"/>
        <v>38.948626230528575</v>
      </c>
      <c r="AG103" s="306">
        <f t="shared" ca="1" si="56"/>
        <v>75.118541765423132</v>
      </c>
      <c r="AH103" s="304">
        <f t="shared" ca="1" si="57"/>
        <v>84.736029892659857</v>
      </c>
    </row>
    <row r="104" spans="1:34" x14ac:dyDescent="0.2">
      <c r="A104" s="347">
        <f t="shared" ca="1" si="35"/>
        <v>0.01</v>
      </c>
      <c r="B104" s="304">
        <f t="shared" ca="1" si="36"/>
        <v>1.0000000000000007</v>
      </c>
      <c r="D104" s="306">
        <f t="shared" ca="1" si="37"/>
        <v>16.693513698986091</v>
      </c>
      <c r="E104" s="307">
        <f t="shared" ca="1" si="38"/>
        <v>73.103891719453202</v>
      </c>
      <c r="F104" s="304">
        <f t="shared" ca="1" si="39"/>
        <v>74.985681194130493</v>
      </c>
      <c r="G104" s="306">
        <f t="shared" ca="1" si="40"/>
        <v>15.89516844719294</v>
      </c>
      <c r="H104" s="307">
        <f t="shared" ca="1" si="41"/>
        <v>78.850544321241443</v>
      </c>
      <c r="I104" s="304">
        <f t="shared" ca="1" si="42"/>
        <v>80.436712511891614</v>
      </c>
      <c r="J104" s="306">
        <f t="shared" ca="1" si="43"/>
        <v>7.5973591442047388</v>
      </c>
      <c r="K104" s="307">
        <f t="shared" ca="1" si="44"/>
        <v>39.733476479155016</v>
      </c>
      <c r="L104" s="304">
        <f t="shared" ca="1" si="29"/>
        <v>40.453294292128994</v>
      </c>
      <c r="M104" s="306">
        <f t="shared" ca="1" si="45"/>
        <v>1.3718762011836716</v>
      </c>
      <c r="N104" s="304">
        <f t="shared" ca="1" si="46"/>
        <v>78.602716342264614</v>
      </c>
      <c r="P104" s="310">
        <f t="shared" ca="1" si="47"/>
        <v>3</v>
      </c>
      <c r="Q104" s="304">
        <f t="shared" ca="1" si="48"/>
        <v>739.58999999999992</v>
      </c>
      <c r="R104" s="306">
        <f t="shared" ca="1" si="49"/>
        <v>0.37116576222933673</v>
      </c>
      <c r="S104" s="307">
        <f t="shared" ca="1" si="50"/>
        <v>8.446016275013724</v>
      </c>
      <c r="T104" s="304">
        <f t="shared" ca="1" si="30"/>
        <v>82.855419657884639</v>
      </c>
      <c r="U104" s="311">
        <f t="shared" ca="1" si="31"/>
        <v>0</v>
      </c>
      <c r="V104" s="306">
        <f t="shared" ca="1" si="32"/>
        <v>1.2201422997971412</v>
      </c>
      <c r="W104" s="304">
        <f t="shared" ca="1" si="33"/>
        <v>25.720571452905805</v>
      </c>
      <c r="Y104" s="314" t="str">
        <f t="shared" ca="1" si="51"/>
        <v/>
      </c>
      <c r="Z104" s="315" t="str">
        <f t="shared" ca="1" si="52"/>
        <v/>
      </c>
      <c r="AA104" s="316" t="str">
        <f t="shared" ca="1" si="53"/>
        <v/>
      </c>
      <c r="AC104" s="310">
        <f t="shared" ca="1" si="54"/>
        <v>1.0000000000000007</v>
      </c>
      <c r="AD104" s="323">
        <f t="shared" ca="1" si="55"/>
        <v>7.5973591442047388</v>
      </c>
      <c r="AE104" s="324">
        <f t="shared" ca="1" si="34"/>
        <v>39.733476479155016</v>
      </c>
      <c r="AG104" s="306">
        <f t="shared" ca="1" si="56"/>
        <v>74.960678552719912</v>
      </c>
      <c r="AH104" s="304">
        <f t="shared" ca="1" si="57"/>
        <v>84.577697058287455</v>
      </c>
    </row>
    <row r="105" spans="1:34" x14ac:dyDescent="0.2">
      <c r="A105" s="347">
        <f t="shared" ca="1" si="35"/>
        <v>0.01</v>
      </c>
      <c r="B105" s="304">
        <f t="shared" ca="1" si="36"/>
        <v>1.0100000000000007</v>
      </c>
      <c r="D105" s="306">
        <f t="shared" ca="1" si="37"/>
        <v>16.677147673401819</v>
      </c>
      <c r="E105" s="307">
        <f t="shared" ca="1" si="38"/>
        <v>72.919678275645225</v>
      </c>
      <c r="F105" s="304">
        <f t="shared" ca="1" si="39"/>
        <v>74.802451392611843</v>
      </c>
      <c r="G105" s="306">
        <f t="shared" ca="1" si="40"/>
        <v>16.061939923926957</v>
      </c>
      <c r="H105" s="307">
        <f t="shared" ca="1" si="41"/>
        <v>79.57974110399789</v>
      </c>
      <c r="I105" s="304">
        <f t="shared" ca="1" si="42"/>
        <v>81.184488101478905</v>
      </c>
      <c r="J105" s="306">
        <f t="shared" ca="1" si="43"/>
        <v>7.7571446860603386</v>
      </c>
      <c r="K105" s="307">
        <f t="shared" ca="1" si="44"/>
        <v>40.525627906281215</v>
      </c>
      <c r="L105" s="304">
        <f t="shared" ca="1" si="29"/>
        <v>41.261359779808913</v>
      </c>
      <c r="M105" s="306">
        <f t="shared" ca="1" si="45"/>
        <v>1.3716374163292224</v>
      </c>
      <c r="N105" s="304">
        <f t="shared" ca="1" si="46"/>
        <v>78.589034977893036</v>
      </c>
      <c r="P105" s="310">
        <f t="shared" ca="1" si="47"/>
        <v>4</v>
      </c>
      <c r="Q105" s="304">
        <f t="shared" ca="1" si="48"/>
        <v>738.19999999999982</v>
      </c>
      <c r="R105" s="306">
        <f t="shared" ca="1" si="49"/>
        <v>0.37046818599182835</v>
      </c>
      <c r="S105" s="307">
        <f t="shared" ca="1" si="50"/>
        <v>8.4423115931538053</v>
      </c>
      <c r="T105" s="304">
        <f t="shared" ca="1" si="30"/>
        <v>82.819076728838837</v>
      </c>
      <c r="U105" s="311">
        <f t="shared" ca="1" si="31"/>
        <v>0</v>
      </c>
      <c r="V105" s="306">
        <f t="shared" ca="1" si="32"/>
        <v>1.2200456494897454</v>
      </c>
      <c r="W105" s="304">
        <f t="shared" ca="1" si="33"/>
        <v>26.198938711974733</v>
      </c>
      <c r="Y105" s="314" t="str">
        <f t="shared" ca="1" si="51"/>
        <v/>
      </c>
      <c r="Z105" s="315" t="str">
        <f t="shared" ca="1" si="52"/>
        <v/>
      </c>
      <c r="AA105" s="316" t="str">
        <f t="shared" ca="1" si="53"/>
        <v/>
      </c>
      <c r="AC105" s="310" t="e">
        <f t="shared" ca="1" si="54"/>
        <v>#N/A</v>
      </c>
      <c r="AD105" s="323" t="e">
        <f t="shared" ca="1" si="55"/>
        <v>#N/A</v>
      </c>
      <c r="AE105" s="324">
        <f t="shared" ca="1" si="34"/>
        <v>40.525627906281215</v>
      </c>
      <c r="AG105" s="306">
        <f t="shared" ca="1" si="56"/>
        <v>74.777327509035658</v>
      </c>
      <c r="AH105" s="304">
        <f t="shared" ca="1" si="57"/>
        <v>84.39387964842129</v>
      </c>
    </row>
    <row r="106" spans="1:34" x14ac:dyDescent="0.2">
      <c r="A106" s="347">
        <f t="shared" ca="1" si="35"/>
        <v>0.01</v>
      </c>
      <c r="B106" s="304">
        <f t="shared" ca="1" si="36"/>
        <v>1.0200000000000007</v>
      </c>
      <c r="D106" s="306">
        <f t="shared" ca="1" si="37"/>
        <v>16.655488384323295</v>
      </c>
      <c r="E106" s="307">
        <f t="shared" ca="1" si="38"/>
        <v>72.710508722027214</v>
      </c>
      <c r="F106" s="304">
        <f t="shared" ca="1" si="39"/>
        <v>74.5937220678545</v>
      </c>
      <c r="G106" s="306">
        <f t="shared" ca="1" si="40"/>
        <v>16.22849480777019</v>
      </c>
      <c r="H106" s="307">
        <f t="shared" ca="1" si="41"/>
        <v>80.306846191218156</v>
      </c>
      <c r="I106" s="304">
        <f t="shared" ca="1" si="42"/>
        <v>81.930175081625407</v>
      </c>
      <c r="J106" s="306">
        <f t="shared" ca="1" si="43"/>
        <v>7.9185968597188241</v>
      </c>
      <c r="K106" s="307">
        <f t="shared" ca="1" si="44"/>
        <v>41.325060842757296</v>
      </c>
      <c r="L106" s="304">
        <f t="shared" ca="1" si="29"/>
        <v>42.076891875284005</v>
      </c>
      <c r="M106" s="306">
        <f t="shared" ca="1" si="45"/>
        <v>1.3714005245067658</v>
      </c>
      <c r="N106" s="304">
        <f t="shared" ca="1" si="46"/>
        <v>78.575462076265097</v>
      </c>
      <c r="P106" s="310">
        <f t="shared" ca="1" si="47"/>
        <v>4</v>
      </c>
      <c r="Q106" s="304">
        <f t="shared" ca="1" si="48"/>
        <v>736.59999999999991</v>
      </c>
      <c r="R106" s="306">
        <f t="shared" ca="1" si="49"/>
        <v>0.36966522053858142</v>
      </c>
      <c r="S106" s="307">
        <f t="shared" ca="1" si="50"/>
        <v>8.438614940948419</v>
      </c>
      <c r="T106" s="304">
        <f t="shared" ca="1" si="30"/>
        <v>82.782812570703996</v>
      </c>
      <c r="U106" s="311">
        <f t="shared" ca="1" si="31"/>
        <v>0</v>
      </c>
      <c r="V106" s="306">
        <f t="shared" ca="1" si="32"/>
        <v>1.2199481185122547</v>
      </c>
      <c r="W106" s="304">
        <f t="shared" ca="1" si="33"/>
        <v>26.680295321441257</v>
      </c>
      <c r="Y106" s="314" t="str">
        <f t="shared" ca="1" si="51"/>
        <v/>
      </c>
      <c r="Z106" s="315" t="str">
        <f t="shared" ca="1" si="52"/>
        <v/>
      </c>
      <c r="AA106" s="316" t="str">
        <f t="shared" ca="1" si="53"/>
        <v/>
      </c>
      <c r="AC106" s="310" t="e">
        <f t="shared" ca="1" si="54"/>
        <v>#N/A</v>
      </c>
      <c r="AD106" s="323" t="e">
        <f t="shared" ca="1" si="55"/>
        <v>#N/A</v>
      </c>
      <c r="AE106" s="324">
        <f t="shared" ca="1" si="34"/>
        <v>41.325060842757296</v>
      </c>
      <c r="AG106" s="306">
        <f t="shared" ca="1" si="56"/>
        <v>74.56846812785767</v>
      </c>
      <c r="AH106" s="304">
        <f t="shared" ca="1" si="57"/>
        <v>84.184557093700377</v>
      </c>
    </row>
    <row r="107" spans="1:34" x14ac:dyDescent="0.2">
      <c r="A107" s="347">
        <f t="shared" ca="1" si="35"/>
        <v>0.01</v>
      </c>
      <c r="B107" s="304">
        <f t="shared" ca="1" si="36"/>
        <v>1.0300000000000007</v>
      </c>
      <c r="D107" s="306">
        <f t="shared" ca="1" si="37"/>
        <v>16.633451962288714</v>
      </c>
      <c r="E107" s="307">
        <f t="shared" ca="1" si="38"/>
        <v>72.500780154729128</v>
      </c>
      <c r="F107" s="304">
        <f t="shared" ca="1" si="39"/>
        <v>74.384372332003522</v>
      </c>
      <c r="G107" s="306">
        <f t="shared" ca="1" si="40"/>
        <v>16.394829327393076</v>
      </c>
      <c r="H107" s="307">
        <f t="shared" ca="1" si="41"/>
        <v>81.031853992765448</v>
      </c>
      <c r="I107" s="304">
        <f t="shared" ca="1" si="42"/>
        <v>82.673767243178204</v>
      </c>
      <c r="J107" s="306">
        <f t="shared" ca="1" si="43"/>
        <v>8.0817134803946402</v>
      </c>
      <c r="K107" s="307">
        <f t="shared" ca="1" si="44"/>
        <v>42.131754343677216</v>
      </c>
      <c r="L107" s="304">
        <f t="shared" ca="1" si="29"/>
        <v>42.899869660118505</v>
      </c>
      <c r="M107" s="306">
        <f t="shared" ca="1" si="45"/>
        <v>1.3711654878280439</v>
      </c>
      <c r="N107" s="304">
        <f t="shared" ca="1" si="46"/>
        <v>78.561995466543564</v>
      </c>
      <c r="P107" s="310">
        <f t="shared" ca="1" si="47"/>
        <v>4</v>
      </c>
      <c r="Q107" s="304">
        <f t="shared" ca="1" si="48"/>
        <v>734.99999999999989</v>
      </c>
      <c r="R107" s="306">
        <f t="shared" ca="1" si="49"/>
        <v>0.36886225508533443</v>
      </c>
      <c r="S107" s="307">
        <f t="shared" ca="1" si="50"/>
        <v>8.4349263183975651</v>
      </c>
      <c r="T107" s="304">
        <f t="shared" ca="1" si="30"/>
        <v>82.746627183480115</v>
      </c>
      <c r="U107" s="311">
        <f t="shared" ca="1" si="31"/>
        <v>0</v>
      </c>
      <c r="V107" s="306">
        <f t="shared" ca="1" si="32"/>
        <v>1.2198497096313301</v>
      </c>
      <c r="W107" s="304">
        <f t="shared" ca="1" si="33"/>
        <v>27.164598336493658</v>
      </c>
      <c r="Y107" s="314" t="str">
        <f t="shared" ca="1" si="51"/>
        <v/>
      </c>
      <c r="Z107" s="315" t="str">
        <f t="shared" ca="1" si="52"/>
        <v/>
      </c>
      <c r="AA107" s="316" t="str">
        <f t="shared" ca="1" si="53"/>
        <v/>
      </c>
      <c r="AC107" s="310" t="e">
        <f t="shared" ca="1" si="54"/>
        <v>#N/A</v>
      </c>
      <c r="AD107" s="323" t="e">
        <f t="shared" ca="1" si="55"/>
        <v>#N/A</v>
      </c>
      <c r="AE107" s="324">
        <f t="shared" ca="1" si="34"/>
        <v>42.131754343677216</v>
      </c>
      <c r="AG107" s="306">
        <f t="shared" ca="1" si="56"/>
        <v>74.358987801074107</v>
      </c>
      <c r="AH107" s="304">
        <f t="shared" ca="1" si="57"/>
        <v>83.974616723518992</v>
      </c>
    </row>
    <row r="108" spans="1:34" x14ac:dyDescent="0.2">
      <c r="A108" s="347">
        <f t="shared" ca="1" si="35"/>
        <v>0.01</v>
      </c>
      <c r="B108" s="304">
        <f t="shared" ca="1" si="36"/>
        <v>1.0400000000000007</v>
      </c>
      <c r="D108" s="306">
        <f t="shared" ca="1" si="37"/>
        <v>16.611043252767843</v>
      </c>
      <c r="E108" s="307">
        <f t="shared" ca="1" si="38"/>
        <v>72.290496726538677</v>
      </c>
      <c r="F108" s="304">
        <f t="shared" ca="1" si="39"/>
        <v>74.174407142322508</v>
      </c>
      <c r="G108" s="306">
        <f t="shared" ca="1" si="40"/>
        <v>16.560939759920753</v>
      </c>
      <c r="H108" s="307">
        <f t="shared" ca="1" si="41"/>
        <v>81.754758960030841</v>
      </c>
      <c r="I108" s="304">
        <f t="shared" ca="1" si="42"/>
        <v>83.415258426408215</v>
      </c>
      <c r="J108" s="306">
        <f t="shared" ca="1" si="43"/>
        <v>8.2464923258312091</v>
      </c>
      <c r="K108" s="307">
        <f t="shared" ca="1" si="44"/>
        <v>42.945687408441195</v>
      </c>
      <c r="L108" s="304">
        <f t="shared" ca="1" si="29"/>
        <v>43.730272154007203</v>
      </c>
      <c r="M108" s="306">
        <f t="shared" ca="1" si="45"/>
        <v>1.3709322694966184</v>
      </c>
      <c r="N108" s="304">
        <f t="shared" ca="1" si="46"/>
        <v>78.548633040447797</v>
      </c>
      <c r="P108" s="310">
        <f t="shared" ca="1" si="47"/>
        <v>4</v>
      </c>
      <c r="Q108" s="304">
        <f t="shared" ca="1" si="48"/>
        <v>733.39999999999986</v>
      </c>
      <c r="R108" s="306">
        <f t="shared" ca="1" si="49"/>
        <v>0.36805928963208739</v>
      </c>
      <c r="S108" s="307">
        <f t="shared" ca="1" si="50"/>
        <v>8.4312457255012436</v>
      </c>
      <c r="T108" s="304">
        <f t="shared" ca="1" si="30"/>
        <v>82.710520567167208</v>
      </c>
      <c r="U108" s="311">
        <f t="shared" ca="1" si="31"/>
        <v>0</v>
      </c>
      <c r="V108" s="306">
        <f t="shared" ca="1" si="32"/>
        <v>1.2197504256214802</v>
      </c>
      <c r="W108" s="304">
        <f t="shared" ca="1" si="33"/>
        <v>27.651804807406517</v>
      </c>
      <c r="Y108" s="314" t="str">
        <f t="shared" ca="1" si="51"/>
        <v/>
      </c>
      <c r="Z108" s="315" t="str">
        <f t="shared" ca="1" si="52"/>
        <v/>
      </c>
      <c r="AA108" s="316" t="str">
        <f t="shared" ca="1" si="53"/>
        <v/>
      </c>
      <c r="AC108" s="310" t="e">
        <f t="shared" ca="1" si="54"/>
        <v>#N/A</v>
      </c>
      <c r="AD108" s="323" t="e">
        <f t="shared" ca="1" si="55"/>
        <v>#N/A</v>
      </c>
      <c r="AE108" s="324">
        <f t="shared" ca="1" si="34"/>
        <v>42.945687408441195</v>
      </c>
      <c r="AG108" s="306">
        <f t="shared" ca="1" si="56"/>
        <v>74.1488914719109</v>
      </c>
      <c r="AH108" s="304">
        <f t="shared" ca="1" si="57"/>
        <v>83.764063420357729</v>
      </c>
    </row>
    <row r="109" spans="1:34" x14ac:dyDescent="0.2">
      <c r="A109" s="347">
        <f t="shared" ca="1" si="35"/>
        <v>0.01</v>
      </c>
      <c r="B109" s="304">
        <f t="shared" ca="1" si="36"/>
        <v>1.0500000000000007</v>
      </c>
      <c r="D109" s="306">
        <f t="shared" ca="1" si="37"/>
        <v>16.588266993418031</v>
      </c>
      <c r="E109" s="307">
        <f t="shared" ca="1" si="38"/>
        <v>72.079662620088911</v>
      </c>
      <c r="F109" s="304">
        <f t="shared" ca="1" si="39"/>
        <v>73.96383146694582</v>
      </c>
      <c r="G109" s="306">
        <f t="shared" ca="1" si="40"/>
        <v>16.726822429854934</v>
      </c>
      <c r="H109" s="307">
        <f t="shared" ca="1" si="41"/>
        <v>82.475555586231735</v>
      </c>
      <c r="I109" s="304">
        <f t="shared" ca="1" si="42"/>
        <v>84.154642521119996</v>
      </c>
      <c r="J109" s="306">
        <f t="shared" ca="1" si="43"/>
        <v>8.4129311367800881</v>
      </c>
      <c r="K109" s="307">
        <f t="shared" ca="1" si="44"/>
        <v>43.766838981172505</v>
      </c>
      <c r="L109" s="304">
        <f t="shared" ca="1" si="29"/>
        <v>44.568078315270505</v>
      </c>
      <c r="M109" s="306">
        <f t="shared" ca="1" si="45"/>
        <v>1.3707008337657542</v>
      </c>
      <c r="N109" s="304">
        <f t="shared" ca="1" si="46"/>
        <v>78.535372749840761</v>
      </c>
      <c r="P109" s="310">
        <f t="shared" ca="1" si="47"/>
        <v>4</v>
      </c>
      <c r="Q109" s="304">
        <f t="shared" ca="1" si="48"/>
        <v>731.79999999999984</v>
      </c>
      <c r="R109" s="306">
        <f t="shared" ca="1" si="49"/>
        <v>0.36725632417884041</v>
      </c>
      <c r="S109" s="307">
        <f t="shared" ca="1" si="50"/>
        <v>8.4275731622594545</v>
      </c>
      <c r="T109" s="304">
        <f t="shared" ca="1" si="30"/>
        <v>82.674492721765247</v>
      </c>
      <c r="U109" s="311">
        <f t="shared" ca="1" si="31"/>
        <v>0</v>
      </c>
      <c r="V109" s="306">
        <f t="shared" ca="1" si="32"/>
        <v>1.21965026926499</v>
      </c>
      <c r="W109" s="304">
        <f t="shared" ca="1" si="33"/>
        <v>28.14187178248438</v>
      </c>
      <c r="Y109" s="314" t="str">
        <f t="shared" ca="1" si="51"/>
        <v/>
      </c>
      <c r="Z109" s="315" t="str">
        <f t="shared" ca="1" si="52"/>
        <v/>
      </c>
      <c r="AA109" s="316" t="str">
        <f t="shared" ca="1" si="53"/>
        <v/>
      </c>
      <c r="AC109" s="310" t="e">
        <f t="shared" ca="1" si="54"/>
        <v>#N/A</v>
      </c>
      <c r="AD109" s="323" t="e">
        <f t="shared" ca="1" si="55"/>
        <v>#N/A</v>
      </c>
      <c r="AE109" s="324">
        <f t="shared" ca="1" si="34"/>
        <v>43.766838981172505</v>
      </c>
      <c r="AG109" s="306">
        <f t="shared" ca="1" si="56"/>
        <v>73.938184094537519</v>
      </c>
      <c r="AH109" s="304">
        <f t="shared" ca="1" si="57"/>
        <v>83.552902079322834</v>
      </c>
    </row>
    <row r="110" spans="1:34" x14ac:dyDescent="0.2">
      <c r="A110" s="347">
        <f t="shared" ca="1" si="35"/>
        <v>0.01</v>
      </c>
      <c r="B110" s="304">
        <f t="shared" ca="1" si="36"/>
        <v>1.0600000000000007</v>
      </c>
      <c r="D110" s="306">
        <f t="shared" ca="1" si="37"/>
        <v>16.565127818320271</v>
      </c>
      <c r="E110" s="307">
        <f t="shared" ca="1" si="38"/>
        <v>71.868282046828384</v>
      </c>
      <c r="F110" s="304">
        <f t="shared" ca="1" si="39"/>
        <v>73.752650284581392</v>
      </c>
      <c r="G110" s="306">
        <f t="shared" ca="1" si="40"/>
        <v>16.892473708038136</v>
      </c>
      <c r="H110" s="307">
        <f t="shared" ca="1" si="41"/>
        <v>83.194238406700023</v>
      </c>
      <c r="I110" s="304">
        <f t="shared" ca="1" si="42"/>
        <v>84.891913466758425</v>
      </c>
      <c r="J110" s="306">
        <f t="shared" ca="1" si="43"/>
        <v>8.5810276174695534</v>
      </c>
      <c r="K110" s="307">
        <f t="shared" ca="1" si="44"/>
        <v>44.595187951137163</v>
      </c>
      <c r="L110" s="304">
        <f t="shared" ca="1" si="29"/>
        <v>45.413267041350636</v>
      </c>
      <c r="M110" s="306">
        <f t="shared" ca="1" si="45"/>
        <v>1.3704711458983259</v>
      </c>
      <c r="N110" s="304">
        <f t="shared" ca="1" si="46"/>
        <v>78.522212604431758</v>
      </c>
      <c r="P110" s="310">
        <f t="shared" ca="1" si="47"/>
        <v>4</v>
      </c>
      <c r="Q110" s="304">
        <f t="shared" ca="1" si="48"/>
        <v>730.19999999999982</v>
      </c>
      <c r="R110" s="306">
        <f t="shared" ca="1" si="49"/>
        <v>0.36645335872559343</v>
      </c>
      <c r="S110" s="307">
        <f t="shared" ca="1" si="50"/>
        <v>8.4239086286721978</v>
      </c>
      <c r="T110" s="304">
        <f t="shared" ca="1" si="30"/>
        <v>82.638543647274261</v>
      </c>
      <c r="U110" s="311">
        <f t="shared" ca="1" si="31"/>
        <v>0</v>
      </c>
      <c r="V110" s="306">
        <f t="shared" ca="1" si="32"/>
        <v>1.2195492433518458</v>
      </c>
      <c r="W110" s="304">
        <f t="shared" ca="1" si="33"/>
        <v>28.634756310994849</v>
      </c>
      <c r="Y110" s="314" t="str">
        <f t="shared" ca="1" si="51"/>
        <v/>
      </c>
      <c r="Z110" s="315" t="str">
        <f t="shared" ca="1" si="52"/>
        <v/>
      </c>
      <c r="AA110" s="316" t="str">
        <f t="shared" ca="1" si="53"/>
        <v/>
      </c>
      <c r="AC110" s="310" t="e">
        <f t="shared" ca="1" si="54"/>
        <v>#N/A</v>
      </c>
      <c r="AD110" s="323" t="e">
        <f t="shared" ca="1" si="55"/>
        <v>#N/A</v>
      </c>
      <c r="AE110" s="324">
        <f t="shared" ca="1" si="34"/>
        <v>44.595187951137163</v>
      </c>
      <c r="AG110" s="306">
        <f t="shared" ca="1" si="56"/>
        <v>73.726870633761607</v>
      </c>
      <c r="AH110" s="304">
        <f t="shared" ca="1" si="57"/>
        <v>83.341137607777682</v>
      </c>
    </row>
    <row r="111" spans="1:34" x14ac:dyDescent="0.2">
      <c r="A111" s="347">
        <f t="shared" ca="1" si="35"/>
        <v>0.01</v>
      </c>
      <c r="B111" s="304">
        <f t="shared" ca="1" si="36"/>
        <v>1.0700000000000007</v>
      </c>
      <c r="D111" s="306">
        <f t="shared" ca="1" si="37"/>
        <v>16.541630262008646</v>
      </c>
      <c r="E111" s="307">
        <f t="shared" ca="1" si="38"/>
        <v>71.656359246022845</v>
      </c>
      <c r="F111" s="304">
        <f t="shared" ca="1" si="39"/>
        <v>73.540868584210259</v>
      </c>
      <c r="G111" s="306">
        <f t="shared" ca="1" si="40"/>
        <v>17.057890010658223</v>
      </c>
      <c r="H111" s="307">
        <f t="shared" ca="1" si="41"/>
        <v>83.910801999160256</v>
      </c>
      <c r="I111" s="304">
        <f t="shared" ca="1" si="42"/>
        <v>85.627065252512253</v>
      </c>
      <c r="J111" s="306">
        <f t="shared" ca="1" si="43"/>
        <v>8.750779436063036</v>
      </c>
      <c r="K111" s="307">
        <f t="shared" ca="1" si="44"/>
        <v>45.430713153166465</v>
      </c>
      <c r="L111" s="304">
        <f t="shared" ca="1" si="29"/>
        <v>46.265817169308875</v>
      </c>
      <c r="M111" s="306">
        <f t="shared" ca="1" si="45"/>
        <v>1.3702431721286257</v>
      </c>
      <c r="N111" s="304">
        <f t="shared" ca="1" si="46"/>
        <v>78.509150669588252</v>
      </c>
      <c r="P111" s="310">
        <f t="shared" ca="1" si="47"/>
        <v>4</v>
      </c>
      <c r="Q111" s="304">
        <f t="shared" ca="1" si="48"/>
        <v>728.59999999999991</v>
      </c>
      <c r="R111" s="306">
        <f t="shared" ca="1" si="49"/>
        <v>0.3656503932723465</v>
      </c>
      <c r="S111" s="307">
        <f t="shared" ca="1" si="50"/>
        <v>8.4202521247394735</v>
      </c>
      <c r="T111" s="304">
        <f t="shared" ca="1" si="30"/>
        <v>82.602673343694235</v>
      </c>
      <c r="U111" s="311">
        <f t="shared" ca="1" si="31"/>
        <v>0</v>
      </c>
      <c r="V111" s="306">
        <f t="shared" ca="1" si="32"/>
        <v>1.2194473506796626</v>
      </c>
      <c r="W111" s="304">
        <f t="shared" ca="1" si="33"/>
        <v>29.130415446090726</v>
      </c>
      <c r="Y111" s="314" t="str">
        <f t="shared" ca="1" si="51"/>
        <v/>
      </c>
      <c r="Z111" s="315" t="str">
        <f t="shared" ca="1" si="52"/>
        <v/>
      </c>
      <c r="AA111" s="316" t="str">
        <f t="shared" ca="1" si="53"/>
        <v/>
      </c>
      <c r="AC111" s="310" t="e">
        <f t="shared" ca="1" si="54"/>
        <v>#N/A</v>
      </c>
      <c r="AD111" s="323" t="e">
        <f t="shared" ca="1" si="55"/>
        <v>#N/A</v>
      </c>
      <c r="AE111" s="324">
        <f t="shared" ca="1" si="34"/>
        <v>45.430713153166465</v>
      </c>
      <c r="AG111" s="306">
        <f t="shared" ca="1" si="56"/>
        <v>73.514956064720934</v>
      </c>
      <c r="AH111" s="304">
        <f t="shared" ca="1" si="57"/>
        <v>83.128774924974394</v>
      </c>
    </row>
    <row r="112" spans="1:34" x14ac:dyDescent="0.2">
      <c r="A112" s="347">
        <f t="shared" ca="1" si="35"/>
        <v>0.01</v>
      </c>
      <c r="B112" s="304">
        <f t="shared" ca="1" si="36"/>
        <v>1.0800000000000007</v>
      </c>
      <c r="D112" s="306">
        <f t="shared" ca="1" si="37"/>
        <v>16.517778763305031</v>
      </c>
      <c r="E112" s="307">
        <f t="shared" ca="1" si="38"/>
        <v>71.443898483786697</v>
      </c>
      <c r="F112" s="304">
        <f t="shared" ca="1" si="39"/>
        <v>73.328491364783375</v>
      </c>
      <c r="G112" s="306">
        <f t="shared" ca="1" si="40"/>
        <v>17.223067798291275</v>
      </c>
      <c r="H112" s="307">
        <f t="shared" ca="1" si="41"/>
        <v>84.625240983998125</v>
      </c>
      <c r="I112" s="304">
        <f t="shared" ca="1" si="42"/>
        <v>86.360091917414579</v>
      </c>
      <c r="J112" s="306">
        <f t="shared" ca="1" si="43"/>
        <v>8.9221842251077828</v>
      </c>
      <c r="K112" s="307">
        <f t="shared" ca="1" si="44"/>
        <v>46.27339336808226</v>
      </c>
      <c r="L112" s="304">
        <f t="shared" ca="1" si="29"/>
        <v>47.125707476323804</v>
      </c>
      <c r="M112" s="306">
        <f t="shared" ca="1" si="45"/>
        <v>1.3700168796259709</v>
      </c>
      <c r="N112" s="304">
        <f t="shared" ca="1" si="46"/>
        <v>78.496185064250668</v>
      </c>
      <c r="P112" s="310">
        <f t="shared" ca="1" si="47"/>
        <v>4</v>
      </c>
      <c r="Q112" s="304">
        <f t="shared" ca="1" si="48"/>
        <v>726.99999999999989</v>
      </c>
      <c r="R112" s="306">
        <f t="shared" ca="1" si="49"/>
        <v>0.36484742781909951</v>
      </c>
      <c r="S112" s="307">
        <f t="shared" ca="1" si="50"/>
        <v>8.4166036504612833</v>
      </c>
      <c r="T112" s="304">
        <f t="shared" ca="1" si="30"/>
        <v>82.566881811025198</v>
      </c>
      <c r="U112" s="311">
        <f t="shared" ca="1" si="31"/>
        <v>0</v>
      </c>
      <c r="V112" s="306">
        <f t="shared" ca="1" si="32"/>
        <v>1.2193445940536105</v>
      </c>
      <c r="W112" s="304">
        <f t="shared" ca="1" si="33"/>
        <v>29.628806247721133</v>
      </c>
      <c r="Y112" s="314" t="str">
        <f t="shared" ca="1" si="51"/>
        <v/>
      </c>
      <c r="Z112" s="315" t="str">
        <f t="shared" ca="1" si="52"/>
        <v/>
      </c>
      <c r="AA112" s="316" t="str">
        <f t="shared" ca="1" si="53"/>
        <v/>
      </c>
      <c r="AC112" s="310" t="e">
        <f t="shared" ca="1" si="54"/>
        <v>#N/A</v>
      </c>
      <c r="AD112" s="323" t="e">
        <f t="shared" ca="1" si="55"/>
        <v>#N/A</v>
      </c>
      <c r="AE112" s="324">
        <f t="shared" ca="1" si="34"/>
        <v>46.27339336808226</v>
      </c>
      <c r="AG112" s="306">
        <f t="shared" ca="1" si="56"/>
        <v>73.302445372572436</v>
      </c>
      <c r="AH112" s="304">
        <f t="shared" ca="1" si="57"/>
        <v>82.915818961685503</v>
      </c>
    </row>
    <row r="113" spans="1:34" x14ac:dyDescent="0.2">
      <c r="A113" s="347">
        <f t="shared" ca="1" si="35"/>
        <v>0.01</v>
      </c>
      <c r="B113" s="304">
        <f t="shared" ca="1" si="36"/>
        <v>1.0900000000000007</v>
      </c>
      <c r="D113" s="306">
        <f t="shared" ca="1" si="37"/>
        <v>16.493577668969976</v>
      </c>
      <c r="E113" s="307">
        <f t="shared" ca="1" si="38"/>
        <v>71.230904052142876</v>
      </c>
      <c r="F113" s="304">
        <f t="shared" ca="1" si="39"/>
        <v>73.115523634915789</v>
      </c>
      <c r="G113" s="306">
        <f t="shared" ca="1" si="40"/>
        <v>17.388003574980974</v>
      </c>
      <c r="H113" s="307">
        <f t="shared" ca="1" si="41"/>
        <v>85.337550024519558</v>
      </c>
      <c r="I113" s="304">
        <f t="shared" ca="1" si="42"/>
        <v>87.090987550440204</v>
      </c>
      <c r="J113" s="306">
        <f t="shared" ca="1" si="43"/>
        <v>9.0952395819741447</v>
      </c>
      <c r="K113" s="307">
        <f t="shared" ca="1" si="44"/>
        <v>47.123207323124852</v>
      </c>
      <c r="L113" s="304">
        <f t="shared" ca="1" si="29"/>
        <v>47.992916680190596</v>
      </c>
      <c r="M113" s="306">
        <f t="shared" ca="1" si="45"/>
        <v>1.3697922364600055</v>
      </c>
      <c r="N113" s="304">
        <f t="shared" ca="1" si="46"/>
        <v>78.483313958944393</v>
      </c>
      <c r="P113" s="310">
        <f t="shared" ca="1" si="47"/>
        <v>4</v>
      </c>
      <c r="Q113" s="304">
        <f t="shared" ca="1" si="48"/>
        <v>725.39999999999986</v>
      </c>
      <c r="R113" s="306">
        <f t="shared" ca="1" si="49"/>
        <v>0.36404446236585247</v>
      </c>
      <c r="S113" s="307">
        <f t="shared" ca="1" si="50"/>
        <v>8.4129632058376256</v>
      </c>
      <c r="T113" s="304">
        <f t="shared" ca="1" si="30"/>
        <v>82.531169049267106</v>
      </c>
      <c r="U113" s="311">
        <f t="shared" ca="1" si="31"/>
        <v>0</v>
      </c>
      <c r="V113" s="306">
        <f t="shared" ca="1" si="32"/>
        <v>1.219240976286339</v>
      </c>
      <c r="W113" s="304">
        <f t="shared" ca="1" si="33"/>
        <v>30.129885785531041</v>
      </c>
      <c r="Y113" s="314" t="str">
        <f t="shared" ca="1" si="51"/>
        <v/>
      </c>
      <c r="Z113" s="315" t="str">
        <f t="shared" ca="1" si="52"/>
        <v/>
      </c>
      <c r="AA113" s="316" t="str">
        <f t="shared" ca="1" si="53"/>
        <v/>
      </c>
      <c r="AC113" s="310" t="e">
        <f t="shared" ca="1" si="54"/>
        <v>#N/A</v>
      </c>
      <c r="AD113" s="323" t="e">
        <f t="shared" ca="1" si="55"/>
        <v>#N/A</v>
      </c>
      <c r="AE113" s="324">
        <f t="shared" ca="1" si="34"/>
        <v>47.123207323124852</v>
      </c>
      <c r="AG113" s="306">
        <f t="shared" ca="1" si="56"/>
        <v>73.089343552179244</v>
      </c>
      <c r="AH113" s="304">
        <f t="shared" ca="1" si="57"/>
        <v>82.702274659836121</v>
      </c>
    </row>
    <row r="114" spans="1:34" x14ac:dyDescent="0.2">
      <c r="A114" s="347">
        <f t="shared" ca="1" si="35"/>
        <v>0.01</v>
      </c>
      <c r="B114" s="304">
        <f t="shared" ca="1" si="36"/>
        <v>1.1000000000000008</v>
      </c>
      <c r="D114" s="306">
        <f t="shared" ca="1" si="37"/>
        <v>16.469031237180008</v>
      </c>
      <c r="E114" s="307">
        <f t="shared" ca="1" si="38"/>
        <v>71.017380268108923</v>
      </c>
      <c r="F114" s="304">
        <f t="shared" ca="1" si="39"/>
        <v>72.901970412577995</v>
      </c>
      <c r="G114" s="306">
        <f t="shared" ca="1" si="40"/>
        <v>17.552693887352774</v>
      </c>
      <c r="H114" s="307">
        <f t="shared" ca="1" si="41"/>
        <v>86.047723827200642</v>
      </c>
      <c r="I114" s="304">
        <f t="shared" ca="1" si="42"/>
        <v>87.819746290599724</v>
      </c>
      <c r="J114" s="306">
        <f t="shared" ca="1" si="43"/>
        <v>9.269943069285814</v>
      </c>
      <c r="K114" s="307">
        <f t="shared" ca="1" si="44"/>
        <v>47.980133692383454</v>
      </c>
      <c r="L114" s="304">
        <f t="shared" ca="1" si="29"/>
        <v>48.867423439821238</v>
      </c>
      <c r="M114" s="306">
        <f t="shared" ca="1" si="45"/>
        <v>1.3695692115676044</v>
      </c>
      <c r="N114" s="304">
        <f t="shared" ca="1" si="46"/>
        <v>78.470535573883453</v>
      </c>
      <c r="P114" s="310">
        <f t="shared" ca="1" si="47"/>
        <v>4</v>
      </c>
      <c r="Q114" s="304">
        <f t="shared" ca="1" si="48"/>
        <v>723.79999999999984</v>
      </c>
      <c r="R114" s="306">
        <f t="shared" ca="1" si="49"/>
        <v>0.36324149691260549</v>
      </c>
      <c r="S114" s="307">
        <f t="shared" ca="1" si="50"/>
        <v>8.4093307908685002</v>
      </c>
      <c r="T114" s="304">
        <f t="shared" ca="1" si="30"/>
        <v>82.495535058419989</v>
      </c>
      <c r="U114" s="311">
        <f t="shared" ca="1" si="31"/>
        <v>0</v>
      </c>
      <c r="V114" s="306">
        <f t="shared" ca="1" si="32"/>
        <v>1.2191365001979035</v>
      </c>
      <c r="W114" s="304">
        <f t="shared" ca="1" si="33"/>
        <v>30.633611141749061</v>
      </c>
      <c r="Y114" s="314" t="str">
        <f t="shared" ca="1" si="51"/>
        <v/>
      </c>
      <c r="Z114" s="315" t="str">
        <f t="shared" ca="1" si="52"/>
        <v/>
      </c>
      <c r="AA114" s="316" t="str">
        <f t="shared" ca="1" si="53"/>
        <v/>
      </c>
      <c r="AC114" s="310" t="e">
        <f t="shared" ca="1" si="54"/>
        <v>#N/A</v>
      </c>
      <c r="AD114" s="323" t="e">
        <f t="shared" ca="1" si="55"/>
        <v>#N/A</v>
      </c>
      <c r="AE114" s="324">
        <f t="shared" ca="1" si="34"/>
        <v>47.980133692383454</v>
      </c>
      <c r="AG114" s="306">
        <f t="shared" ca="1" si="56"/>
        <v>72.875655607794897</v>
      </c>
      <c r="AH114" s="304">
        <f t="shared" ca="1" si="57"/>
        <v>82.488146972135908</v>
      </c>
    </row>
    <row r="115" spans="1:34" x14ac:dyDescent="0.2">
      <c r="A115" s="347">
        <f t="shared" ca="1" si="35"/>
        <v>0.01</v>
      </c>
      <c r="B115" s="304">
        <f t="shared" ca="1" si="36"/>
        <v>1.1100000000000008</v>
      </c>
      <c r="D115" s="306">
        <f t="shared" ca="1" si="37"/>
        <v>16.444143640841133</v>
      </c>
      <c r="E115" s="307">
        <f t="shared" ca="1" si="38"/>
        <v>70.803331472808892</v>
      </c>
      <c r="F115" s="304">
        <f t="shared" ca="1" si="39"/>
        <v>72.687836724785441</v>
      </c>
      <c r="G115" s="306">
        <f t="shared" ca="1" si="40"/>
        <v>17.717135323761184</v>
      </c>
      <c r="H115" s="307">
        <f t="shared" ca="1" si="41"/>
        <v>86.755757141928726</v>
      </c>
      <c r="I115" s="304">
        <f t="shared" ca="1" si="42"/>
        <v>88.546362327030593</v>
      </c>
      <c r="J115" s="306">
        <f t="shared" ca="1" si="43"/>
        <v>9.4462922153413835</v>
      </c>
      <c r="K115" s="307">
        <f t="shared" ca="1" si="44"/>
        <v>48.844151097229101</v>
      </c>
      <c r="L115" s="304">
        <f t="shared" ca="1" si="29"/>
        <v>49.749206355745677</v>
      </c>
      <c r="M115" s="306">
        <f t="shared" ca="1" si="45"/>
        <v>1.3693477747212905</v>
      </c>
      <c r="N115" s="304">
        <f t="shared" ca="1" si="46"/>
        <v>78.457848177160983</v>
      </c>
      <c r="P115" s="310">
        <f t="shared" ca="1" si="47"/>
        <v>4</v>
      </c>
      <c r="Q115" s="304">
        <f t="shared" ca="1" si="48"/>
        <v>722.19999999999982</v>
      </c>
      <c r="R115" s="306">
        <f t="shared" ca="1" si="49"/>
        <v>0.3624385314593585</v>
      </c>
      <c r="S115" s="307">
        <f t="shared" ca="1" si="50"/>
        <v>8.4057064055539072</v>
      </c>
      <c r="T115" s="304">
        <f t="shared" ca="1" si="30"/>
        <v>82.459979838483832</v>
      </c>
      <c r="U115" s="311">
        <f t="shared" ca="1" si="31"/>
        <v>0</v>
      </c>
      <c r="V115" s="306">
        <f t="shared" ca="1" si="32"/>
        <v>1.2190311686156898</v>
      </c>
      <c r="W115" s="304">
        <f t="shared" ca="1" si="33"/>
        <v>31.139939414063146</v>
      </c>
      <c r="Y115" s="314" t="str">
        <f t="shared" ca="1" si="51"/>
        <v/>
      </c>
      <c r="Z115" s="315" t="str">
        <f t="shared" ca="1" si="52"/>
        <v/>
      </c>
      <c r="AA115" s="316" t="str">
        <f t="shared" ca="1" si="53"/>
        <v/>
      </c>
      <c r="AC115" s="310" t="e">
        <f t="shared" ca="1" si="54"/>
        <v>#N/A</v>
      </c>
      <c r="AD115" s="323" t="e">
        <f t="shared" ca="1" si="55"/>
        <v>#N/A</v>
      </c>
      <c r="AE115" s="324">
        <f t="shared" ca="1" si="34"/>
        <v>48.844151097229101</v>
      </c>
      <c r="AG115" s="306">
        <f t="shared" ca="1" si="56"/>
        <v>72.661386552745967</v>
      </c>
      <c r="AH115" s="304">
        <f t="shared" ca="1" si="57"/>
        <v>82.27344086171172</v>
      </c>
    </row>
    <row r="116" spans="1:34" x14ac:dyDescent="0.2">
      <c r="A116" s="347">
        <f t="shared" ca="1" si="35"/>
        <v>0.01</v>
      </c>
      <c r="B116" s="304">
        <f t="shared" ca="1" si="36"/>
        <v>1.1200000000000008</v>
      </c>
      <c r="D116" s="306">
        <f t="shared" ca="1" si="37"/>
        <v>16.418918970747409</v>
      </c>
      <c r="E116" s="307">
        <f t="shared" ca="1" si="38"/>
        <v>70.588762030608805</v>
      </c>
      <c r="F116" s="304">
        <f t="shared" ca="1" si="39"/>
        <v>72.473127607285505</v>
      </c>
      <c r="G116" s="306">
        <f t="shared" ca="1" si="40"/>
        <v>17.881324513468659</v>
      </c>
      <c r="H116" s="307">
        <f t="shared" ca="1" si="41"/>
        <v>87.461644762234812</v>
      </c>
      <c r="I116" s="304">
        <f t="shared" ca="1" si="42"/>
        <v>89.270829899084788</v>
      </c>
      <c r="J116" s="306">
        <f t="shared" ca="1" si="43"/>
        <v>9.6242845145275329</v>
      </c>
      <c r="K116" s="307">
        <f t="shared" ca="1" si="44"/>
        <v>49.715238106749922</v>
      </c>
      <c r="L116" s="304">
        <f t="shared" ca="1" si="29"/>
        <v>50.638243970613892</v>
      </c>
      <c r="M116" s="306">
        <f t="shared" ca="1" si="45"/>
        <v>1.3691278964990827</v>
      </c>
      <c r="N116" s="304">
        <f t="shared" ca="1" si="46"/>
        <v>78.445250083021634</v>
      </c>
      <c r="P116" s="310">
        <f t="shared" ca="1" si="47"/>
        <v>4</v>
      </c>
      <c r="Q116" s="304">
        <f t="shared" ca="1" si="48"/>
        <v>720.59999999999991</v>
      </c>
      <c r="R116" s="306">
        <f t="shared" ca="1" si="49"/>
        <v>0.36163556600611158</v>
      </c>
      <c r="S116" s="307">
        <f t="shared" ca="1" si="50"/>
        <v>8.4020900498938467</v>
      </c>
      <c r="T116" s="304">
        <f t="shared" ca="1" si="30"/>
        <v>82.424503389458636</v>
      </c>
      <c r="U116" s="311">
        <f t="shared" ca="1" si="31"/>
        <v>0</v>
      </c>
      <c r="V116" s="306">
        <f t="shared" ca="1" si="32"/>
        <v>1.2189249843743397</v>
      </c>
      <c r="W116" s="304">
        <f t="shared" ca="1" si="33"/>
        <v>31.648827718483869</v>
      </c>
      <c r="Y116" s="314" t="str">
        <f t="shared" ca="1" si="51"/>
        <v/>
      </c>
      <c r="Z116" s="315" t="str">
        <f t="shared" ca="1" si="52"/>
        <v/>
      </c>
      <c r="AA116" s="316" t="str">
        <f t="shared" ca="1" si="53"/>
        <v/>
      </c>
      <c r="AC116" s="310" t="e">
        <f t="shared" ca="1" si="54"/>
        <v>#N/A</v>
      </c>
      <c r="AD116" s="323" t="e">
        <f t="shared" ca="1" si="55"/>
        <v>#N/A</v>
      </c>
      <c r="AE116" s="324">
        <f t="shared" ca="1" si="34"/>
        <v>49.715238106749922</v>
      </c>
      <c r="AG116" s="306">
        <f t="shared" ca="1" si="56"/>
        <v>72.44654140911247</v>
      </c>
      <c r="AH116" s="304">
        <f t="shared" ca="1" si="57"/>
        <v>82.058161301740327</v>
      </c>
    </row>
    <row r="117" spans="1:34" x14ac:dyDescent="0.2">
      <c r="A117" s="347">
        <f t="shared" ca="1" si="35"/>
        <v>0.01</v>
      </c>
      <c r="B117" s="304">
        <f t="shared" ca="1" si="36"/>
        <v>1.1300000000000008</v>
      </c>
      <c r="D117" s="306">
        <f t="shared" ca="1" si="37"/>
        <v>16.393361238593165</v>
      </c>
      <c r="E117" s="307">
        <f t="shared" ca="1" si="38"/>
        <v>70.373676328275238</v>
      </c>
      <c r="F117" s="304">
        <f t="shared" ca="1" si="39"/>
        <v>72.25784810424301</v>
      </c>
      <c r="G117" s="306">
        <f t="shared" ca="1" si="40"/>
        <v>18.045258125854591</v>
      </c>
      <c r="H117" s="307">
        <f t="shared" ca="1" si="41"/>
        <v>88.16538152551756</v>
      </c>
      <c r="I117" s="304">
        <f t="shared" ca="1" si="42"/>
        <v>89.993143296413393</v>
      </c>
      <c r="J117" s="306">
        <f t="shared" ca="1" si="43"/>
        <v>9.8039174277241496</v>
      </c>
      <c r="K117" s="307">
        <f t="shared" ca="1" si="44"/>
        <v>50.593373238188683</v>
      </c>
      <c r="L117" s="304">
        <f t="shared" ca="1" si="29"/>
        <v>51.534514769698767</v>
      </c>
      <c r="M117" s="306">
        <f t="shared" ca="1" si="45"/>
        <v>1.3689095482556977</v>
      </c>
      <c r="N117" s="304">
        <f t="shared" ca="1" si="46"/>
        <v>78.432739650211573</v>
      </c>
      <c r="P117" s="310">
        <f t="shared" ca="1" si="47"/>
        <v>4</v>
      </c>
      <c r="Q117" s="304">
        <f t="shared" ca="1" si="48"/>
        <v>718.99999999999989</v>
      </c>
      <c r="R117" s="306">
        <f t="shared" ca="1" si="49"/>
        <v>0.36083260055286454</v>
      </c>
      <c r="S117" s="307">
        <f t="shared" ca="1" si="50"/>
        <v>8.3984817238883185</v>
      </c>
      <c r="T117" s="304">
        <f t="shared" ca="1" si="30"/>
        <v>82.389105711344413</v>
      </c>
      <c r="U117" s="311">
        <f t="shared" ca="1" si="31"/>
        <v>0</v>
      </c>
      <c r="V117" s="306">
        <f t="shared" ca="1" si="32"/>
        <v>1.2188179503156749</v>
      </c>
      <c r="W117" s="304">
        <f t="shared" ca="1" si="33"/>
        <v>32.160233192195065</v>
      </c>
      <c r="Y117" s="314" t="str">
        <f t="shared" ca="1" si="51"/>
        <v/>
      </c>
      <c r="Z117" s="315" t="str">
        <f t="shared" ca="1" si="52"/>
        <v/>
      </c>
      <c r="AA117" s="316" t="str">
        <f t="shared" ca="1" si="53"/>
        <v/>
      </c>
      <c r="AC117" s="310" t="e">
        <f t="shared" ca="1" si="54"/>
        <v>#N/A</v>
      </c>
      <c r="AD117" s="323" t="e">
        <f t="shared" ca="1" si="55"/>
        <v>#N/A</v>
      </c>
      <c r="AE117" s="324">
        <f t="shared" ca="1" si="34"/>
        <v>50.593373238188683</v>
      </c>
      <c r="AG117" s="306">
        <f t="shared" ca="1" si="56"/>
        <v>72.231125207406762</v>
      </c>
      <c r="AH117" s="304">
        <f t="shared" ca="1" si="57"/>
        <v>81.842313275081708</v>
      </c>
    </row>
    <row r="118" spans="1:34" x14ac:dyDescent="0.2">
      <c r="A118" s="347">
        <f t="shared" ca="1" si="35"/>
        <v>0.01</v>
      </c>
      <c r="B118" s="304">
        <f t="shared" ca="1" si="36"/>
        <v>1.1400000000000008</v>
      </c>
      <c r="D118" s="306">
        <f t="shared" ca="1" si="37"/>
        <v>16.367474379846545</v>
      </c>
      <c r="E118" s="307">
        <f t="shared" ca="1" si="38"/>
        <v>70.158078774155243</v>
      </c>
      <c r="F118" s="304">
        <f t="shared" ca="1" si="39"/>
        <v>72.042003267923533</v>
      </c>
      <c r="G118" s="306">
        <f t="shared" ca="1" si="40"/>
        <v>18.208932869653058</v>
      </c>
      <c r="H118" s="307">
        <f t="shared" ca="1" si="41"/>
        <v>88.866962313259108</v>
      </c>
      <c r="I118" s="304">
        <f t="shared" ca="1" si="42"/>
        <v>90.713296859047887</v>
      </c>
      <c r="J118" s="306">
        <f t="shared" ca="1" si="43"/>
        <v>9.9851883827016881</v>
      </c>
      <c r="K118" s="307">
        <f t="shared" ca="1" si="44"/>
        <v>51.478534957382564</v>
      </c>
      <c r="L118" s="304">
        <f t="shared" ca="1" si="29"/>
        <v>52.437997181399858</v>
      </c>
      <c r="M118" s="306">
        <f t="shared" ca="1" si="45"/>
        <v>1.3686927020950317</v>
      </c>
      <c r="N118" s="304">
        <f t="shared" ca="1" si="46"/>
        <v>78.420315280401809</v>
      </c>
      <c r="P118" s="310">
        <f t="shared" ca="1" si="47"/>
        <v>4</v>
      </c>
      <c r="Q118" s="304">
        <f t="shared" ca="1" si="48"/>
        <v>717.39999999999986</v>
      </c>
      <c r="R118" s="306">
        <f t="shared" ca="1" si="49"/>
        <v>0.36002963509961755</v>
      </c>
      <c r="S118" s="307">
        <f t="shared" ca="1" si="50"/>
        <v>8.3948814275373227</v>
      </c>
      <c r="T118" s="304">
        <f t="shared" ca="1" si="30"/>
        <v>82.353786804141137</v>
      </c>
      <c r="U118" s="311">
        <f t="shared" ca="1" si="31"/>
        <v>0</v>
      </c>
      <c r="V118" s="306">
        <f t="shared" ca="1" si="32"/>
        <v>1.218710069288621</v>
      </c>
      <c r="W118" s="304">
        <f t="shared" ca="1" si="33"/>
        <v>32.674112996391422</v>
      </c>
      <c r="Y118" s="314" t="str">
        <f t="shared" ca="1" si="51"/>
        <v/>
      </c>
      <c r="Z118" s="315" t="str">
        <f t="shared" ca="1" si="52"/>
        <v/>
      </c>
      <c r="AA118" s="316" t="str">
        <f t="shared" ca="1" si="53"/>
        <v/>
      </c>
      <c r="AC118" s="310" t="e">
        <f t="shared" ca="1" si="54"/>
        <v>#N/A</v>
      </c>
      <c r="AD118" s="323" t="e">
        <f t="shared" ca="1" si="55"/>
        <v>#N/A</v>
      </c>
      <c r="AE118" s="324">
        <f t="shared" ca="1" si="34"/>
        <v>51.478534957382564</v>
      </c>
      <c r="AG118" s="306">
        <f t="shared" ca="1" si="56"/>
        <v>72.015142986250652</v>
      </c>
      <c r="AH118" s="304">
        <f t="shared" ca="1" si="57"/>
        <v>81.625901773912616</v>
      </c>
    </row>
    <row r="119" spans="1:34" x14ac:dyDescent="0.2">
      <c r="A119" s="347">
        <f t="shared" ca="1" si="35"/>
        <v>0.01</v>
      </c>
      <c r="B119" s="304">
        <f t="shared" ca="1" si="36"/>
        <v>1.1500000000000008</v>
      </c>
      <c r="D119" s="306">
        <f t="shared" ca="1" si="37"/>
        <v>16.341262256492108</v>
      </c>
      <c r="E119" s="307">
        <f t="shared" ca="1" si="38"/>
        <v>69.941973797377031</v>
      </c>
      <c r="F119" s="304">
        <f t="shared" ca="1" si="39"/>
        <v>71.82559815837547</v>
      </c>
      <c r="G119" s="306">
        <f t="shared" ca="1" si="40"/>
        <v>18.372345492217978</v>
      </c>
      <c r="H119" s="307">
        <f t="shared" ca="1" si="41"/>
        <v>89.566382051232878</v>
      </c>
      <c r="I119" s="304">
        <f t="shared" ca="1" si="42"/>
        <v>91.431284977478214</v>
      </c>
      <c r="J119" s="306">
        <f t="shared" ca="1" si="43"/>
        <v>10.168094774511044</v>
      </c>
      <c r="K119" s="307">
        <f t="shared" ca="1" si="44"/>
        <v>52.370701679205027</v>
      </c>
      <c r="L119" s="304">
        <f t="shared" ca="1" si="29"/>
        <v>53.348669577747927</v>
      </c>
      <c r="M119" s="306">
        <f t="shared" ca="1" si="45"/>
        <v>1.3684773308438569</v>
      </c>
      <c r="N119" s="304">
        <f t="shared" ca="1" si="46"/>
        <v>78.40797541668104</v>
      </c>
      <c r="P119" s="310">
        <f t="shared" ca="1" si="47"/>
        <v>4</v>
      </c>
      <c r="Q119" s="304">
        <f t="shared" ca="1" si="48"/>
        <v>715.79999999999984</v>
      </c>
      <c r="R119" s="306">
        <f t="shared" ca="1" si="49"/>
        <v>0.35922666964637057</v>
      </c>
      <c r="S119" s="307">
        <f t="shared" ca="1" si="50"/>
        <v>8.3912891608408593</v>
      </c>
      <c r="T119" s="304">
        <f t="shared" ca="1" si="30"/>
        <v>82.318546667848835</v>
      </c>
      <c r="U119" s="311">
        <f t="shared" ca="1" si="31"/>
        <v>0</v>
      </c>
      <c r="V119" s="306">
        <f t="shared" ca="1" si="32"/>
        <v>1.2186013441491328</v>
      </c>
      <c r="W119" s="304">
        <f t="shared" ca="1" si="33"/>
        <v>33.190424319102881</v>
      </c>
      <c r="Y119" s="314" t="str">
        <f t="shared" ca="1" si="51"/>
        <v/>
      </c>
      <c r="Z119" s="315" t="str">
        <f t="shared" ca="1" si="52"/>
        <v/>
      </c>
      <c r="AA119" s="316" t="str">
        <f t="shared" ca="1" si="53"/>
        <v/>
      </c>
      <c r="AC119" s="310" t="e">
        <f t="shared" ca="1" si="54"/>
        <v>#N/A</v>
      </c>
      <c r="AD119" s="323" t="e">
        <f t="shared" ca="1" si="55"/>
        <v>#N/A</v>
      </c>
      <c r="AE119" s="324">
        <f t="shared" ca="1" si="34"/>
        <v>52.370701679205027</v>
      </c>
      <c r="AG119" s="306">
        <f t="shared" ca="1" si="56"/>
        <v>71.798599792051277</v>
      </c>
      <c r="AH119" s="304">
        <f t="shared" ca="1" si="57"/>
        <v>81.40893179936073</v>
      </c>
    </row>
    <row r="120" spans="1:34" x14ac:dyDescent="0.2">
      <c r="A120" s="347">
        <f t="shared" ca="1" si="35"/>
        <v>0.01</v>
      </c>
      <c r="B120" s="304">
        <f t="shared" ca="1" si="36"/>
        <v>1.1600000000000008</v>
      </c>
      <c r="D120" s="306">
        <f t="shared" ca="1" si="37"/>
        <v>16.314728659649077</v>
      </c>
      <c r="E120" s="307">
        <f t="shared" ca="1" si="38"/>
        <v>69.725365847070137</v>
      </c>
      <c r="F120" s="304">
        <f t="shared" ca="1" si="39"/>
        <v>71.608637843110444</v>
      </c>
      <c r="G120" s="306">
        <f t="shared" ca="1" si="40"/>
        <v>18.535492778814469</v>
      </c>
      <c r="H120" s="307">
        <f t="shared" ca="1" si="41"/>
        <v>90.263635709703578</v>
      </c>
      <c r="I120" s="304">
        <f t="shared" ca="1" si="42"/>
        <v>92.147102092727579</v>
      </c>
      <c r="J120" s="306">
        <f t="shared" ca="1" si="43"/>
        <v>10.352633965866206</v>
      </c>
      <c r="K120" s="307">
        <f t="shared" ca="1" si="44"/>
        <v>53.269851768009708</v>
      </c>
      <c r="L120" s="304">
        <f t="shared" ca="1" si="29"/>
        <v>54.266510274910196</v>
      </c>
      <c r="M120" s="306">
        <f t="shared" ca="1" si="45"/>
        <v>1.3682634080266662</v>
      </c>
      <c r="N120" s="304">
        <f t="shared" ca="1" si="46"/>
        <v>78.395718542114466</v>
      </c>
      <c r="P120" s="310">
        <f t="shared" ca="1" si="47"/>
        <v>4</v>
      </c>
      <c r="Q120" s="304">
        <f t="shared" ca="1" si="48"/>
        <v>714.19999999999982</v>
      </c>
      <c r="R120" s="306">
        <f t="shared" ca="1" si="49"/>
        <v>0.35842370419312358</v>
      </c>
      <c r="S120" s="307">
        <f t="shared" ca="1" si="50"/>
        <v>8.3877049237989283</v>
      </c>
      <c r="T120" s="304">
        <f t="shared" ca="1" si="30"/>
        <v>82.283385302467494</v>
      </c>
      <c r="U120" s="311">
        <f t="shared" ca="1" si="31"/>
        <v>0</v>
      </c>
      <c r="V120" s="306">
        <f t="shared" ca="1" si="32"/>
        <v>1.2184917777601183</v>
      </c>
      <c r="W120" s="304">
        <f t="shared" ca="1" si="33"/>
        <v>33.709124378005448</v>
      </c>
      <c r="Y120" s="314" t="str">
        <f t="shared" ca="1" si="51"/>
        <v/>
      </c>
      <c r="Z120" s="315" t="str">
        <f t="shared" ca="1" si="52"/>
        <v/>
      </c>
      <c r="AA120" s="316" t="str">
        <f t="shared" ca="1" si="53"/>
        <v/>
      </c>
      <c r="AC120" s="310" t="e">
        <f t="shared" ca="1" si="54"/>
        <v>#N/A</v>
      </c>
      <c r="AD120" s="323" t="e">
        <f t="shared" ca="1" si="55"/>
        <v>#N/A</v>
      </c>
      <c r="AE120" s="324">
        <f t="shared" ca="1" si="34"/>
        <v>53.269851768009708</v>
      </c>
      <c r="AG120" s="306">
        <f t="shared" ca="1" si="56"/>
        <v>71.581500678675525</v>
      </c>
      <c r="AH120" s="304">
        <f t="shared" ca="1" si="57"/>
        <v>81.19140836113921</v>
      </c>
    </row>
    <row r="121" spans="1:34" x14ac:dyDescent="0.2">
      <c r="A121" s="347">
        <f t="shared" ca="1" si="35"/>
        <v>0.01</v>
      </c>
      <c r="B121" s="304">
        <f t="shared" ca="1" si="36"/>
        <v>1.1700000000000008</v>
      </c>
      <c r="D121" s="306">
        <f t="shared" ca="1" si="37"/>
        <v>16.287877312072002</v>
      </c>
      <c r="E121" s="307">
        <f t="shared" ca="1" si="38"/>
        <v>69.508259391604255</v>
      </c>
      <c r="F121" s="304">
        <f t="shared" ca="1" si="39"/>
        <v>71.391127396782665</v>
      </c>
      <c r="G121" s="306">
        <f t="shared" ca="1" si="40"/>
        <v>18.698371551935189</v>
      </c>
      <c r="H121" s="307">
        <f t="shared" ca="1" si="41"/>
        <v>90.958718303619619</v>
      </c>
      <c r="I121" s="304">
        <f t="shared" ca="1" si="42"/>
        <v>92.860742696423898</v>
      </c>
      <c r="J121" s="306">
        <f t="shared" ca="1" si="43"/>
        <v>10.538803287519954</v>
      </c>
      <c r="K121" s="307">
        <f t="shared" ca="1" si="44"/>
        <v>54.175963538076324</v>
      </c>
      <c r="L121" s="304">
        <f t="shared" ca="1" si="29"/>
        <v>55.191497533696406</v>
      </c>
      <c r="M121" s="306">
        <f t="shared" ca="1" si="45"/>
        <v>1.3680509078416057</v>
      </c>
      <c r="N121" s="304">
        <f t="shared" ca="1" si="46"/>
        <v>78.383543178364746</v>
      </c>
      <c r="P121" s="310">
        <f t="shared" ca="1" si="47"/>
        <v>4</v>
      </c>
      <c r="Q121" s="304">
        <f t="shared" ca="1" si="48"/>
        <v>712.59999999999991</v>
      </c>
      <c r="R121" s="306">
        <f t="shared" ca="1" si="49"/>
        <v>0.3576207387398766</v>
      </c>
      <c r="S121" s="307">
        <f t="shared" ca="1" si="50"/>
        <v>8.3841287164115297</v>
      </c>
      <c r="T121" s="304">
        <f t="shared" ca="1" si="30"/>
        <v>82.248302707997112</v>
      </c>
      <c r="U121" s="311">
        <f t="shared" ca="1" si="31"/>
        <v>0</v>
      </c>
      <c r="V121" s="306">
        <f t="shared" ca="1" si="32"/>
        <v>1.2183813729913604</v>
      </c>
      <c r="W121" s="304">
        <f t="shared" ca="1" si="33"/>
        <v>34.230170423218055</v>
      </c>
      <c r="Y121" s="314" t="str">
        <f t="shared" ca="1" si="51"/>
        <v/>
      </c>
      <c r="Z121" s="315" t="str">
        <f t="shared" ca="1" si="52"/>
        <v/>
      </c>
      <c r="AA121" s="316" t="str">
        <f t="shared" ca="1" si="53"/>
        <v/>
      </c>
      <c r="AC121" s="310" t="e">
        <f t="shared" ca="1" si="54"/>
        <v>#N/A</v>
      </c>
      <c r="AD121" s="323" t="e">
        <f t="shared" ca="1" si="55"/>
        <v>#N/A</v>
      </c>
      <c r="AE121" s="324">
        <f t="shared" ca="1" si="34"/>
        <v>54.175963538076324</v>
      </c>
      <c r="AG121" s="306">
        <f t="shared" ca="1" si="56"/>
        <v>71.363850707123476</v>
      </c>
      <c r="AH121" s="304">
        <f t="shared" ca="1" si="57"/>
        <v>80.973336477181959</v>
      </c>
    </row>
    <row r="122" spans="1:34" x14ac:dyDescent="0.2">
      <c r="A122" s="347">
        <f t="shared" ca="1" si="35"/>
        <v>0.01</v>
      </c>
      <c r="B122" s="304">
        <f t="shared" ca="1" si="36"/>
        <v>1.1800000000000008</v>
      </c>
      <c r="D122" s="306">
        <f t="shared" ca="1" si="37"/>
        <v>16.260711870540003</v>
      </c>
      <c r="E122" s="307">
        <f t="shared" ca="1" si="38"/>
        <v>69.290658917845576</v>
      </c>
      <c r="F122" s="304">
        <f t="shared" ca="1" si="39"/>
        <v>71.173071900866645</v>
      </c>
      <c r="G122" s="306">
        <f t="shared" ca="1" si="40"/>
        <v>18.860978670640588</v>
      </c>
      <c r="H122" s="307">
        <f t="shared" ca="1" si="41"/>
        <v>91.651624892798068</v>
      </c>
      <c r="I122" s="304">
        <f t="shared" ca="1" si="42"/>
        <v>93.57220133086814</v>
      </c>
      <c r="J122" s="306">
        <f t="shared" ca="1" si="43"/>
        <v>10.726600038632833</v>
      </c>
      <c r="K122" s="307">
        <f t="shared" ca="1" si="44"/>
        <v>55.08901525405841</v>
      </c>
      <c r="L122" s="304">
        <f t="shared" ca="1" si="29"/>
        <v>56.123609560065518</v>
      </c>
      <c r="M122" s="306">
        <f t="shared" ca="1" si="45"/>
        <v>1.3678398051374427</v>
      </c>
      <c r="N122" s="304">
        <f t="shared" ca="1" si="46"/>
        <v>78.371447884372415</v>
      </c>
      <c r="P122" s="310">
        <f t="shared" ca="1" si="47"/>
        <v>4</v>
      </c>
      <c r="Q122" s="304">
        <f t="shared" ca="1" si="48"/>
        <v>710.99999999999989</v>
      </c>
      <c r="R122" s="306">
        <f t="shared" ca="1" si="49"/>
        <v>0.35681777328662961</v>
      </c>
      <c r="S122" s="307">
        <f t="shared" ca="1" si="50"/>
        <v>8.3805605386786635</v>
      </c>
      <c r="T122" s="304">
        <f t="shared" ca="1" si="30"/>
        <v>82.213298884437691</v>
      </c>
      <c r="U122" s="311">
        <f t="shared" ca="1" si="31"/>
        <v>0</v>
      </c>
      <c r="V122" s="306">
        <f t="shared" ca="1" si="32"/>
        <v>1.2182701327194416</v>
      </c>
      <c r="W122" s="304">
        <f t="shared" ca="1" si="33"/>
        <v>34.753519740085487</v>
      </c>
      <c r="Y122" s="314" t="str">
        <f t="shared" ca="1" si="51"/>
        <v/>
      </c>
      <c r="Z122" s="315" t="str">
        <f t="shared" ca="1" si="52"/>
        <v/>
      </c>
      <c r="AA122" s="316" t="str">
        <f t="shared" ca="1" si="53"/>
        <v/>
      </c>
      <c r="AC122" s="310" t="e">
        <f t="shared" ca="1" si="54"/>
        <v>#N/A</v>
      </c>
      <c r="AD122" s="323" t="e">
        <f t="shared" ca="1" si="55"/>
        <v>#N/A</v>
      </c>
      <c r="AE122" s="324">
        <f t="shared" ca="1" si="34"/>
        <v>55.08901525405841</v>
      </c>
      <c r="AG122" s="306">
        <f t="shared" ca="1" si="56"/>
        <v>71.145654945200519</v>
      </c>
      <c r="AH122" s="304">
        <f t="shared" ca="1" si="57"/>
        <v>80.754721173279179</v>
      </c>
    </row>
    <row r="123" spans="1:34" x14ac:dyDescent="0.2">
      <c r="A123" s="347">
        <f t="shared" ca="1" si="35"/>
        <v>0.01</v>
      </c>
      <c r="B123" s="304">
        <f t="shared" ca="1" si="36"/>
        <v>1.1900000000000008</v>
      </c>
      <c r="D123" s="306">
        <f t="shared" ca="1" si="37"/>
        <v>16.233235928140068</v>
      </c>
      <c r="E123" s="307">
        <f t="shared" ca="1" si="38"/>
        <v>69.072568930430521</v>
      </c>
      <c r="F123" s="304">
        <f t="shared" ca="1" si="39"/>
        <v>70.954476443334656</v>
      </c>
      <c r="G123" s="306">
        <f t="shared" ca="1" si="40"/>
        <v>19.023311029921988</v>
      </c>
      <c r="H123" s="307">
        <f t="shared" ca="1" si="41"/>
        <v>92.34235058210237</v>
      </c>
      <c r="I123" s="304">
        <f t="shared" ca="1" si="42"/>
        <v>94.281472589099153</v>
      </c>
      <c r="J123" s="306">
        <f t="shared" ca="1" si="43"/>
        <v>10.916021487135646</v>
      </c>
      <c r="K123" s="307">
        <f t="shared" ca="1" si="44"/>
        <v>56.008985131432915</v>
      </c>
      <c r="L123" s="304">
        <f t="shared" ca="1" si="29"/>
        <v>57.062824505633095</v>
      </c>
      <c r="M123" s="306">
        <f t="shared" ca="1" si="45"/>
        <v>1.3676300753915127</v>
      </c>
      <c r="N123" s="304">
        <f t="shared" ca="1" si="46"/>
        <v>78.359431255092261</v>
      </c>
      <c r="P123" s="310">
        <f t="shared" ca="1" si="47"/>
        <v>4</v>
      </c>
      <c r="Q123" s="304">
        <f t="shared" ca="1" si="48"/>
        <v>709.39999999999986</v>
      </c>
      <c r="R123" s="306">
        <f t="shared" ca="1" si="49"/>
        <v>0.35601480783338263</v>
      </c>
      <c r="S123" s="307">
        <f t="shared" ca="1" si="50"/>
        <v>8.3770003906003296</v>
      </c>
      <c r="T123" s="304">
        <f t="shared" ca="1" si="30"/>
        <v>82.178373831789244</v>
      </c>
      <c r="U123" s="311">
        <f t="shared" ca="1" si="31"/>
        <v>0</v>
      </c>
      <c r="V123" s="306">
        <f t="shared" ca="1" si="32"/>
        <v>1.2181580598276687</v>
      </c>
      <c r="W123" s="304">
        <f t="shared" ca="1" si="33"/>
        <v>35.279129651946761</v>
      </c>
      <c r="Y123" s="314" t="str">
        <f t="shared" ca="1" si="51"/>
        <v/>
      </c>
      <c r="Z123" s="315" t="str">
        <f t="shared" ca="1" si="52"/>
        <v/>
      </c>
      <c r="AA123" s="316" t="str">
        <f t="shared" ca="1" si="53"/>
        <v/>
      </c>
      <c r="AC123" s="310" t="e">
        <f t="shared" ca="1" si="54"/>
        <v>#N/A</v>
      </c>
      <c r="AD123" s="323" t="e">
        <f t="shared" ca="1" si="55"/>
        <v>#N/A</v>
      </c>
      <c r="AE123" s="324">
        <f t="shared" ca="1" si="34"/>
        <v>56.008985131432915</v>
      </c>
      <c r="AG123" s="306">
        <f t="shared" ca="1" si="56"/>
        <v>70.92691846718904</v>
      </c>
      <c r="AH123" s="304">
        <f t="shared" ca="1" si="57"/>
        <v>80.535567482714001</v>
      </c>
    </row>
    <row r="124" spans="1:34" x14ac:dyDescent="0.2">
      <c r="A124" s="347">
        <f t="shared" ca="1" si="35"/>
        <v>0.01</v>
      </c>
      <c r="B124" s="304">
        <f t="shared" ca="1" si="36"/>
        <v>1.2000000000000008</v>
      </c>
      <c r="D124" s="306">
        <f t="shared" ca="1" si="37"/>
        <v>16.205453016450107</v>
      </c>
      <c r="E124" s="307">
        <f t="shared" ca="1" si="38"/>
        <v>68.853993951055131</v>
      </c>
      <c r="F124" s="304">
        <f t="shared" ca="1" si="39"/>
        <v>70.735346118332586</v>
      </c>
      <c r="G124" s="306">
        <f t="shared" ca="1" si="40"/>
        <v>19.185365560086488</v>
      </c>
      <c r="H124" s="307">
        <f t="shared" ca="1" si="41"/>
        <v>93.030890521612918</v>
      </c>
      <c r="I124" s="304">
        <f t="shared" ca="1" si="42"/>
        <v>94.988551114955328</v>
      </c>
      <c r="J124" s="306">
        <f t="shared" ca="1" si="43"/>
        <v>11.107064870085688</v>
      </c>
      <c r="K124" s="307">
        <f t="shared" ca="1" si="44"/>
        <v>56.935851336951494</v>
      </c>
      <c r="L124" s="304">
        <f t="shared" ca="1" si="29"/>
        <v>58.009120468179248</v>
      </c>
      <c r="M124" s="306">
        <f t="shared" ca="1" si="45"/>
        <v>1.3674216946885955</v>
      </c>
      <c r="N124" s="304">
        <f t="shared" ca="1" si="46"/>
        <v>78.347491920283147</v>
      </c>
      <c r="P124" s="310">
        <f t="shared" ca="1" si="47"/>
        <v>4</v>
      </c>
      <c r="Q124" s="304">
        <f t="shared" ca="1" si="48"/>
        <v>707.79999999999984</v>
      </c>
      <c r="R124" s="306">
        <f t="shared" ca="1" si="49"/>
        <v>0.35521184238013565</v>
      </c>
      <c r="S124" s="307">
        <f t="shared" ca="1" si="50"/>
        <v>8.3734482721765282</v>
      </c>
      <c r="T124" s="304">
        <f t="shared" ca="1" si="30"/>
        <v>82.143527550051743</v>
      </c>
      <c r="U124" s="311">
        <f t="shared" ca="1" si="31"/>
        <v>0</v>
      </c>
      <c r="V124" s="306">
        <f t="shared" ca="1" si="32"/>
        <v>1.2180451572059932</v>
      </c>
      <c r="W124" s="304">
        <f t="shared" ca="1" si="33"/>
        <v>35.806957522888844</v>
      </c>
      <c r="Y124" s="314" t="str">
        <f t="shared" ca="1" si="51"/>
        <v/>
      </c>
      <c r="Z124" s="315" t="str">
        <f t="shared" ca="1" si="52"/>
        <v/>
      </c>
      <c r="AA124" s="316" t="str">
        <f t="shared" ca="1" si="53"/>
        <v/>
      </c>
      <c r="AC124" s="310" t="e">
        <f t="shared" ca="1" si="54"/>
        <v>#N/A</v>
      </c>
      <c r="AD124" s="323" t="e">
        <f t="shared" ca="1" si="55"/>
        <v>#N/A</v>
      </c>
      <c r="AE124" s="324">
        <f t="shared" ca="1" si="34"/>
        <v>56.935851336951494</v>
      </c>
      <c r="AG124" s="306">
        <f t="shared" ca="1" si="56"/>
        <v>70.707646353518882</v>
      </c>
      <c r="AH124" s="304">
        <f t="shared" ca="1" si="57"/>
        <v>80.315880445899424</v>
      </c>
    </row>
    <row r="125" spans="1:34" x14ac:dyDescent="0.2">
      <c r="A125" s="347">
        <f t="shared" ca="1" si="35"/>
        <v>0.01</v>
      </c>
      <c r="B125" s="304">
        <f t="shared" ca="1" si="36"/>
        <v>1.2100000000000009</v>
      </c>
      <c r="D125" s="306">
        <f t="shared" ca="1" si="37"/>
        <v>16.177366607626741</v>
      </c>
      <c r="E125" s="307">
        <f t="shared" ca="1" si="38"/>
        <v>68.6349385177801</v>
      </c>
      <c r="F125" s="304">
        <f t="shared" ca="1" si="39"/>
        <v>70.515686025855345</v>
      </c>
      <c r="G125" s="306">
        <f t="shared" ca="1" si="40"/>
        <v>19.347139226162756</v>
      </c>
      <c r="H125" s="307">
        <f t="shared" ca="1" si="41"/>
        <v>93.717239906790724</v>
      </c>
      <c r="I125" s="304">
        <f t="shared" ca="1" si="42"/>
        <v>95.693431603132993</v>
      </c>
      <c r="J125" s="306">
        <f t="shared" ca="1" si="43"/>
        <v>11.299727394016934</v>
      </c>
      <c r="K125" s="307">
        <f t="shared" ca="1" si="44"/>
        <v>57.869591989093514</v>
      </c>
      <c r="L125" s="304">
        <f t="shared" ca="1" si="29"/>
        <v>58.962475492157324</v>
      </c>
      <c r="M125" s="306">
        <f t="shared" ca="1" si="45"/>
        <v>1.3672146397006755</v>
      </c>
      <c r="N125" s="304">
        <f t="shared" ca="1" si="46"/>
        <v>78.335628543348193</v>
      </c>
      <c r="P125" s="310">
        <f t="shared" ca="1" si="47"/>
        <v>4</v>
      </c>
      <c r="Q125" s="304">
        <f t="shared" ca="1" si="48"/>
        <v>706.19999999999982</v>
      </c>
      <c r="R125" s="306">
        <f t="shared" ca="1" si="49"/>
        <v>0.35440887692688861</v>
      </c>
      <c r="S125" s="307">
        <f t="shared" ca="1" si="50"/>
        <v>8.3699041834072592</v>
      </c>
      <c r="T125" s="304">
        <f t="shared" ca="1" si="30"/>
        <v>82.108760039225217</v>
      </c>
      <c r="U125" s="311">
        <f t="shared" ca="1" si="31"/>
        <v>0</v>
      </c>
      <c r="V125" s="306">
        <f t="shared" ca="1" si="32"/>
        <v>1.2179314277509363</v>
      </c>
      <c r="W125" s="304">
        <f t="shared" ca="1" si="33"/>
        <v>36.336960760485503</v>
      </c>
      <c r="Y125" s="314" t="str">
        <f t="shared" ca="1" si="51"/>
        <v/>
      </c>
      <c r="Z125" s="315" t="str">
        <f t="shared" ca="1" si="52"/>
        <v/>
      </c>
      <c r="AA125" s="316" t="str">
        <f t="shared" ca="1" si="53"/>
        <v/>
      </c>
      <c r="AC125" s="310" t="e">
        <f t="shared" ca="1" si="54"/>
        <v>#N/A</v>
      </c>
      <c r="AD125" s="323" t="e">
        <f t="shared" ca="1" si="55"/>
        <v>#N/A</v>
      </c>
      <c r="AE125" s="324">
        <f t="shared" ca="1" si="34"/>
        <v>57.869591989093514</v>
      </c>
      <c r="AG125" s="306">
        <f t="shared" ca="1" si="56"/>
        <v>70.487843690437344</v>
      </c>
      <c r="AH125" s="304">
        <f t="shared" ca="1" si="57"/>
        <v>80.095665110016142</v>
      </c>
    </row>
    <row r="126" spans="1:34" x14ac:dyDescent="0.2">
      <c r="A126" s="347">
        <f t="shared" ca="1" si="35"/>
        <v>0.01</v>
      </c>
      <c r="B126" s="304">
        <f t="shared" ca="1" si="36"/>
        <v>1.2200000000000009</v>
      </c>
      <c r="D126" s="306">
        <f t="shared" ca="1" si="37"/>
        <v>16.14898011640269</v>
      </c>
      <c r="E126" s="307">
        <f t="shared" ca="1" si="38"/>
        <v>68.415407184350613</v>
      </c>
      <c r="F126" s="304">
        <f t="shared" ca="1" si="39"/>
        <v>70.295501271421799</v>
      </c>
      <c r="G126" s="306">
        <f t="shared" ca="1" si="40"/>
        <v>19.508629027326784</v>
      </c>
      <c r="H126" s="307">
        <f t="shared" ca="1" si="41"/>
        <v>94.401393978634232</v>
      </c>
      <c r="I126" s="304">
        <f t="shared" ca="1" si="42"/>
        <v>96.396108799241361</v>
      </c>
      <c r="J126" s="306">
        <f t="shared" ca="1" si="43"/>
        <v>11.494006235284381</v>
      </c>
      <c r="K126" s="307">
        <f t="shared" ca="1" si="44"/>
        <v>58.810185158520639</v>
      </c>
      <c r="L126" s="304">
        <f t="shared" ca="1" si="29"/>
        <v>59.922867569202971</v>
      </c>
      <c r="M126" s="306">
        <f t="shared" ca="1" si="45"/>
        <v>1.3670088876675421</v>
      </c>
      <c r="N126" s="304">
        <f t="shared" ca="1" si="46"/>
        <v>78.323839820223412</v>
      </c>
      <c r="P126" s="310">
        <f t="shared" ca="1" si="47"/>
        <v>4</v>
      </c>
      <c r="Q126" s="304">
        <f t="shared" ca="1" si="48"/>
        <v>704.5999999999998</v>
      </c>
      <c r="R126" s="306">
        <f t="shared" ca="1" si="49"/>
        <v>0.35360591147364162</v>
      </c>
      <c r="S126" s="307">
        <f t="shared" ca="1" si="50"/>
        <v>8.3663681242925225</v>
      </c>
      <c r="T126" s="304">
        <f t="shared" ca="1" si="30"/>
        <v>82.074071299309651</v>
      </c>
      <c r="U126" s="311">
        <f t="shared" ca="1" si="31"/>
        <v>0</v>
      </c>
      <c r="V126" s="306">
        <f t="shared" ca="1" si="32"/>
        <v>1.2178168743655104</v>
      </c>
      <c r="W126" s="304">
        <f t="shared" ca="1" si="33"/>
        <v>36.869096818520873</v>
      </c>
      <c r="Y126" s="314" t="str">
        <f t="shared" ca="1" si="51"/>
        <v/>
      </c>
      <c r="Z126" s="315" t="str">
        <f t="shared" ca="1" si="52"/>
        <v/>
      </c>
      <c r="AA126" s="316" t="str">
        <f t="shared" ca="1" si="53"/>
        <v/>
      </c>
      <c r="AC126" s="310" t="e">
        <f t="shared" ca="1" si="54"/>
        <v>#N/A</v>
      </c>
      <c r="AD126" s="323" t="e">
        <f t="shared" ca="1" si="55"/>
        <v>#N/A</v>
      </c>
      <c r="AE126" s="324">
        <f t="shared" ca="1" si="34"/>
        <v>58.810185158520639</v>
      </c>
      <c r="AG126" s="306">
        <f t="shared" ca="1" si="56"/>
        <v>70.267515569678764</v>
      </c>
      <c r="AH126" s="304">
        <f t="shared" ca="1" si="57"/>
        <v>79.874926528651173</v>
      </c>
    </row>
    <row r="127" spans="1:34" x14ac:dyDescent="0.2">
      <c r="A127" s="347">
        <f t="shared" ca="1" si="35"/>
        <v>0.01</v>
      </c>
      <c r="B127" s="304">
        <f t="shared" ca="1" si="36"/>
        <v>1.2300000000000009</v>
      </c>
      <c r="D127" s="306">
        <f t="shared" ca="1" si="37"/>
        <v>16.120296901998017</v>
      </c>
      <c r="E127" s="307">
        <f t="shared" ca="1" si="38"/>
        <v>68.195404519530015</v>
      </c>
      <c r="F127" s="304">
        <f t="shared" ca="1" si="39"/>
        <v>70.074796965748689</v>
      </c>
      <c r="G127" s="306">
        <f t="shared" ca="1" si="40"/>
        <v>19.669831996346765</v>
      </c>
      <c r="H127" s="307">
        <f t="shared" ca="1" si="41"/>
        <v>95.083348023829529</v>
      </c>
      <c r="I127" s="304">
        <f t="shared" ca="1" si="42"/>
        <v>97.096577499854206</v>
      </c>
      <c r="J127" s="306">
        <f t="shared" ca="1" si="43"/>
        <v>11.68989854040275</v>
      </c>
      <c r="K127" s="307">
        <f t="shared" ca="1" si="44"/>
        <v>59.757608868532955</v>
      </c>
      <c r="L127" s="304">
        <f t="shared" ca="1" si="29"/>
        <v>60.890274638643888</v>
      </c>
      <c r="M127" s="306">
        <f t="shared" ca="1" si="45"/>
        <v>1.3668044163781867</v>
      </c>
      <c r="N127" s="304">
        <f t="shared" ca="1" si="46"/>
        <v>78.312124478311759</v>
      </c>
      <c r="P127" s="310">
        <f t="shared" ca="1" si="47"/>
        <v>4</v>
      </c>
      <c r="Q127" s="304">
        <f t="shared" ca="1" si="48"/>
        <v>702.99999999999989</v>
      </c>
      <c r="R127" s="306">
        <f t="shared" ca="1" si="49"/>
        <v>0.35280294602039469</v>
      </c>
      <c r="S127" s="307">
        <f t="shared" ca="1" si="50"/>
        <v>8.3628400948323183</v>
      </c>
      <c r="T127" s="304">
        <f t="shared" ca="1" si="30"/>
        <v>82.039461330305045</v>
      </c>
      <c r="U127" s="311">
        <f t="shared" ca="1" si="31"/>
        <v>0</v>
      </c>
      <c r="V127" s="306">
        <f t="shared" ca="1" si="32"/>
        <v>1.2177014999591429</v>
      </c>
      <c r="W127" s="304">
        <f t="shared" ca="1" si="33"/>
        <v>37.403323199697468</v>
      </c>
      <c r="Y127" s="314" t="str">
        <f t="shared" ca="1" si="51"/>
        <v/>
      </c>
      <c r="Z127" s="315" t="str">
        <f t="shared" ca="1" si="52"/>
        <v/>
      </c>
      <c r="AA127" s="316" t="str">
        <f t="shared" ca="1" si="53"/>
        <v/>
      </c>
      <c r="AC127" s="310" t="e">
        <f t="shared" ca="1" si="54"/>
        <v>#N/A</v>
      </c>
      <c r="AD127" s="323" t="e">
        <f t="shared" ca="1" si="55"/>
        <v>#N/A</v>
      </c>
      <c r="AE127" s="324">
        <f t="shared" ca="1" si="34"/>
        <v>59.757608868532955</v>
      </c>
      <c r="AG127" s="306">
        <f t="shared" ca="1" si="56"/>
        <v>70.046667088133248</v>
      </c>
      <c r="AH127" s="304">
        <f t="shared" ca="1" si="57"/>
        <v>79.653669761437115</v>
      </c>
    </row>
    <row r="128" spans="1:34" x14ac:dyDescent="0.2">
      <c r="A128" s="347">
        <f t="shared" ca="1" si="35"/>
        <v>0.01</v>
      </c>
      <c r="B128" s="304">
        <f t="shared" ca="1" si="36"/>
        <v>1.2400000000000009</v>
      </c>
      <c r="D128" s="306">
        <f t="shared" ca="1" si="37"/>
        <v>16.091320269949939</v>
      </c>
      <c r="E128" s="307">
        <f t="shared" ca="1" si="38"/>
        <v>67.974935106447262</v>
      </c>
      <c r="F128" s="304">
        <f t="shared" ca="1" si="39"/>
        <v>69.85357822442468</v>
      </c>
      <c r="G128" s="306">
        <f t="shared" ca="1" si="40"/>
        <v>19.830745199046266</v>
      </c>
      <c r="H128" s="307">
        <f t="shared" ca="1" si="41"/>
        <v>95.763097374894002</v>
      </c>
      <c r="I128" s="304">
        <f t="shared" ca="1" si="42"/>
        <v>97.794832552558347</v>
      </c>
      <c r="J128" s="306">
        <f t="shared" ca="1" si="43"/>
        <v>11.887401426379714</v>
      </c>
      <c r="K128" s="307">
        <f t="shared" ca="1" si="44"/>
        <v>60.711841095526573</v>
      </c>
      <c r="L128" s="304">
        <f t="shared" ca="1" si="29"/>
        <v>61.864674588009947</v>
      </c>
      <c r="M128" s="306">
        <f t="shared" ca="1" si="45"/>
        <v>1.3666012041529576</v>
      </c>
      <c r="N128" s="304">
        <f t="shared" ca="1" si="46"/>
        <v>78.300481275460655</v>
      </c>
      <c r="P128" s="310">
        <f t="shared" ca="1" si="47"/>
        <v>4</v>
      </c>
      <c r="Q128" s="304">
        <f t="shared" ca="1" si="48"/>
        <v>701.39999999999986</v>
      </c>
      <c r="R128" s="306">
        <f t="shared" ca="1" si="49"/>
        <v>0.35199998056714771</v>
      </c>
      <c r="S128" s="307">
        <f t="shared" ca="1" si="50"/>
        <v>8.3593200950266464</v>
      </c>
      <c r="T128" s="304">
        <f t="shared" ca="1" si="30"/>
        <v>82.004930132211399</v>
      </c>
      <c r="U128" s="311">
        <f t="shared" ca="1" si="31"/>
        <v>0</v>
      </c>
      <c r="V128" s="306">
        <f t="shared" ca="1" si="32"/>
        <v>1.2175853074475989</v>
      </c>
      <c r="W128" s="304">
        <f t="shared" ca="1" si="33"/>
        <v>37.939597458328706</v>
      </c>
      <c r="Y128" s="314" t="str">
        <f t="shared" ca="1" si="51"/>
        <v/>
      </c>
      <c r="Z128" s="315" t="str">
        <f t="shared" ca="1" si="52"/>
        <v/>
      </c>
      <c r="AA128" s="316" t="str">
        <f t="shared" ca="1" si="53"/>
        <v/>
      </c>
      <c r="AC128" s="310" t="e">
        <f t="shared" ca="1" si="54"/>
        <v>#N/A</v>
      </c>
      <c r="AD128" s="323" t="e">
        <f t="shared" ca="1" si="55"/>
        <v>#N/A</v>
      </c>
      <c r="AE128" s="324">
        <f t="shared" ca="1" si="34"/>
        <v>60.711841095526573</v>
      </c>
      <c r="AG128" s="306">
        <f t="shared" ca="1" si="56"/>
        <v>69.8253033475156</v>
      </c>
      <c r="AH128" s="304">
        <f t="shared" ca="1" si="57"/>
        <v>79.431899873692515</v>
      </c>
    </row>
    <row r="129" spans="1:34" x14ac:dyDescent="0.2">
      <c r="A129" s="347">
        <f t="shared" ca="1" si="35"/>
        <v>0.01</v>
      </c>
      <c r="B129" s="304">
        <f t="shared" ca="1" si="36"/>
        <v>1.2500000000000009</v>
      </c>
      <c r="D129" s="306">
        <f t="shared" ca="1" si="37"/>
        <v>16.062053473864815</v>
      </c>
      <c r="E129" s="307">
        <f t="shared" ca="1" si="38"/>
        <v>67.754003541957005</v>
      </c>
      <c r="F129" s="304">
        <f t="shared" ca="1" si="39"/>
        <v>69.631850167583622</v>
      </c>
      <c r="G129" s="306">
        <f t="shared" ca="1" si="40"/>
        <v>19.991365733784914</v>
      </c>
      <c r="H129" s="307">
        <f t="shared" ca="1" si="41"/>
        <v>96.44063741031357</v>
      </c>
      <c r="I129" s="304">
        <f t="shared" ca="1" si="42"/>
        <v>98.490868855998642</v>
      </c>
      <c r="J129" s="306">
        <f t="shared" ca="1" si="43"/>
        <v>12.08651198104387</v>
      </c>
      <c r="K129" s="307">
        <f t="shared" ca="1" si="44"/>
        <v>61.672859769452614</v>
      </c>
      <c r="L129" s="304">
        <f t="shared" ca="1" si="29"/>
        <v>62.846045253543871</v>
      </c>
      <c r="M129" s="306">
        <f t="shared" ca="1" si="45"/>
        <v>1.3663992298264382</v>
      </c>
      <c r="N129" s="304">
        <f t="shared" ca="1" si="46"/>
        <v>78.2889089989811</v>
      </c>
      <c r="P129" s="310">
        <f t="shared" ca="1" si="47"/>
        <v>4</v>
      </c>
      <c r="Q129" s="304">
        <f t="shared" ca="1" si="48"/>
        <v>699.79999999999984</v>
      </c>
      <c r="R129" s="306">
        <f t="shared" ca="1" si="49"/>
        <v>0.35119701511390067</v>
      </c>
      <c r="S129" s="307">
        <f t="shared" ca="1" si="50"/>
        <v>8.3558081248755069</v>
      </c>
      <c r="T129" s="304">
        <f t="shared" ca="1" si="30"/>
        <v>81.970477705028728</v>
      </c>
      <c r="U129" s="311">
        <f t="shared" ca="1" si="31"/>
        <v>0</v>
      </c>
      <c r="V129" s="306">
        <f t="shared" ca="1" si="32"/>
        <v>1.2174682997529003</v>
      </c>
      <c r="W129" s="304">
        <f t="shared" ca="1" si="33"/>
        <v>38.477877203015169</v>
      </c>
      <c r="Y129" s="314" t="str">
        <f t="shared" ca="1" si="51"/>
        <v/>
      </c>
      <c r="Z129" s="315" t="str">
        <f t="shared" ca="1" si="52"/>
        <v/>
      </c>
      <c r="AA129" s="316" t="str">
        <f t="shared" ca="1" si="53"/>
        <v/>
      </c>
      <c r="AC129" s="310" t="e">
        <f t="shared" ca="1" si="54"/>
        <v>#N/A</v>
      </c>
      <c r="AD129" s="323" t="e">
        <f t="shared" ca="1" si="55"/>
        <v>#N/A</v>
      </c>
      <c r="AE129" s="324">
        <f t="shared" ca="1" si="34"/>
        <v>61.672859769452614</v>
      </c>
      <c r="AG129" s="306">
        <f t="shared" ca="1" si="56"/>
        <v>69.60342945403346</v>
      </c>
      <c r="AH129" s="304">
        <f t="shared" ca="1" si="57"/>
        <v>79.20962193606286</v>
      </c>
    </row>
    <row r="130" spans="1:34" x14ac:dyDescent="0.2">
      <c r="A130" s="347">
        <f t="shared" ca="1" si="35"/>
        <v>0.01</v>
      </c>
      <c r="B130" s="304">
        <f t="shared" ca="1" si="36"/>
        <v>1.2600000000000009</v>
      </c>
      <c r="D130" s="306">
        <f t="shared" ca="1" si="37"/>
        <v>16.032499717096243</v>
      </c>
      <c r="E130" s="307">
        <f t="shared" ca="1" si="38"/>
        <v>67.532614436012253</v>
      </c>
      <c r="F130" s="304">
        <f t="shared" ca="1" si="39"/>
        <v>69.40961791957784</v>
      </c>
      <c r="G130" s="306">
        <f t="shared" ca="1" si="40"/>
        <v>20.151690730955877</v>
      </c>
      <c r="H130" s="307">
        <f t="shared" ca="1" si="41"/>
        <v>97.115963554673698</v>
      </c>
      <c r="I130" s="304">
        <f t="shared" ca="1" si="42"/>
        <v>99.184681359919708</v>
      </c>
      <c r="J130" s="306">
        <f t="shared" ca="1" si="43"/>
        <v>12.287227263367575</v>
      </c>
      <c r="K130" s="307">
        <f t="shared" ca="1" si="44"/>
        <v>62.640642774277552</v>
      </c>
      <c r="L130" s="304">
        <f t="shared" ca="1" si="29"/>
        <v>63.834364420712248</v>
      </c>
      <c r="M130" s="306">
        <f t="shared" ca="1" si="45"/>
        <v>1.366198472731011</v>
      </c>
      <c r="N130" s="304">
        <f t="shared" ca="1" si="46"/>
        <v>78.27740646470582</v>
      </c>
      <c r="P130" s="310">
        <f t="shared" ca="1" si="47"/>
        <v>4</v>
      </c>
      <c r="Q130" s="304">
        <f t="shared" ca="1" si="48"/>
        <v>698.19999999999982</v>
      </c>
      <c r="R130" s="306">
        <f t="shared" ca="1" si="49"/>
        <v>0.35039404966065368</v>
      </c>
      <c r="S130" s="307">
        <f t="shared" ca="1" si="50"/>
        <v>8.3523041843788999</v>
      </c>
      <c r="T130" s="304">
        <f t="shared" ca="1" si="30"/>
        <v>81.936104048757016</v>
      </c>
      <c r="U130" s="311">
        <f t="shared" ca="1" si="31"/>
        <v>0</v>
      </c>
      <c r="V130" s="306">
        <f t="shared" ca="1" si="32"/>
        <v>1.2173504798032531</v>
      </c>
      <c r="W130" s="304">
        <f t="shared" ca="1" si="33"/>
        <v>39.018120099304738</v>
      </c>
      <c r="Y130" s="314" t="str">
        <f t="shared" ca="1" si="51"/>
        <v/>
      </c>
      <c r="Z130" s="315" t="str">
        <f t="shared" ca="1" si="52"/>
        <v/>
      </c>
      <c r="AA130" s="316" t="str">
        <f t="shared" ca="1" si="53"/>
        <v/>
      </c>
      <c r="AC130" s="310" t="e">
        <f t="shared" ca="1" si="54"/>
        <v>#N/A</v>
      </c>
      <c r="AD130" s="323" t="e">
        <f t="shared" ca="1" si="55"/>
        <v>#N/A</v>
      </c>
      <c r="AE130" s="324">
        <f t="shared" ca="1" si="34"/>
        <v>62.640642774277552</v>
      </c>
      <c r="AG130" s="306">
        <f t="shared" ca="1" si="56"/>
        <v>69.381050518055702</v>
      </c>
      <c r="AH130" s="304">
        <f t="shared" ca="1" si="57"/>
        <v>78.986841024162644</v>
      </c>
    </row>
    <row r="131" spans="1:34" x14ac:dyDescent="0.2">
      <c r="A131" s="347">
        <f t="shared" ca="1" si="35"/>
        <v>0.01</v>
      </c>
      <c r="B131" s="304">
        <f t="shared" ca="1" si="36"/>
        <v>1.2700000000000009</v>
      </c>
      <c r="D131" s="306">
        <f t="shared" ca="1" si="37"/>
        <v>16.002662154352915</v>
      </c>
      <c r="E131" s="307">
        <f t="shared" ca="1" si="38"/>
        <v>67.310772411049001</v>
      </c>
      <c r="F131" s="304">
        <f t="shared" ca="1" si="39"/>
        <v>69.186886608651449</v>
      </c>
      <c r="G131" s="306">
        <f t="shared" ca="1" si="40"/>
        <v>20.311717352499407</v>
      </c>
      <c r="H131" s="307">
        <f t="shared" ca="1" si="41"/>
        <v>97.789071278784192</v>
      </c>
      <c r="I131" s="304">
        <f t="shared" ca="1" si="42"/>
        <v>99.876265065204365</v>
      </c>
      <c r="J131" s="306">
        <f t="shared" ca="1" si="43"/>
        <v>12.48954430378485</v>
      </c>
      <c r="K131" s="307">
        <f t="shared" ca="1" si="44"/>
        <v>63.615167948444842</v>
      </c>
      <c r="L131" s="304">
        <f t="shared" ca="1" si="29"/>
        <v>64.829609824717039</v>
      </c>
      <c r="M131" s="306">
        <f t="shared" ca="1" si="45"/>
        <v>1.365998912681075</v>
      </c>
      <c r="N131" s="304">
        <f t="shared" ca="1" si="46"/>
        <v>78.265972516085071</v>
      </c>
      <c r="P131" s="310">
        <f t="shared" ca="1" si="47"/>
        <v>4</v>
      </c>
      <c r="Q131" s="304">
        <f t="shared" ca="1" si="48"/>
        <v>696.5999999999998</v>
      </c>
      <c r="R131" s="306">
        <f t="shared" ca="1" si="49"/>
        <v>0.3495910842074067</v>
      </c>
      <c r="S131" s="307">
        <f t="shared" ca="1" si="50"/>
        <v>8.3488082735368252</v>
      </c>
      <c r="T131" s="304">
        <f t="shared" ca="1" si="30"/>
        <v>81.901809163396265</v>
      </c>
      <c r="U131" s="311">
        <f t="shared" ca="1" si="31"/>
        <v>0</v>
      </c>
      <c r="V131" s="306">
        <f t="shared" ca="1" si="32"/>
        <v>1.2172318505329651</v>
      </c>
      <c r="W131" s="304">
        <f t="shared" ca="1" si="33"/>
        <v>39.560283872336228</v>
      </c>
      <c r="Y131" s="314" t="str">
        <f t="shared" ca="1" si="51"/>
        <v/>
      </c>
      <c r="Z131" s="315" t="str">
        <f t="shared" ca="1" si="52"/>
        <v/>
      </c>
      <c r="AA131" s="316" t="str">
        <f t="shared" ca="1" si="53"/>
        <v/>
      </c>
      <c r="AC131" s="310" t="e">
        <f t="shared" ca="1" si="54"/>
        <v>#N/A</v>
      </c>
      <c r="AD131" s="323" t="e">
        <f t="shared" ca="1" si="55"/>
        <v>#N/A</v>
      </c>
      <c r="AE131" s="324">
        <f t="shared" ca="1" si="34"/>
        <v>63.615167948444842</v>
      </c>
      <c r="AG131" s="306">
        <f t="shared" ca="1" si="56"/>
        <v>69.158171653780627</v>
      </c>
      <c r="AH131" s="304">
        <f t="shared" ca="1" si="57"/>
        <v>78.763562218218496</v>
      </c>
    </row>
    <row r="132" spans="1:34" x14ac:dyDescent="0.2">
      <c r="A132" s="347">
        <f t="shared" ca="1" si="35"/>
        <v>0.01</v>
      </c>
      <c r="B132" s="304">
        <f t="shared" ca="1" si="36"/>
        <v>1.2800000000000009</v>
      </c>
      <c r="D132" s="306">
        <f t="shared" ca="1" si="37"/>
        <v>15.972543893239461</v>
      </c>
      <c r="E132" s="307">
        <f t="shared" ca="1" si="38"/>
        <v>67.088482101381885</v>
      </c>
      <c r="F132" s="304">
        <f t="shared" ca="1" si="39"/>
        <v>68.963661366613209</v>
      </c>
      <c r="G132" s="306">
        <f t="shared" ca="1" si="40"/>
        <v>20.471442791431802</v>
      </c>
      <c r="H132" s="307">
        <f t="shared" ca="1" si="41"/>
        <v>98.459956099798006</v>
      </c>
      <c r="I132" s="304">
        <f t="shared" ca="1" si="42"/>
        <v>100.56561502390872</v>
      </c>
      <c r="J132" s="306">
        <f t="shared" ca="1" si="43"/>
        <v>12.693460104504506</v>
      </c>
      <c r="K132" s="307">
        <f t="shared" ca="1" si="44"/>
        <v>64.596413085337758</v>
      </c>
      <c r="L132" s="304">
        <f t="shared" ref="L132:L195" ca="1" si="58">SQRT(pos_x^2+pos_z^2)</f>
        <v>65.831759151007375</v>
      </c>
      <c r="M132" s="306">
        <f t="shared" ca="1" si="45"/>
        <v>1.3658005299578859</v>
      </c>
      <c r="N132" s="304">
        <f t="shared" ca="1" si="46"/>
        <v>78.254606023318019</v>
      </c>
      <c r="P132" s="310">
        <f t="shared" ca="1" si="47"/>
        <v>4</v>
      </c>
      <c r="Q132" s="304">
        <f t="shared" ca="1" si="48"/>
        <v>694.99999999999989</v>
      </c>
      <c r="R132" s="306">
        <f t="shared" ca="1" si="49"/>
        <v>0.34878811875415977</v>
      </c>
      <c r="S132" s="307">
        <f t="shared" ca="1" si="50"/>
        <v>8.3453203923492829</v>
      </c>
      <c r="T132" s="304">
        <f t="shared" ref="T132:T195" ca="1" si="59">m*g</f>
        <v>81.867593048946475</v>
      </c>
      <c r="U132" s="311">
        <f t="shared" ref="U132:U195" ca="1" si="60">IF(pos_xz&lt;L_rampe,Poids*COS(Beta),0)</f>
        <v>0</v>
      </c>
      <c r="V132" s="306">
        <f t="shared" ref="V132:V195" ca="1" si="61">Rho_moyen*(20000-Alt_rampe-pos_z)/(20000+Alt_rampe+pos_z)</f>
        <v>1.2171124148823713</v>
      </c>
      <c r="W132" s="304">
        <f t="shared" ref="W132:W195" ca="1" si="62">1/2*Rho*Sref*Cx*vit_xz^2</f>
        <v>40.104326309466323</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64.596413085337758</v>
      </c>
      <c r="AG132" s="306">
        <f t="shared" ca="1" si="56"/>
        <v>68.934797978904115</v>
      </c>
      <c r="AH132" s="304">
        <f t="shared" ca="1" si="57"/>
        <v>78.53979060271304</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15.942147995733583</v>
      </c>
      <c r="E133" s="307">
        <f t="shared" ref="E133:E196" ca="1" si="67">IF(AND(L132&lt;L_rampe,Poussee&lt;Poids*SIN(M132)),0,(-W132+Poussee)/m*SIN(M132)+U132/m*COS(M132)-Poids/m)</f>
        <v>66.865748152611161</v>
      </c>
      <c r="F133" s="304">
        <f t="shared" ref="F133:F196" ca="1" si="68">SQRT(acc_x^2+acc_z^2)</f>
        <v>68.739947328509757</v>
      </c>
      <c r="G133" s="306">
        <f t="shared" ref="G133:G196" ca="1" si="69">G132+acc_x*pas</f>
        <v>20.630864271389136</v>
      </c>
      <c r="H133" s="307">
        <f t="shared" ref="H133:H196" ca="1" si="70">H132+acc_z*pas</f>
        <v>99.128613581324117</v>
      </c>
      <c r="I133" s="304">
        <f t="shared" ref="I133:I196" ca="1" si="71">SQRT(vit_x^2+vit_z^2)</f>
        <v>101.25272633929399</v>
      </c>
      <c r="J133" s="306">
        <f t="shared" ref="J133:J196" ca="1" si="72">J132+0.5*(vit_x+G132)*pas*(K132&gt;=0)</f>
        <v>12.898971639818612</v>
      </c>
      <c r="K133" s="307">
        <f t="shared" ref="K133:K196" ca="1" si="73">K132+0.5*(vit_z+H132)*pas</f>
        <v>65.584355933743367</v>
      </c>
      <c r="L133" s="304">
        <f t="shared" ca="1" si="58"/>
        <v>66.840790035791642</v>
      </c>
      <c r="M133" s="306">
        <f t="shared" ref="M133:M196" ca="1" si="74">IF(AND(L132&gt;L_rampe,G133&gt;0),ATAN2(G133,H133),$M$4)</f>
        <v>1.3656033052949912</v>
      </c>
      <c r="N133" s="304">
        <f t="shared" ref="N133:N196" ca="1" si="75">DEGREES(Beta)</f>
        <v>78.243305882518257</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8.341840540816273</v>
      </c>
      <c r="T133" s="304">
        <f t="shared" ca="1" si="59"/>
        <v>81.833455705407644</v>
      </c>
      <c r="U133" s="311">
        <f t="shared" ca="1" si="60"/>
        <v>0</v>
      </c>
      <c r="V133" s="306">
        <f t="shared" ca="1" si="61"/>
        <v>1.2169921757977531</v>
      </c>
      <c r="W133" s="304">
        <f t="shared" ca="1" si="62"/>
        <v>40.650205262879467</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65.584355933743367</v>
      </c>
      <c r="AG133" s="306">
        <f t="shared" ref="AG133:AG196" ca="1" si="85">IF(AND(L132&lt;L_rampe,Poussee&lt;Poids*SIN(M132)),0,(-W132+Poussee)/m-Poids*SIN(M132)/m)</f>
        <v>68.710934614287922</v>
      </c>
      <c r="AH133" s="304">
        <f t="shared" ref="AH133:AH196" ca="1" si="86">IF(AND(L132&lt;L_rampe,Poussee&lt;Poids*SIN(M132)), g*SIN(M132), (-W132+Poussee)/m)</f>
        <v>78.315531266030021</v>
      </c>
    </row>
    <row r="134" spans="1:34" x14ac:dyDescent="0.2">
      <c r="A134" s="347">
        <f t="shared" ca="1" si="64"/>
        <v>0.01</v>
      </c>
      <c r="B134" s="304">
        <f t="shared" ca="1" si="65"/>
        <v>1.3000000000000009</v>
      </c>
      <c r="D134" s="306">
        <f t="shared" ca="1" si="66"/>
        <v>15.911477479602389</v>
      </c>
      <c r="E134" s="307">
        <f t="shared" ca="1" si="67"/>
        <v>66.642575221040119</v>
      </c>
      <c r="F134" s="304">
        <f t="shared" ca="1" si="68"/>
        <v>68.515749632299034</v>
      </c>
      <c r="G134" s="306">
        <f t="shared" ca="1" si="69"/>
        <v>20.789979046185159</v>
      </c>
      <c r="H134" s="307">
        <f t="shared" ca="1" si="70"/>
        <v>99.795039333534518</v>
      </c>
      <c r="I134" s="304">
        <f t="shared" ca="1" si="71"/>
        <v>101.93759416585483</v>
      </c>
      <c r="J134" s="306">
        <f t="shared" ca="1" si="72"/>
        <v>13.106075856406484</v>
      </c>
      <c r="K134" s="307">
        <f t="shared" ca="1" si="73"/>
        <v>66.578974198317667</v>
      </c>
      <c r="L134" s="304">
        <f t="shared" ca="1" si="58"/>
        <v>67.856680066550055</v>
      </c>
      <c r="M134" s="306">
        <f t="shared" ca="1" si="74"/>
        <v>1.3654072198642282</v>
      </c>
      <c r="N134" s="304">
        <f t="shared" ca="1" si="75"/>
        <v>78.23207101491154</v>
      </c>
      <c r="P134" s="310">
        <f t="shared" ca="1" si="76"/>
        <v>4</v>
      </c>
      <c r="Q134" s="304">
        <f t="shared" ca="1" si="77"/>
        <v>691.79999999999984</v>
      </c>
      <c r="R134" s="306">
        <f t="shared" ca="1" si="78"/>
        <v>0.34718218784766575</v>
      </c>
      <c r="S134" s="307">
        <f t="shared" ca="1" si="79"/>
        <v>8.3383687189377955</v>
      </c>
      <c r="T134" s="304">
        <f t="shared" ca="1" si="59"/>
        <v>81.799397132779774</v>
      </c>
      <c r="U134" s="311">
        <f t="shared" ca="1" si="60"/>
        <v>0</v>
      </c>
      <c r="V134" s="306">
        <f t="shared" ca="1" si="61"/>
        <v>1.2168711362312623</v>
      </c>
      <c r="W134" s="304">
        <f t="shared" ca="1" si="62"/>
        <v>41.197878652180542</v>
      </c>
      <c r="Y134" s="314" t="str">
        <f t="shared" ca="1" si="80"/>
        <v/>
      </c>
      <c r="Z134" s="315" t="str">
        <f t="shared" ca="1" si="81"/>
        <v/>
      </c>
      <c r="AA134" s="316" t="str">
        <f t="shared" ca="1" si="82"/>
        <v/>
      </c>
      <c r="AC134" s="310" t="e">
        <f t="shared" ca="1" si="83"/>
        <v>#N/A</v>
      </c>
      <c r="AD134" s="323" t="e">
        <f t="shared" ca="1" si="84"/>
        <v>#N/A</v>
      </c>
      <c r="AE134" s="324">
        <f t="shared" ca="1" si="63"/>
        <v>66.578974198317667</v>
      </c>
      <c r="AG134" s="306">
        <f t="shared" ca="1" si="85"/>
        <v>68.486586683628317</v>
      </c>
      <c r="AH134" s="304">
        <f t="shared" ca="1" si="86"/>
        <v>78.090789300100511</v>
      </c>
    </row>
    <row r="135" spans="1:34" x14ac:dyDescent="0.2">
      <c r="A135" s="347">
        <f t="shared" ca="1" si="64"/>
        <v>0.01</v>
      </c>
      <c r="B135" s="304">
        <f t="shared" ca="1" si="65"/>
        <v>1.3100000000000009</v>
      </c>
      <c r="D135" s="306">
        <f t="shared" ca="1" si="66"/>
        <v>15.880535319760906</v>
      </c>
      <c r="E135" s="307">
        <f t="shared" ca="1" si="67"/>
        <v>66.418967973102625</v>
      </c>
      <c r="F135" s="304">
        <f t="shared" ca="1" si="68"/>
        <v>68.29107341852378</v>
      </c>
      <c r="G135" s="306">
        <f t="shared" ca="1" si="69"/>
        <v>20.94878439938277</v>
      </c>
      <c r="H135" s="307">
        <f t="shared" ca="1" si="70"/>
        <v>100.45922901326554</v>
      </c>
      <c r="I135" s="304">
        <f t="shared" ca="1" si="71"/>
        <v>102.6202137093446</v>
      </c>
      <c r="J135" s="306">
        <f t="shared" ca="1" si="72"/>
        <v>13.314769673634324</v>
      </c>
      <c r="K135" s="307">
        <f t="shared" ca="1" si="73"/>
        <v>67.580245540051664</v>
      </c>
      <c r="L135" s="304">
        <f t="shared" ca="1" si="58"/>
        <v>68.879406782547179</v>
      </c>
      <c r="M135" s="306">
        <f t="shared" ca="1" si="74"/>
        <v>1.3652122552622645</v>
      </c>
      <c r="N135" s="304">
        <f t="shared" ca="1" si="75"/>
        <v>78.220900366064569</v>
      </c>
      <c r="P135" s="310">
        <f t="shared" ca="1" si="76"/>
        <v>4</v>
      </c>
      <c r="Q135" s="304">
        <f t="shared" ca="1" si="77"/>
        <v>690.19999999999982</v>
      </c>
      <c r="R135" s="306">
        <f t="shared" ca="1" si="78"/>
        <v>0.34637922239441876</v>
      </c>
      <c r="S135" s="307">
        <f t="shared" ca="1" si="79"/>
        <v>8.3349049267138522</v>
      </c>
      <c r="T135" s="304">
        <f t="shared" ca="1" si="59"/>
        <v>81.765417331062892</v>
      </c>
      <c r="U135" s="311">
        <f t="shared" ca="1" si="60"/>
        <v>0</v>
      </c>
      <c r="V135" s="306">
        <f t="shared" ca="1" si="61"/>
        <v>1.2167492991408406</v>
      </c>
      <c r="W135" s="304">
        <f t="shared" ca="1" si="62"/>
        <v>41.747304466970107</v>
      </c>
      <c r="Y135" s="314" t="str">
        <f t="shared" ca="1" si="80"/>
        <v/>
      </c>
      <c r="Z135" s="315" t="str">
        <f t="shared" ca="1" si="81"/>
        <v/>
      </c>
      <c r="AA135" s="316" t="str">
        <f t="shared" ca="1" si="82"/>
        <v/>
      </c>
      <c r="AC135" s="310" t="e">
        <f t="shared" ca="1" si="83"/>
        <v>#N/A</v>
      </c>
      <c r="AD135" s="323" t="e">
        <f t="shared" ca="1" si="84"/>
        <v>#N/A</v>
      </c>
      <c r="AE135" s="324">
        <f t="shared" ca="1" si="63"/>
        <v>67.580245540051664</v>
      </c>
      <c r="AG135" s="306">
        <f t="shared" ca="1" si="85"/>
        <v>68.261759313124827</v>
      </c>
      <c r="AH135" s="304">
        <f t="shared" ca="1" si="86"/>
        <v>77.865569800050139</v>
      </c>
    </row>
    <row r="136" spans="1:34" x14ac:dyDescent="0.2">
      <c r="A136" s="347">
        <f t="shared" ca="1" si="64"/>
        <v>0.01</v>
      </c>
      <c r="B136" s="304">
        <f t="shared" ca="1" si="65"/>
        <v>1.320000000000001</v>
      </c>
      <c r="D136" s="306">
        <f t="shared" ca="1" si="66"/>
        <v>15.849324449575267</v>
      </c>
      <c r="E136" s="307">
        <f t="shared" ca="1" si="67"/>
        <v>66.194931084800459</v>
      </c>
      <c r="F136" s="304">
        <f t="shared" ca="1" si="68"/>
        <v>68.065923829985493</v>
      </c>
      <c r="G136" s="306">
        <f t="shared" ca="1" si="69"/>
        <v>21.107277643878522</v>
      </c>
      <c r="H136" s="307">
        <f t="shared" ca="1" si="70"/>
        <v>101.12117832411354</v>
      </c>
      <c r="I136" s="304">
        <f t="shared" ca="1" si="71"/>
        <v>103.30058022679711</v>
      </c>
      <c r="J136" s="306">
        <f t="shared" ca="1" si="72"/>
        <v>13.52504998385063</v>
      </c>
      <c r="K136" s="307">
        <f t="shared" ca="1" si="73"/>
        <v>68.588147576738564</v>
      </c>
      <c r="L136" s="304">
        <f t="shared" ca="1" si="58"/>
        <v>69.908947675345004</v>
      </c>
      <c r="M136" s="306">
        <f t="shared" ca="1" si="74"/>
        <v>1.3650183934976499</v>
      </c>
      <c r="N136" s="304">
        <f t="shared" ca="1" si="75"/>
        <v>78.209792905143189</v>
      </c>
      <c r="P136" s="310">
        <f t="shared" ca="1" si="76"/>
        <v>4</v>
      </c>
      <c r="Q136" s="304">
        <f t="shared" ca="1" si="77"/>
        <v>688.5999999999998</v>
      </c>
      <c r="R136" s="306">
        <f t="shared" ca="1" si="78"/>
        <v>0.34557625694117178</v>
      </c>
      <c r="S136" s="307">
        <f t="shared" ca="1" si="79"/>
        <v>8.3314491641444413</v>
      </c>
      <c r="T136" s="304">
        <f t="shared" ca="1" si="59"/>
        <v>81.73151630025697</v>
      </c>
      <c r="U136" s="311">
        <f t="shared" ca="1" si="60"/>
        <v>0</v>
      </c>
      <c r="V136" s="306">
        <f t="shared" ca="1" si="61"/>
        <v>1.2166266674901445</v>
      </c>
      <c r="W136" s="304">
        <f t="shared" ca="1" si="62"/>
        <v>42.298440769402077</v>
      </c>
      <c r="Y136" s="314" t="str">
        <f t="shared" ca="1" si="80"/>
        <v/>
      </c>
      <c r="Z136" s="315" t="str">
        <f t="shared" ca="1" si="81"/>
        <v/>
      </c>
      <c r="AA136" s="316" t="str">
        <f t="shared" ca="1" si="82"/>
        <v/>
      </c>
      <c r="AC136" s="310" t="e">
        <f t="shared" ca="1" si="83"/>
        <v>#N/A</v>
      </c>
      <c r="AD136" s="323" t="e">
        <f t="shared" ca="1" si="84"/>
        <v>#N/A</v>
      </c>
      <c r="AE136" s="324">
        <f t="shared" ca="1" si="63"/>
        <v>68.588147576738564</v>
      </c>
      <c r="AG136" s="306">
        <f t="shared" ca="1" si="85"/>
        <v>68.036457631149389</v>
      </c>
      <c r="AH136" s="304">
        <f t="shared" ca="1" si="86"/>
        <v>77.639877863847602</v>
      </c>
    </row>
    <row r="137" spans="1:34" x14ac:dyDescent="0.2">
      <c r="A137" s="347">
        <f t="shared" ca="1" si="64"/>
        <v>0.01</v>
      </c>
      <c r="B137" s="304">
        <f t="shared" ca="1" si="65"/>
        <v>1.330000000000001</v>
      </c>
      <c r="D137" s="306">
        <f t="shared" ca="1" si="66"/>
        <v>15.817847762113413</v>
      </c>
      <c r="E137" s="307">
        <f t="shared" ca="1" si="67"/>
        <v>65.970469241150042</v>
      </c>
      <c r="F137" s="304">
        <f t="shared" ca="1" si="68"/>
        <v>67.840306011418605</v>
      </c>
      <c r="G137" s="306">
        <f t="shared" ca="1" si="69"/>
        <v>21.265456121499657</v>
      </c>
      <c r="H137" s="307">
        <f t="shared" ca="1" si="70"/>
        <v>101.78088301652504</v>
      </c>
      <c r="I137" s="304">
        <f t="shared" ca="1" si="71"/>
        <v>103.97868902654517</v>
      </c>
      <c r="J137" s="306">
        <f t="shared" ca="1" si="72"/>
        <v>13.736913652677522</v>
      </c>
      <c r="K137" s="307">
        <f t="shared" ca="1" si="73"/>
        <v>69.602657883441751</v>
      </c>
      <c r="L137" s="304">
        <f t="shared" ca="1" si="58"/>
        <v>70.945280189316009</v>
      </c>
      <c r="M137" s="306">
        <f t="shared" ca="1" si="74"/>
        <v>1.3648256169783617</v>
      </c>
      <c r="N137" s="304">
        <f t="shared" ca="1" si="75"/>
        <v>78.198747624198759</v>
      </c>
      <c r="P137" s="310">
        <f t="shared" ca="1" si="76"/>
        <v>4</v>
      </c>
      <c r="Q137" s="304">
        <f t="shared" ca="1" si="77"/>
        <v>686.99999999999977</v>
      </c>
      <c r="R137" s="306">
        <f t="shared" ca="1" si="78"/>
        <v>0.34477329148792474</v>
      </c>
      <c r="S137" s="307">
        <f t="shared" ca="1" si="79"/>
        <v>8.3280014312295627</v>
      </c>
      <c r="T137" s="304">
        <f t="shared" ca="1" si="59"/>
        <v>81.697694040362009</v>
      </c>
      <c r="U137" s="311">
        <f t="shared" ca="1" si="60"/>
        <v>0</v>
      </c>
      <c r="V137" s="306">
        <f t="shared" ca="1" si="61"/>
        <v>1.2165032442484631</v>
      </c>
      <c r="W137" s="304">
        <f t="shared" ca="1" si="62"/>
        <v>42.851245696723268</v>
      </c>
      <c r="Y137" s="314" t="str">
        <f t="shared" ca="1" si="80"/>
        <v/>
      </c>
      <c r="Z137" s="315" t="str">
        <f t="shared" ca="1" si="81"/>
        <v/>
      </c>
      <c r="AA137" s="316" t="str">
        <f t="shared" ca="1" si="82"/>
        <v/>
      </c>
      <c r="AC137" s="310" t="e">
        <f t="shared" ca="1" si="83"/>
        <v>#N/A</v>
      </c>
      <c r="AD137" s="323" t="e">
        <f t="shared" ca="1" si="84"/>
        <v>#N/A</v>
      </c>
      <c r="AE137" s="324">
        <f t="shared" ca="1" si="63"/>
        <v>69.602657883441751</v>
      </c>
      <c r="AG137" s="306">
        <f t="shared" ca="1" si="85"/>
        <v>67.810686767915968</v>
      </c>
      <c r="AH137" s="304">
        <f t="shared" ca="1" si="86"/>
        <v>77.413718591954265</v>
      </c>
    </row>
    <row r="138" spans="1:34" x14ac:dyDescent="0.2">
      <c r="A138" s="347">
        <f t="shared" ca="1" si="64"/>
        <v>0.01</v>
      </c>
      <c r="B138" s="304">
        <f t="shared" ca="1" si="65"/>
        <v>1.340000000000001</v>
      </c>
      <c r="D138" s="306">
        <f t="shared" ca="1" si="66"/>
        <v>15.786108111345362</v>
      </c>
      <c r="E138" s="307">
        <f t="shared" ca="1" si="67"/>
        <v>65.74558713563826</v>
      </c>
      <c r="F138" s="304">
        <f t="shared" ca="1" si="68"/>
        <v>67.614225109165346</v>
      </c>
      <c r="G138" s="306">
        <f t="shared" ca="1" si="69"/>
        <v>21.423317202613109</v>
      </c>
      <c r="H138" s="307">
        <f t="shared" ca="1" si="70"/>
        <v>102.43833888788141</v>
      </c>
      <c r="I138" s="304">
        <f t="shared" ca="1" si="71"/>
        <v>104.65453546823576</v>
      </c>
      <c r="J138" s="306">
        <f t="shared" ca="1" si="72"/>
        <v>13.950357519298086</v>
      </c>
      <c r="K138" s="307">
        <f t="shared" ca="1" si="73"/>
        <v>70.623753992963785</v>
      </c>
      <c r="L138" s="304">
        <f t="shared" ca="1" si="58"/>
        <v>71.988381722156419</v>
      </c>
      <c r="M138" s="306">
        <f t="shared" ca="1" si="74"/>
        <v>1.3646339084998176</v>
      </c>
      <c r="N138" s="304">
        <f t="shared" ca="1" si="75"/>
        <v>78.187763537481302</v>
      </c>
      <c r="P138" s="310">
        <f t="shared" ca="1" si="76"/>
        <v>4</v>
      </c>
      <c r="Q138" s="304">
        <f t="shared" ca="1" si="77"/>
        <v>685.39999999999986</v>
      </c>
      <c r="R138" s="306">
        <f t="shared" ca="1" si="78"/>
        <v>0.34397032603467781</v>
      </c>
      <c r="S138" s="307">
        <f t="shared" ca="1" si="79"/>
        <v>8.3245617279692166</v>
      </c>
      <c r="T138" s="304">
        <f t="shared" ca="1" si="59"/>
        <v>81.663950551378022</v>
      </c>
      <c r="U138" s="311">
        <f t="shared" ca="1" si="60"/>
        <v>0</v>
      </c>
      <c r="V138" s="306">
        <f t="shared" ca="1" si="61"/>
        <v>1.2163790323906432</v>
      </c>
      <c r="W138" s="304">
        <f t="shared" ca="1" si="62"/>
        <v>43.40567746379503</v>
      </c>
      <c r="Y138" s="314" t="str">
        <f t="shared" ca="1" si="80"/>
        <v/>
      </c>
      <c r="Z138" s="315" t="str">
        <f t="shared" ca="1" si="81"/>
        <v/>
      </c>
      <c r="AA138" s="316" t="str">
        <f t="shared" ca="1" si="82"/>
        <v/>
      </c>
      <c r="AC138" s="310" t="e">
        <f t="shared" ca="1" si="83"/>
        <v>#N/A</v>
      </c>
      <c r="AD138" s="323" t="e">
        <f t="shared" ca="1" si="84"/>
        <v>#N/A</v>
      </c>
      <c r="AE138" s="324">
        <f t="shared" ca="1" si="63"/>
        <v>70.623753992963785</v>
      </c>
      <c r="AG138" s="306">
        <f t="shared" ca="1" si="85"/>
        <v>67.584451855150604</v>
      </c>
      <c r="AH138" s="304">
        <f t="shared" ca="1" si="86"/>
        <v>77.187097086975044</v>
      </c>
    </row>
    <row r="139" spans="1:34" x14ac:dyDescent="0.2">
      <c r="A139" s="347">
        <f t="shared" ca="1" si="64"/>
        <v>0.01</v>
      </c>
      <c r="B139" s="304">
        <f t="shared" ca="1" si="65"/>
        <v>1.350000000000001</v>
      </c>
      <c r="D139" s="306">
        <f t="shared" ca="1" si="66"/>
        <v>15.754108313295678</v>
      </c>
      <c r="E139" s="307">
        <f t="shared" ca="1" si="67"/>
        <v>65.520289469687114</v>
      </c>
      <c r="F139" s="304">
        <f t="shared" ca="1" si="68"/>
        <v>67.387686270851034</v>
      </c>
      <c r="G139" s="306">
        <f t="shared" ca="1" si="69"/>
        <v>21.580858285746068</v>
      </c>
      <c r="H139" s="307">
        <f t="shared" ca="1" si="70"/>
        <v>103.09354178257828</v>
      </c>
      <c r="I139" s="304">
        <f t="shared" ca="1" si="71"/>
        <v>105.32811496284204</v>
      </c>
      <c r="J139" s="306">
        <f t="shared" ca="1" si="72"/>
        <v>14.165378396739882</v>
      </c>
      <c r="K139" s="307">
        <f t="shared" ca="1" si="73"/>
        <v>71.651413396316087</v>
      </c>
      <c r="L139" s="304">
        <f t="shared" ca="1" si="58"/>
        <v>73.038229625399666</v>
      </c>
      <c r="M139" s="306">
        <f t="shared" ca="1" si="74"/>
        <v>1.3644432512333364</v>
      </c>
      <c r="N139" s="304">
        <f t="shared" ca="1" si="75"/>
        <v>78.176839680778428</v>
      </c>
      <c r="P139" s="310">
        <f t="shared" ca="1" si="76"/>
        <v>4</v>
      </c>
      <c r="Q139" s="304">
        <f t="shared" ca="1" si="77"/>
        <v>683.79999999999984</v>
      </c>
      <c r="R139" s="306">
        <f t="shared" ca="1" si="78"/>
        <v>0.34316736058143082</v>
      </c>
      <c r="S139" s="307">
        <f t="shared" ca="1" si="79"/>
        <v>8.3211300543634028</v>
      </c>
      <c r="T139" s="304">
        <f t="shared" ca="1" si="59"/>
        <v>81.630285833304981</v>
      </c>
      <c r="U139" s="311">
        <f t="shared" ca="1" si="60"/>
        <v>0</v>
      </c>
      <c r="V139" s="306">
        <f t="shared" ca="1" si="61"/>
        <v>1.2162540348970086</v>
      </c>
      <c r="W139" s="304">
        <f t="shared" ca="1" si="62"/>
        <v>43.961694365596493</v>
      </c>
      <c r="Y139" s="314" t="str">
        <f t="shared" ca="1" si="80"/>
        <v/>
      </c>
      <c r="Z139" s="315" t="str">
        <f t="shared" ca="1" si="81"/>
        <v/>
      </c>
      <c r="AA139" s="316" t="str">
        <f t="shared" ca="1" si="82"/>
        <v/>
      </c>
      <c r="AC139" s="310" t="e">
        <f t="shared" ca="1" si="83"/>
        <v>#N/A</v>
      </c>
      <c r="AD139" s="323" t="e">
        <f t="shared" ca="1" si="84"/>
        <v>#N/A</v>
      </c>
      <c r="AE139" s="324">
        <f t="shared" ca="1" si="63"/>
        <v>71.651413396316087</v>
      </c>
      <c r="AG139" s="306">
        <f t="shared" ca="1" si="85"/>
        <v>67.357758025762024</v>
      </c>
      <c r="AH139" s="304">
        <f t="shared" ca="1" si="86"/>
        <v>76.960018453310582</v>
      </c>
    </row>
    <row r="140" spans="1:34" x14ac:dyDescent="0.2">
      <c r="A140" s="347">
        <f t="shared" ca="1" si="64"/>
        <v>0.01</v>
      </c>
      <c r="B140" s="304">
        <f t="shared" ca="1" si="65"/>
        <v>1.360000000000001</v>
      </c>
      <c r="D140" s="306">
        <f t="shared" ca="1" si="66"/>
        <v>15.721851147150092</v>
      </c>
      <c r="E140" s="307">
        <f t="shared" ca="1" si="67"/>
        <v>65.294580952126864</v>
      </c>
      <c r="F140" s="304">
        <f t="shared" ca="1" si="68"/>
        <v>67.160694645060019</v>
      </c>
      <c r="G140" s="306">
        <f t="shared" ca="1" si="69"/>
        <v>21.73807679721757</v>
      </c>
      <c r="H140" s="307">
        <f t="shared" ca="1" si="70"/>
        <v>103.74648759209956</v>
      </c>
      <c r="I140" s="304">
        <f t="shared" ca="1" si="71"/>
        <v>105.99942297267187</v>
      </c>
      <c r="J140" s="306">
        <f t="shared" ca="1" si="72"/>
        <v>14.3819730721547</v>
      </c>
      <c r="K140" s="307">
        <f t="shared" ca="1" si="73"/>
        <v>72.685613543189476</v>
      </c>
      <c r="L140" s="304">
        <f t="shared" ca="1" si="58"/>
        <v>74.094801204929837</v>
      </c>
      <c r="M140" s="306">
        <f t="shared" ca="1" si="74"/>
        <v>1.3642536287150278</v>
      </c>
      <c r="N140" s="304">
        <f t="shared" ca="1" si="75"/>
        <v>78.165975110778703</v>
      </c>
      <c r="P140" s="310">
        <f t="shared" ca="1" si="76"/>
        <v>4</v>
      </c>
      <c r="Q140" s="304">
        <f t="shared" ca="1" si="77"/>
        <v>682.19999999999982</v>
      </c>
      <c r="R140" s="306">
        <f t="shared" ca="1" si="78"/>
        <v>0.34236439512818384</v>
      </c>
      <c r="S140" s="307">
        <f t="shared" ca="1" si="79"/>
        <v>8.3177064104121214</v>
      </c>
      <c r="T140" s="304">
        <f t="shared" ca="1" si="59"/>
        <v>81.596699886142915</v>
      </c>
      <c r="U140" s="311">
        <f t="shared" ca="1" si="60"/>
        <v>0</v>
      </c>
      <c r="V140" s="306">
        <f t="shared" ca="1" si="61"/>
        <v>1.2161282547532823</v>
      </c>
      <c r="W140" s="304">
        <f t="shared" ca="1" si="62"/>
        <v>44.519254779709136</v>
      </c>
      <c r="Y140" s="314" t="str">
        <f t="shared" ca="1" si="80"/>
        <v/>
      </c>
      <c r="Z140" s="315" t="str">
        <f t="shared" ca="1" si="81"/>
        <v/>
      </c>
      <c r="AA140" s="316" t="str">
        <f t="shared" ca="1" si="82"/>
        <v/>
      </c>
      <c r="AC140" s="310" t="e">
        <f t="shared" ca="1" si="83"/>
        <v>#N/A</v>
      </c>
      <c r="AD140" s="323" t="e">
        <f t="shared" ca="1" si="84"/>
        <v>#N/A</v>
      </c>
      <c r="AE140" s="324">
        <f t="shared" ca="1" si="63"/>
        <v>72.685613543189476</v>
      </c>
      <c r="AG140" s="306">
        <f t="shared" ca="1" si="85"/>
        <v>67.130610413513125</v>
      </c>
      <c r="AH140" s="304">
        <f t="shared" ca="1" si="86"/>
        <v>76.73248779681083</v>
      </c>
    </row>
    <row r="141" spans="1:34" x14ac:dyDescent="0.2">
      <c r="A141" s="347">
        <f t="shared" ca="1" si="64"/>
        <v>0.01</v>
      </c>
      <c r="B141" s="304">
        <f t="shared" ca="1" si="65"/>
        <v>1.370000000000001</v>
      </c>
      <c r="D141" s="306">
        <f t="shared" ca="1" si="66"/>
        <v>15.689339356318296</v>
      </c>
      <c r="E141" s="307">
        <f t="shared" ca="1" si="67"/>
        <v>65.068466298677322</v>
      </c>
      <c r="F141" s="304">
        <f t="shared" ca="1" si="68"/>
        <v>66.933255381012401</v>
      </c>
      <c r="G141" s="306">
        <f t="shared" ca="1" si="69"/>
        <v>21.894970190780754</v>
      </c>
      <c r="H141" s="307">
        <f t="shared" ca="1" si="70"/>
        <v>104.39717225508633</v>
      </c>
      <c r="I141" s="304">
        <f t="shared" ca="1" si="71"/>
        <v>106.66845501137318</v>
      </c>
      <c r="J141" s="306">
        <f t="shared" ca="1" si="72"/>
        <v>14.600138307094692</v>
      </c>
      <c r="K141" s="307">
        <f t="shared" ca="1" si="73"/>
        <v>73.726331842425409</v>
      </c>
      <c r="L141" s="304">
        <f t="shared" ca="1" si="58"/>
        <v>75.158073721495313</v>
      </c>
      <c r="M141" s="306">
        <f t="shared" ca="1" si="74"/>
        <v>1.3640650248350874</v>
      </c>
      <c r="N141" s="304">
        <f t="shared" ca="1" si="75"/>
        <v>78.155168904458336</v>
      </c>
      <c r="P141" s="310">
        <f t="shared" ca="1" si="76"/>
        <v>4</v>
      </c>
      <c r="Q141" s="304">
        <f t="shared" ca="1" si="77"/>
        <v>680.5999999999998</v>
      </c>
      <c r="R141" s="306">
        <f t="shared" ca="1" si="78"/>
        <v>0.34156142967493686</v>
      </c>
      <c r="S141" s="307">
        <f t="shared" ca="1" si="79"/>
        <v>8.3142907961153725</v>
      </c>
      <c r="T141" s="304">
        <f t="shared" ca="1" si="59"/>
        <v>81.563192709891808</v>
      </c>
      <c r="U141" s="311">
        <f t="shared" ca="1" si="60"/>
        <v>0</v>
      </c>
      <c r="V141" s="306">
        <f t="shared" ca="1" si="61"/>
        <v>1.2160016949505077</v>
      </c>
      <c r="W141" s="304">
        <f t="shared" ca="1" si="62"/>
        <v>45.078317168782782</v>
      </c>
      <c r="Y141" s="314" t="str">
        <f t="shared" ca="1" si="80"/>
        <v/>
      </c>
      <c r="Z141" s="315" t="str">
        <f t="shared" ca="1" si="81"/>
        <v/>
      </c>
      <c r="AA141" s="316" t="str">
        <f t="shared" ca="1" si="82"/>
        <v/>
      </c>
      <c r="AC141" s="310" t="e">
        <f t="shared" ca="1" si="83"/>
        <v>#N/A</v>
      </c>
      <c r="AD141" s="323" t="e">
        <f t="shared" ca="1" si="84"/>
        <v>#N/A</v>
      </c>
      <c r="AE141" s="324">
        <f t="shared" ca="1" si="63"/>
        <v>73.726331842425409</v>
      </c>
      <c r="AG141" s="306">
        <f t="shared" ca="1" si="85"/>
        <v>66.903014152692748</v>
      </c>
      <c r="AH141" s="304">
        <f t="shared" ca="1" si="86"/>
        <v>76.504510224429737</v>
      </c>
    </row>
    <row r="142" spans="1:34" x14ac:dyDescent="0.2">
      <c r="A142" s="347">
        <f t="shared" ca="1" si="64"/>
        <v>0.01</v>
      </c>
      <c r="B142" s="304">
        <f t="shared" ca="1" si="65"/>
        <v>1.380000000000001</v>
      </c>
      <c r="D142" s="306">
        <f t="shared" ca="1" si="66"/>
        <v>15.656575649455192</v>
      </c>
      <c r="E142" s="307">
        <f t="shared" ca="1" si="67"/>
        <v>64.841950231437139</v>
      </c>
      <c r="F142" s="304">
        <f t="shared" ca="1" si="68"/>
        <v>66.705373628241404</v>
      </c>
      <c r="G142" s="306">
        <f t="shared" ca="1" si="69"/>
        <v>22.051535947275305</v>
      </c>
      <c r="H142" s="307">
        <f t="shared" ca="1" si="70"/>
        <v>105.0455917574007</v>
      </c>
      <c r="I142" s="304">
        <f t="shared" ca="1" si="71"/>
        <v>107.3352066439361</v>
      </c>
      <c r="J142" s="306">
        <f t="shared" ca="1" si="72"/>
        <v>14.819870837784972</v>
      </c>
      <c r="K142" s="307">
        <f t="shared" ca="1" si="73"/>
        <v>74.773545662487848</v>
      </c>
      <c r="L142" s="304">
        <f t="shared" ca="1" si="58"/>
        <v>76.22802439122232</v>
      </c>
      <c r="M142" s="306">
        <f t="shared" ca="1" si="74"/>
        <v>1.3638774238274864</v>
      </c>
      <c r="N142" s="304">
        <f t="shared" ca="1" si="75"/>
        <v>78.144420158490391</v>
      </c>
      <c r="P142" s="310">
        <f t="shared" ca="1" si="76"/>
        <v>4</v>
      </c>
      <c r="Q142" s="304">
        <f t="shared" ca="1" si="77"/>
        <v>678.99999999999977</v>
      </c>
      <c r="R142" s="306">
        <f t="shared" ca="1" si="78"/>
        <v>0.34075846422168982</v>
      </c>
      <c r="S142" s="307">
        <f t="shared" ca="1" si="79"/>
        <v>8.3108832114731559</v>
      </c>
      <c r="T142" s="304">
        <f t="shared" ca="1" si="59"/>
        <v>81.529764304551662</v>
      </c>
      <c r="U142" s="311">
        <f t="shared" ca="1" si="60"/>
        <v>0</v>
      </c>
      <c r="V142" s="306">
        <f t="shared" ca="1" si="61"/>
        <v>1.2158743584849716</v>
      </c>
      <c r="W142" s="304">
        <f t="shared" ca="1" si="62"/>
        <v>45.63884008298249</v>
      </c>
      <c r="Y142" s="314" t="str">
        <f t="shared" ca="1" si="80"/>
        <v/>
      </c>
      <c r="Z142" s="315" t="str">
        <f t="shared" ca="1" si="81"/>
        <v/>
      </c>
      <c r="AA142" s="316" t="str">
        <f t="shared" ca="1" si="82"/>
        <v/>
      </c>
      <c r="AC142" s="310" t="e">
        <f t="shared" ca="1" si="83"/>
        <v>#N/A</v>
      </c>
      <c r="AD142" s="323" t="e">
        <f t="shared" ca="1" si="84"/>
        <v>#N/A</v>
      </c>
      <c r="AE142" s="324">
        <f t="shared" ca="1" si="63"/>
        <v>74.773545662487848</v>
      </c>
      <c r="AG142" s="306">
        <f t="shared" ca="1" si="85"/>
        <v>66.674974377788601</v>
      </c>
      <c r="AH142" s="304">
        <f t="shared" ca="1" si="86"/>
        <v>76.276090843881619</v>
      </c>
    </row>
    <row r="143" spans="1:34" x14ac:dyDescent="0.2">
      <c r="A143" s="347">
        <f t="shared" ca="1" si="64"/>
        <v>0.01</v>
      </c>
      <c r="B143" s="304">
        <f t="shared" ca="1" si="65"/>
        <v>1.390000000000001</v>
      </c>
      <c r="D143" s="306">
        <f t="shared" ca="1" si="66"/>
        <v>15.623562701441957</v>
      </c>
      <c r="E143" s="307">
        <f t="shared" ca="1" si="67"/>
        <v>64.6150374783807</v>
      </c>
      <c r="F143" s="304">
        <f t="shared" ca="1" si="68"/>
        <v>66.477054536271623</v>
      </c>
      <c r="G143" s="306">
        <f t="shared" ca="1" si="69"/>
        <v>22.207771574289723</v>
      </c>
      <c r="H143" s="307">
        <f t="shared" ca="1" si="70"/>
        <v>105.6917421321845</v>
      </c>
      <c r="I143" s="304">
        <f t="shared" ca="1" si="71"/>
        <v>107.99967348669169</v>
      </c>
      <c r="J143" s="306">
        <f t="shared" ca="1" si="72"/>
        <v>15.041167375392797</v>
      </c>
      <c r="K143" s="307">
        <f t="shared" ca="1" si="73"/>
        <v>75.827232331935775</v>
      </c>
      <c r="L143" s="304">
        <f t="shared" ca="1" si="58"/>
        <v>77.304630386128537</v>
      </c>
      <c r="M143" s="306">
        <f t="shared" ca="1" si="74"/>
        <v>1.3636908102600336</v>
      </c>
      <c r="N143" s="304">
        <f t="shared" ca="1" si="75"/>
        <v>78.13372798867546</v>
      </c>
      <c r="P143" s="310">
        <f t="shared" ca="1" si="76"/>
        <v>4</v>
      </c>
      <c r="Q143" s="304">
        <f t="shared" ca="1" si="77"/>
        <v>677.39999999999986</v>
      </c>
      <c r="R143" s="306">
        <f t="shared" ca="1" si="78"/>
        <v>0.33995549876844289</v>
      </c>
      <c r="S143" s="307">
        <f t="shared" ca="1" si="79"/>
        <v>8.3074836564854717</v>
      </c>
      <c r="T143" s="304">
        <f t="shared" ca="1" si="59"/>
        <v>81.496414670122476</v>
      </c>
      <c r="U143" s="311">
        <f t="shared" ca="1" si="60"/>
        <v>0</v>
      </c>
      <c r="V143" s="306">
        <f t="shared" ca="1" si="61"/>
        <v>1.2157462483581225</v>
      </c>
      <c r="W143" s="304">
        <f t="shared" ca="1" si="62"/>
        <v>46.200782162416409</v>
      </c>
      <c r="Y143" s="314" t="str">
        <f t="shared" ca="1" si="80"/>
        <v/>
      </c>
      <c r="Z143" s="315" t="str">
        <f t="shared" ca="1" si="81"/>
        <v/>
      </c>
      <c r="AA143" s="316" t="str">
        <f t="shared" ca="1" si="82"/>
        <v/>
      </c>
      <c r="AC143" s="310" t="e">
        <f t="shared" ca="1" si="83"/>
        <v>#N/A</v>
      </c>
      <c r="AD143" s="323" t="e">
        <f t="shared" ca="1" si="84"/>
        <v>#N/A</v>
      </c>
      <c r="AE143" s="324">
        <f t="shared" ca="1" si="63"/>
        <v>75.827232331935775</v>
      </c>
      <c r="AG143" s="306">
        <f t="shared" ca="1" si="85"/>
        <v>66.446496223160779</v>
      </c>
      <c r="AH143" s="304">
        <f t="shared" ca="1" si="86"/>
        <v>76.047234763298661</v>
      </c>
    </row>
    <row r="144" spans="1:34" x14ac:dyDescent="0.2">
      <c r="A144" s="347">
        <f t="shared" ca="1" si="64"/>
        <v>0.01</v>
      </c>
      <c r="B144" s="304">
        <f t="shared" ca="1" si="65"/>
        <v>1.400000000000001</v>
      </c>
      <c r="D144" s="306">
        <f t="shared" ca="1" si="66"/>
        <v>15.590303154329005</v>
      </c>
      <c r="E144" s="307">
        <f t="shared" ca="1" si="67"/>
        <v>64.387732772862606</v>
      </c>
      <c r="F144" s="304">
        <f t="shared" ca="1" si="68"/>
        <v>66.248303254298122</v>
      </c>
      <c r="G144" s="306">
        <f t="shared" ca="1" si="69"/>
        <v>22.363674605833012</v>
      </c>
      <c r="H144" s="307">
        <f t="shared" ca="1" si="70"/>
        <v>106.33561945991313</v>
      </c>
      <c r="I144" s="304">
        <f t="shared" ca="1" si="71"/>
        <v>108.66185120730751</v>
      </c>
      <c r="J144" s="306">
        <f t="shared" ca="1" si="72"/>
        <v>15.264024606293411</v>
      </c>
      <c r="K144" s="307">
        <f t="shared" ca="1" si="73"/>
        <v>76.887369139896265</v>
      </c>
      <c r="L144" s="304">
        <f t="shared" ca="1" si="58"/>
        <v>78.387868834636677</v>
      </c>
      <c r="M144" s="306">
        <f t="shared" ca="1" si="74"/>
        <v>1.3635051690247932</v>
      </c>
      <c r="N144" s="304">
        <f t="shared" ca="1" si="75"/>
        <v>78.123091529392596</v>
      </c>
      <c r="P144" s="310">
        <f t="shared" ca="1" si="76"/>
        <v>4</v>
      </c>
      <c r="Q144" s="304">
        <f t="shared" ca="1" si="77"/>
        <v>675.79999999999984</v>
      </c>
      <c r="R144" s="306">
        <f t="shared" ca="1" si="78"/>
        <v>0.3391525333151959</v>
      </c>
      <c r="S144" s="307">
        <f t="shared" ca="1" si="79"/>
        <v>8.3040921311523199</v>
      </c>
      <c r="T144" s="304">
        <f t="shared" ca="1" si="59"/>
        <v>81.463143806604265</v>
      </c>
      <c r="U144" s="311">
        <f t="shared" ca="1" si="60"/>
        <v>0</v>
      </c>
      <c r="V144" s="306">
        <f t="shared" ca="1" si="61"/>
        <v>1.2156173675764954</v>
      </c>
      <c r="W144" s="304">
        <f t="shared" ca="1" si="62"/>
        <v>46.76410213954415</v>
      </c>
      <c r="Y144" s="314" t="str">
        <f t="shared" ca="1" si="80"/>
        <v/>
      </c>
      <c r="Z144" s="315" t="str">
        <f t="shared" ca="1" si="81"/>
        <v/>
      </c>
      <c r="AA144" s="316" t="str">
        <f t="shared" ca="1" si="82"/>
        <v/>
      </c>
      <c r="AC144" s="310" t="e">
        <f t="shared" ca="1" si="83"/>
        <v>#N/A</v>
      </c>
      <c r="AD144" s="323" t="e">
        <f t="shared" ca="1" si="84"/>
        <v>#N/A</v>
      </c>
      <c r="AE144" s="324">
        <f t="shared" ca="1" si="63"/>
        <v>76.887369139896265</v>
      </c>
      <c r="AG144" s="306">
        <f t="shared" ca="1" si="85"/>
        <v>66.217584822716262</v>
      </c>
      <c r="AH144" s="304">
        <f t="shared" ca="1" si="86"/>
        <v>75.817947090890101</v>
      </c>
    </row>
    <row r="145" spans="1:34" x14ac:dyDescent="0.2">
      <c r="A145" s="347">
        <f t="shared" ca="1" si="64"/>
        <v>0.01</v>
      </c>
      <c r="B145" s="304">
        <f t="shared" ca="1" si="65"/>
        <v>1.410000000000001</v>
      </c>
      <c r="D145" s="306">
        <f t="shared" ca="1" si="66"/>
        <v>15.55679961824254</v>
      </c>
      <c r="E145" s="307">
        <f t="shared" ca="1" si="67"/>
        <v>64.160040853129402</v>
      </c>
      <c r="F145" s="304">
        <f t="shared" ca="1" si="68"/>
        <v>66.019124930866695</v>
      </c>
      <c r="G145" s="306">
        <f t="shared" ca="1" si="69"/>
        <v>22.519242602015439</v>
      </c>
      <c r="H145" s="307">
        <f t="shared" ca="1" si="70"/>
        <v>106.97721986844442</v>
      </c>
      <c r="I145" s="304">
        <f t="shared" ca="1" si="71"/>
        <v>109.32173552477991</v>
      </c>
      <c r="J145" s="306">
        <f t="shared" ca="1" si="72"/>
        <v>15.488439192332653</v>
      </c>
      <c r="K145" s="307">
        <f t="shared" ca="1" si="73"/>
        <v>77.953933336538057</v>
      </c>
      <c r="L145" s="304">
        <f t="shared" ca="1" si="58"/>
        <v>79.47771682208797</v>
      </c>
      <c r="M145" s="306">
        <f t="shared" ca="1" si="74"/>
        <v>1.3633204853288472</v>
      </c>
      <c r="N145" s="304">
        <f t="shared" ca="1" si="75"/>
        <v>78.112509933070015</v>
      </c>
      <c r="P145" s="310">
        <f t="shared" ca="1" si="76"/>
        <v>4</v>
      </c>
      <c r="Q145" s="304">
        <f t="shared" ca="1" si="77"/>
        <v>674.19999999999982</v>
      </c>
      <c r="R145" s="306">
        <f t="shared" ca="1" si="78"/>
        <v>0.33834956786194892</v>
      </c>
      <c r="S145" s="307">
        <f t="shared" ca="1" si="79"/>
        <v>8.3007086354737005</v>
      </c>
      <c r="T145" s="304">
        <f t="shared" ca="1" si="59"/>
        <v>81.429951713996999</v>
      </c>
      <c r="U145" s="311">
        <f t="shared" ca="1" si="60"/>
        <v>0</v>
      </c>
      <c r="V145" s="306">
        <f t="shared" ca="1" si="61"/>
        <v>1.2154877191516305</v>
      </c>
      <c r="W145" s="304">
        <f t="shared" ca="1" si="62"/>
        <v>47.328758841565651</v>
      </c>
      <c r="Y145" s="314" t="str">
        <f t="shared" ca="1" si="80"/>
        <v/>
      </c>
      <c r="Z145" s="315" t="str">
        <f t="shared" ca="1" si="81"/>
        <v/>
      </c>
      <c r="AA145" s="316" t="str">
        <f t="shared" ca="1" si="82"/>
        <v/>
      </c>
      <c r="AC145" s="310" t="e">
        <f t="shared" ca="1" si="83"/>
        <v>#N/A</v>
      </c>
      <c r="AD145" s="323" t="e">
        <f t="shared" ca="1" si="84"/>
        <v>#N/A</v>
      </c>
      <c r="AE145" s="324">
        <f t="shared" ca="1" si="63"/>
        <v>77.953933336538057</v>
      </c>
      <c r="AG145" s="306">
        <f t="shared" ca="1" si="85"/>
        <v>65.988245309584443</v>
      </c>
      <c r="AH145" s="304">
        <f t="shared" ca="1" si="86"/>
        <v>75.588232934602885</v>
      </c>
    </row>
    <row r="146" spans="1:34" x14ac:dyDescent="0.2">
      <c r="A146" s="347">
        <f t="shared" ca="1" si="64"/>
        <v>0.01</v>
      </c>
      <c r="B146" s="304">
        <f t="shared" ca="1" si="65"/>
        <v>1.420000000000001</v>
      </c>
      <c r="D146" s="306">
        <f t="shared" ca="1" si="66"/>
        <v>15.523054672256047</v>
      </c>
      <c r="E146" s="307">
        <f t="shared" ca="1" si="67"/>
        <v>63.93196646183813</v>
      </c>
      <c r="F146" s="304">
        <f t="shared" ca="1" si="68"/>
        <v>65.789524713554854</v>
      </c>
      <c r="G146" s="306">
        <f t="shared" ca="1" si="69"/>
        <v>22.674473148737999</v>
      </c>
      <c r="H146" s="307">
        <f t="shared" ca="1" si="70"/>
        <v>107.61653953306281</v>
      </c>
      <c r="I146" s="304">
        <f t="shared" ca="1" si="71"/>
        <v>109.97932220942312</v>
      </c>
      <c r="J146" s="306">
        <f t="shared" ca="1" si="72"/>
        <v>15.714407771086419</v>
      </c>
      <c r="K146" s="307">
        <f t="shared" ca="1" si="73"/>
        <v>79.02690213354559</v>
      </c>
      <c r="L146" s="304">
        <f t="shared" ca="1" si="58"/>
        <v>80.574151391255583</v>
      </c>
      <c r="M146" s="306">
        <f t="shared" ca="1" si="74"/>
        <v>1.3631367446853839</v>
      </c>
      <c r="N146" s="304">
        <f t="shared" ca="1" si="75"/>
        <v>78.101982369674545</v>
      </c>
      <c r="P146" s="310">
        <f t="shared" ca="1" si="76"/>
        <v>4</v>
      </c>
      <c r="Q146" s="304">
        <f t="shared" ca="1" si="77"/>
        <v>672.5999999999998</v>
      </c>
      <c r="R146" s="306">
        <f t="shared" ca="1" si="78"/>
        <v>0.33754660240870188</v>
      </c>
      <c r="S146" s="307">
        <f t="shared" ca="1" si="79"/>
        <v>8.2973331694496135</v>
      </c>
      <c r="T146" s="304">
        <f t="shared" ca="1" si="59"/>
        <v>81.396838392300708</v>
      </c>
      <c r="U146" s="311">
        <f t="shared" ca="1" si="60"/>
        <v>0</v>
      </c>
      <c r="V146" s="306">
        <f t="shared" ca="1" si="61"/>
        <v>1.215357306099998</v>
      </c>
      <c r="W146" s="304">
        <f t="shared" ca="1" si="62"/>
        <v>47.894711192790474</v>
      </c>
      <c r="Y146" s="314" t="str">
        <f t="shared" ca="1" si="80"/>
        <v/>
      </c>
      <c r="Z146" s="315" t="str">
        <f t="shared" ca="1" si="81"/>
        <v/>
      </c>
      <c r="AA146" s="316" t="str">
        <f t="shared" ca="1" si="82"/>
        <v/>
      </c>
      <c r="AC146" s="310" t="e">
        <f t="shared" ca="1" si="83"/>
        <v>#N/A</v>
      </c>
      <c r="AD146" s="323" t="e">
        <f t="shared" ca="1" si="84"/>
        <v>#N/A</v>
      </c>
      <c r="AE146" s="324">
        <f t="shared" ca="1" si="63"/>
        <v>79.02690213354559</v>
      </c>
      <c r="AG146" s="306">
        <f t="shared" ca="1" si="85"/>
        <v>65.758482815793442</v>
      </c>
      <c r="AH146" s="304">
        <f t="shared" ca="1" si="86"/>
        <v>75.358097401783638</v>
      </c>
    </row>
    <row r="147" spans="1:34" x14ac:dyDescent="0.2">
      <c r="A147" s="347">
        <f t="shared" ca="1" si="64"/>
        <v>0.01</v>
      </c>
      <c r="B147" s="304">
        <f t="shared" ca="1" si="65"/>
        <v>1.430000000000001</v>
      </c>
      <c r="D147" s="306">
        <f t="shared" ca="1" si="66"/>
        <v>15.489070865228408</v>
      </c>
      <c r="E147" s="307">
        <f t="shared" ca="1" si="67"/>
        <v>63.703514345582008</v>
      </c>
      <c r="F147" s="304">
        <f t="shared" ca="1" si="68"/>
        <v>65.559507748654127</v>
      </c>
      <c r="G147" s="306">
        <f t="shared" ca="1" si="69"/>
        <v>22.829363857390284</v>
      </c>
      <c r="H147" s="307">
        <f t="shared" ca="1" si="70"/>
        <v>108.25357467651862</v>
      </c>
      <c r="I147" s="304">
        <f t="shared" ca="1" si="71"/>
        <v>110.63460708285501</v>
      </c>
      <c r="J147" s="306">
        <f t="shared" ca="1" si="72"/>
        <v>15.94192695611706</v>
      </c>
      <c r="K147" s="307">
        <f t="shared" ca="1" si="73"/>
        <v>80.106252704593501</v>
      </c>
      <c r="L147" s="304">
        <f t="shared" ca="1" si="58"/>
        <v>81.677149542857862</v>
      </c>
      <c r="M147" s="306">
        <f t="shared" ca="1" si="74"/>
        <v>1.3629539329051004</v>
      </c>
      <c r="N147" s="304">
        <f t="shared" ca="1" si="75"/>
        <v>78.091508026219032</v>
      </c>
      <c r="P147" s="310">
        <f t="shared" ca="1" si="76"/>
        <v>4</v>
      </c>
      <c r="Q147" s="304">
        <f t="shared" ca="1" si="77"/>
        <v>670.99999999999977</v>
      </c>
      <c r="R147" s="306">
        <f t="shared" ca="1" si="78"/>
        <v>0.33674363695545489</v>
      </c>
      <c r="S147" s="307">
        <f t="shared" ca="1" si="79"/>
        <v>8.2939657330800589</v>
      </c>
      <c r="T147" s="304">
        <f t="shared" ca="1" si="59"/>
        <v>81.363803841515377</v>
      </c>
      <c r="U147" s="311">
        <f t="shared" ca="1" si="60"/>
        <v>0</v>
      </c>
      <c r="V147" s="306">
        <f t="shared" ca="1" si="61"/>
        <v>1.215226131442914</v>
      </c>
      <c r="W147" s="304">
        <f t="shared" ca="1" si="62"/>
        <v>48.461918216986696</v>
      </c>
      <c r="Y147" s="314" t="str">
        <f t="shared" ca="1" si="80"/>
        <v/>
      </c>
      <c r="Z147" s="315" t="str">
        <f t="shared" ca="1" si="81"/>
        <v/>
      </c>
      <c r="AA147" s="316" t="str">
        <f t="shared" ca="1" si="82"/>
        <v/>
      </c>
      <c r="AC147" s="310" t="e">
        <f t="shared" ca="1" si="83"/>
        <v>#N/A</v>
      </c>
      <c r="AD147" s="323" t="e">
        <f t="shared" ca="1" si="84"/>
        <v>#N/A</v>
      </c>
      <c r="AE147" s="324">
        <f t="shared" ca="1" si="63"/>
        <v>80.106252704593501</v>
      </c>
      <c r="AG147" s="306">
        <f t="shared" ca="1" si="85"/>
        <v>65.528302471947768</v>
      </c>
      <c r="AH147" s="304">
        <f t="shared" ca="1" si="86"/>
        <v>75.127545598842502</v>
      </c>
    </row>
    <row r="148" spans="1:34" x14ac:dyDescent="0.2">
      <c r="A148" s="347">
        <f t="shared" ca="1" si="64"/>
        <v>0.01</v>
      </c>
      <c r="B148" s="304">
        <f t="shared" ca="1" si="65"/>
        <v>1.4400000000000011</v>
      </c>
      <c r="D148" s="306">
        <f t="shared" ca="1" si="66"/>
        <v>15.454850716610043</v>
      </c>
      <c r="E148" s="307">
        <f t="shared" ca="1" si="67"/>
        <v>63.474689254422543</v>
      </c>
      <c r="F148" s="304">
        <f t="shared" ca="1" si="68"/>
        <v>65.329079180853341</v>
      </c>
      <c r="G148" s="306">
        <f t="shared" ca="1" si="69"/>
        <v>22.983912364556385</v>
      </c>
      <c r="H148" s="307">
        <f t="shared" ca="1" si="70"/>
        <v>108.88832156906285</v>
      </c>
      <c r="I148" s="304">
        <f t="shared" ca="1" si="71"/>
        <v>111.28758601797978</v>
      </c>
      <c r="J148" s="306">
        <f t="shared" ca="1" si="72"/>
        <v>16.170993337226793</v>
      </c>
      <c r="K148" s="307">
        <f t="shared" ca="1" si="73"/>
        <v>81.19196218582141</v>
      </c>
      <c r="L148" s="304">
        <f t="shared" ca="1" si="58"/>
        <v>82.786688236071427</v>
      </c>
      <c r="M148" s="306">
        <f t="shared" ca="1" si="74"/>
        <v>1.3627720360879059</v>
      </c>
      <c r="N148" s="304">
        <f t="shared" ca="1" si="75"/>
        <v>78.081086106286918</v>
      </c>
      <c r="P148" s="310">
        <f t="shared" ca="1" si="76"/>
        <v>4</v>
      </c>
      <c r="Q148" s="304">
        <f t="shared" ca="1" si="77"/>
        <v>669.39999999999986</v>
      </c>
      <c r="R148" s="306">
        <f t="shared" ca="1" si="78"/>
        <v>0.33594067150220797</v>
      </c>
      <c r="S148" s="307">
        <f t="shared" ca="1" si="79"/>
        <v>8.2906063263650367</v>
      </c>
      <c r="T148" s="304">
        <f t="shared" ca="1" si="59"/>
        <v>81.330848061641021</v>
      </c>
      <c r="U148" s="311">
        <f t="shared" ca="1" si="60"/>
        <v>0</v>
      </c>
      <c r="V148" s="306">
        <f t="shared" ca="1" si="61"/>
        <v>1.2150941982064691</v>
      </c>
      <c r="W148" s="304">
        <f t="shared" ca="1" si="62"/>
        <v>49.03033903971042</v>
      </c>
      <c r="Y148" s="314" t="str">
        <f t="shared" ca="1" si="80"/>
        <v/>
      </c>
      <c r="Z148" s="315" t="str">
        <f t="shared" ca="1" si="81"/>
        <v/>
      </c>
      <c r="AA148" s="316" t="str">
        <f t="shared" ca="1" si="82"/>
        <v/>
      </c>
      <c r="AC148" s="310" t="e">
        <f t="shared" ca="1" si="83"/>
        <v>#N/A</v>
      </c>
      <c r="AD148" s="323" t="e">
        <f t="shared" ca="1" si="84"/>
        <v>#N/A</v>
      </c>
      <c r="AE148" s="324">
        <f t="shared" ca="1" si="63"/>
        <v>81.19196218582141</v>
      </c>
      <c r="AG148" s="306">
        <f t="shared" ca="1" si="85"/>
        <v>65.297709406906847</v>
      </c>
      <c r="AH148" s="304">
        <f t="shared" ca="1" si="86"/>
        <v>74.896582630918331</v>
      </c>
    </row>
    <row r="149" spans="1:34" x14ac:dyDescent="0.2">
      <c r="A149" s="347">
        <f t="shared" ca="1" si="64"/>
        <v>0.01</v>
      </c>
      <c r="B149" s="304">
        <f t="shared" ca="1" si="65"/>
        <v>1.4500000000000011</v>
      </c>
      <c r="D149" s="306">
        <f t="shared" ca="1" si="66"/>
        <v>15.420396717218321</v>
      </c>
      <c r="E149" s="307">
        <f t="shared" ca="1" si="67"/>
        <v>63.245495941428146</v>
      </c>
      <c r="F149" s="304">
        <f t="shared" ca="1" si="68"/>
        <v>65.098244152923215</v>
      </c>
      <c r="G149" s="306">
        <f t="shared" ca="1" si="69"/>
        <v>23.138116331728568</v>
      </c>
      <c r="H149" s="307">
        <f t="shared" ca="1" si="70"/>
        <v>109.52077652847713</v>
      </c>
      <c r="I149" s="304">
        <f t="shared" ca="1" si="71"/>
        <v>111.93825493896728</v>
      </c>
      <c r="J149" s="306">
        <f t="shared" ca="1" si="72"/>
        <v>16.401603480708218</v>
      </c>
      <c r="K149" s="307">
        <f t="shared" ca="1" si="73"/>
        <v>82.284007676309116</v>
      </c>
      <c r="L149" s="304">
        <f t="shared" ca="1" si="58"/>
        <v>83.902744389044145</v>
      </c>
      <c r="M149" s="306">
        <f t="shared" ca="1" si="74"/>
        <v>1.3625910406149118</v>
      </c>
      <c r="N149" s="304">
        <f t="shared" ca="1" si="75"/>
        <v>78.070715829573388</v>
      </c>
      <c r="P149" s="310">
        <f t="shared" ca="1" si="76"/>
        <v>4</v>
      </c>
      <c r="Q149" s="304">
        <f t="shared" ca="1" si="77"/>
        <v>667.79999999999984</v>
      </c>
      <c r="R149" s="306">
        <f t="shared" ca="1" si="78"/>
        <v>0.33513770604896098</v>
      </c>
      <c r="S149" s="307">
        <f t="shared" ca="1" si="79"/>
        <v>8.2872549493045469</v>
      </c>
      <c r="T149" s="304">
        <f t="shared" ca="1" si="59"/>
        <v>81.29797105267761</v>
      </c>
      <c r="U149" s="311">
        <f t="shared" ca="1" si="60"/>
        <v>0</v>
      </c>
      <c r="V149" s="306">
        <f t="shared" ca="1" si="61"/>
        <v>1.2149615094214434</v>
      </c>
      <c r="W149" s="304">
        <f t="shared" ca="1" si="62"/>
        <v>49.599932890614333</v>
      </c>
      <c r="Y149" s="314" t="str">
        <f t="shared" ca="1" si="80"/>
        <v/>
      </c>
      <c r="Z149" s="315" t="str">
        <f t="shared" ca="1" si="81"/>
        <v/>
      </c>
      <c r="AA149" s="316" t="str">
        <f t="shared" ca="1" si="82"/>
        <v/>
      </c>
      <c r="AC149" s="310" t="e">
        <f t="shared" ca="1" si="83"/>
        <v>#N/A</v>
      </c>
      <c r="AD149" s="323" t="e">
        <f t="shared" ca="1" si="84"/>
        <v>#N/A</v>
      </c>
      <c r="AE149" s="324">
        <f t="shared" ca="1" si="63"/>
        <v>82.284007676309116</v>
      </c>
      <c r="AG149" s="306">
        <f t="shared" ca="1" si="85"/>
        <v>65.066708747464801</v>
      </c>
      <c r="AH149" s="304">
        <f t="shared" ca="1" si="86"/>
        <v>74.665213601545545</v>
      </c>
    </row>
    <row r="150" spans="1:34" x14ac:dyDescent="0.2">
      <c r="A150" s="347">
        <f t="shared" ca="1" si="64"/>
        <v>0.01</v>
      </c>
      <c r="B150" s="304">
        <f t="shared" ca="1" si="65"/>
        <v>1.4600000000000011</v>
      </c>
      <c r="D150" s="306">
        <f t="shared" ca="1" si="66"/>
        <v>15.385711329983796</v>
      </c>
      <c r="E150" s="307">
        <f t="shared" ca="1" si="67"/>
        <v>63.015939162219169</v>
      </c>
      <c r="F150" s="304">
        <f t="shared" ca="1" si="68"/>
        <v>64.86700780540211</v>
      </c>
      <c r="G150" s="306">
        <f t="shared" ca="1" si="69"/>
        <v>23.291973445028407</v>
      </c>
      <c r="H150" s="307">
        <f t="shared" ca="1" si="70"/>
        <v>110.15093592009931</v>
      </c>
      <c r="I150" s="304">
        <f t="shared" ca="1" si="71"/>
        <v>112.58660982122933</v>
      </c>
      <c r="J150" s="306">
        <f t="shared" ca="1" si="72"/>
        <v>16.633753929592004</v>
      </c>
      <c r="K150" s="307">
        <f t="shared" ca="1" si="73"/>
        <v>83.382366238551995</v>
      </c>
      <c r="L150" s="304">
        <f t="shared" ca="1" si="58"/>
        <v>85.025294879407696</v>
      </c>
      <c r="M150" s="306">
        <f t="shared" ca="1" si="74"/>
        <v>1.3624109331406984</v>
      </c>
      <c r="N150" s="304">
        <f t="shared" ca="1" si="75"/>
        <v>78.0603964314422</v>
      </c>
      <c r="P150" s="310">
        <f t="shared" ca="1" si="76"/>
        <v>4</v>
      </c>
      <c r="Q150" s="304">
        <f t="shared" ca="1" si="77"/>
        <v>666.19999999999982</v>
      </c>
      <c r="R150" s="306">
        <f t="shared" ca="1" si="78"/>
        <v>0.33433474059571394</v>
      </c>
      <c r="S150" s="307">
        <f t="shared" ca="1" si="79"/>
        <v>8.2839116018985894</v>
      </c>
      <c r="T150" s="304">
        <f t="shared" ca="1" si="59"/>
        <v>81.26517281462516</v>
      </c>
      <c r="U150" s="311">
        <f t="shared" ca="1" si="60"/>
        <v>0</v>
      </c>
      <c r="V150" s="306">
        <f t="shared" ca="1" si="61"/>
        <v>1.2148280681232326</v>
      </c>
      <c r="W150" s="304">
        <f t="shared" ca="1" si="62"/>
        <v>50.170659105736256</v>
      </c>
      <c r="Y150" s="314" t="str">
        <f t="shared" ca="1" si="80"/>
        <v/>
      </c>
      <c r="Z150" s="315" t="str">
        <f t="shared" ca="1" si="81"/>
        <v/>
      </c>
      <c r="AA150" s="316" t="str">
        <f t="shared" ca="1" si="82"/>
        <v/>
      </c>
      <c r="AC150" s="310" t="e">
        <f t="shared" ca="1" si="83"/>
        <v>#N/A</v>
      </c>
      <c r="AD150" s="323" t="e">
        <f t="shared" ca="1" si="84"/>
        <v>#N/A</v>
      </c>
      <c r="AE150" s="324">
        <f t="shared" ca="1" si="63"/>
        <v>83.382366238551995</v>
      </c>
      <c r="AG150" s="306">
        <f t="shared" ca="1" si="85"/>
        <v>64.835305618031583</v>
      </c>
      <c r="AH150" s="304">
        <f t="shared" ca="1" si="86"/>
        <v>74.433443612322819</v>
      </c>
    </row>
    <row r="151" spans="1:34" x14ac:dyDescent="0.2">
      <c r="A151" s="347">
        <f t="shared" ca="1" si="64"/>
        <v>0.01</v>
      </c>
      <c r="B151" s="304">
        <f t="shared" ca="1" si="65"/>
        <v>1.4700000000000011</v>
      </c>
      <c r="D151" s="306">
        <f t="shared" ca="1" si="66"/>
        <v>15.350796990668236</v>
      </c>
      <c r="E151" s="307">
        <f t="shared" ca="1" si="67"/>
        <v>62.786023674519029</v>
      </c>
      <c r="F151" s="304">
        <f t="shared" ca="1" si="68"/>
        <v>64.635375276283284</v>
      </c>
      <c r="G151" s="306">
        <f t="shared" ca="1" si="69"/>
        <v>23.445481414935088</v>
      </c>
      <c r="H151" s="307">
        <f t="shared" ca="1" si="70"/>
        <v>110.77879615684451</v>
      </c>
      <c r="I151" s="304">
        <f t="shared" ca="1" si="71"/>
        <v>113.23264669139273</v>
      </c>
      <c r="J151" s="306">
        <f t="shared" ca="1" si="72"/>
        <v>16.867441203891822</v>
      </c>
      <c r="K151" s="307">
        <f t="shared" ca="1" si="73"/>
        <v>84.487014898936721</v>
      </c>
      <c r="L151" s="304">
        <f t="shared" ca="1" si="58"/>
        <v>86.154316544790163</v>
      </c>
      <c r="M151" s="306">
        <f t="shared" ca="1" si="74"/>
        <v>1.3622317005858466</v>
      </c>
      <c r="N151" s="304">
        <f t="shared" ca="1" si="75"/>
        <v>78.050127162497844</v>
      </c>
      <c r="P151" s="310">
        <f t="shared" ca="1" si="76"/>
        <v>4</v>
      </c>
      <c r="Q151" s="304">
        <f t="shared" ca="1" si="77"/>
        <v>664.5999999999998</v>
      </c>
      <c r="R151" s="306">
        <f t="shared" ca="1" si="78"/>
        <v>0.33353177514246696</v>
      </c>
      <c r="S151" s="307">
        <f t="shared" ca="1" si="79"/>
        <v>8.2805762841471644</v>
      </c>
      <c r="T151" s="304">
        <f t="shared" ca="1" si="59"/>
        <v>81.232453347483684</v>
      </c>
      <c r="U151" s="311">
        <f t="shared" ca="1" si="60"/>
        <v>0</v>
      </c>
      <c r="V151" s="306">
        <f t="shared" ca="1" si="61"/>
        <v>1.214693877351767</v>
      </c>
      <c r="W151" s="304">
        <f t="shared" ca="1" si="62"/>
        <v>50.742477129766911</v>
      </c>
      <c r="Y151" s="314" t="str">
        <f t="shared" ca="1" si="80"/>
        <v/>
      </c>
      <c r="Z151" s="315" t="str">
        <f t="shared" ca="1" si="81"/>
        <v/>
      </c>
      <c r="AA151" s="316" t="str">
        <f t="shared" ca="1" si="82"/>
        <v/>
      </c>
      <c r="AC151" s="310" t="e">
        <f t="shared" ca="1" si="83"/>
        <v>#N/A</v>
      </c>
      <c r="AD151" s="323" t="e">
        <f t="shared" ca="1" si="84"/>
        <v>#N/A</v>
      </c>
      <c r="AE151" s="324">
        <f t="shared" ca="1" si="63"/>
        <v>84.487014898936721</v>
      </c>
      <c r="AG151" s="306">
        <f t="shared" ca="1" si="85"/>
        <v>64.603505140315207</v>
      </c>
      <c r="AH151" s="304">
        <f t="shared" ca="1" si="86"/>
        <v>74.201277762583288</v>
      </c>
    </row>
    <row r="152" spans="1:34" x14ac:dyDescent="0.2">
      <c r="A152" s="347">
        <f t="shared" ca="1" si="64"/>
        <v>0.01</v>
      </c>
      <c r="B152" s="304">
        <f t="shared" ca="1" si="65"/>
        <v>1.4800000000000011</v>
      </c>
      <c r="D152" s="306">
        <f t="shared" ca="1" si="66"/>
        <v>15.315656108555663</v>
      </c>
      <c r="E152" s="307">
        <f t="shared" ca="1" si="67"/>
        <v>62.55575423771117</v>
      </c>
      <c r="F152" s="304">
        <f t="shared" ca="1" si="68"/>
        <v>64.403351700703112</v>
      </c>
      <c r="G152" s="306">
        <f t="shared" ca="1" si="69"/>
        <v>23.598637976020644</v>
      </c>
      <c r="H152" s="307">
        <f t="shared" ca="1" si="70"/>
        <v>111.40435369922162</v>
      </c>
      <c r="I152" s="304">
        <f t="shared" ca="1" si="71"/>
        <v>113.87636162726906</v>
      </c>
      <c r="J152" s="306">
        <f t="shared" ca="1" si="72"/>
        <v>17.102661800846601</v>
      </c>
      <c r="K152" s="307">
        <f t="shared" ca="1" si="73"/>
        <v>85.597930648217044</v>
      </c>
      <c r="L152" s="304">
        <f t="shared" ca="1" si="58"/>
        <v>87.289786183327962</v>
      </c>
      <c r="M152" s="306">
        <f t="shared" ca="1" si="74"/>
        <v>1.3620533301297231</v>
      </c>
      <c r="N152" s="304">
        <f t="shared" ca="1" si="75"/>
        <v>78.039907288172145</v>
      </c>
      <c r="P152" s="310">
        <f t="shared" ca="1" si="76"/>
        <v>4</v>
      </c>
      <c r="Q152" s="304">
        <f t="shared" ca="1" si="77"/>
        <v>662.99999999999977</v>
      </c>
      <c r="R152" s="306">
        <f t="shared" ca="1" si="78"/>
        <v>0.33272880968921997</v>
      </c>
      <c r="S152" s="307">
        <f t="shared" ca="1" si="79"/>
        <v>8.2772489960502718</v>
      </c>
      <c r="T152" s="304">
        <f t="shared" ca="1" si="59"/>
        <v>81.199812651253168</v>
      </c>
      <c r="U152" s="311">
        <f t="shared" ca="1" si="60"/>
        <v>0</v>
      </c>
      <c r="V152" s="306">
        <f t="shared" ca="1" si="61"/>
        <v>1.2145589401514338</v>
      </c>
      <c r="W152" s="304">
        <f t="shared" ca="1" si="62"/>
        <v>51.315346518296842</v>
      </c>
      <c r="Y152" s="314" t="str">
        <f t="shared" ca="1" si="80"/>
        <v/>
      </c>
      <c r="Z152" s="315" t="str">
        <f t="shared" ca="1" si="81"/>
        <v/>
      </c>
      <c r="AA152" s="316" t="str">
        <f t="shared" ca="1" si="82"/>
        <v/>
      </c>
      <c r="AC152" s="310" t="e">
        <f t="shared" ca="1" si="83"/>
        <v>#N/A</v>
      </c>
      <c r="AD152" s="323" t="e">
        <f t="shared" ca="1" si="84"/>
        <v>#N/A</v>
      </c>
      <c r="AE152" s="324">
        <f t="shared" ca="1" si="63"/>
        <v>85.597930648217044</v>
      </c>
      <c r="AG152" s="306">
        <f t="shared" ca="1" si="85"/>
        <v>64.371312433005315</v>
      </c>
      <c r="AH152" s="304">
        <f t="shared" ca="1" si="86"/>
        <v>73.968721149066454</v>
      </c>
    </row>
    <row r="153" spans="1:34" x14ac:dyDescent="0.2">
      <c r="A153" s="347">
        <f t="shared" ca="1" si="64"/>
        <v>0.01</v>
      </c>
      <c r="B153" s="304">
        <f t="shared" ca="1" si="65"/>
        <v>1.4900000000000011</v>
      </c>
      <c r="D153" s="306">
        <f t="shared" ca="1" si="66"/>
        <v>15.280291067117671</v>
      </c>
      <c r="E153" s="307">
        <f t="shared" ca="1" si="67"/>
        <v>62.325135612402192</v>
      </c>
      <c r="F153" s="304">
        <f t="shared" ca="1" si="68"/>
        <v>64.170942210631125</v>
      </c>
      <c r="G153" s="306">
        <f t="shared" ca="1" si="69"/>
        <v>23.751440886691821</v>
      </c>
      <c r="H153" s="307">
        <f t="shared" ca="1" si="70"/>
        <v>112.02760505534563</v>
      </c>
      <c r="I153" s="304">
        <f t="shared" ca="1" si="71"/>
        <v>114.51775075782146</v>
      </c>
      <c r="J153" s="306">
        <f t="shared" ca="1" si="72"/>
        <v>17.339412195160165</v>
      </c>
      <c r="K153" s="307">
        <f t="shared" ca="1" si="73"/>
        <v>86.715090441989886</v>
      </c>
      <c r="L153" s="304">
        <f t="shared" ca="1" si="58"/>
        <v>88.431680554177845</v>
      </c>
      <c r="M153" s="306">
        <f t="shared" ca="1" si="74"/>
        <v>1.361875809203507</v>
      </c>
      <c r="N153" s="304">
        <f t="shared" ca="1" si="75"/>
        <v>78.029736088324711</v>
      </c>
      <c r="P153" s="310">
        <f t="shared" ca="1" si="76"/>
        <v>4</v>
      </c>
      <c r="Q153" s="304">
        <f t="shared" ca="1" si="77"/>
        <v>661.39999999999986</v>
      </c>
      <c r="R153" s="306">
        <f t="shared" ca="1" si="78"/>
        <v>0.33192584423597304</v>
      </c>
      <c r="S153" s="307">
        <f t="shared" ca="1" si="79"/>
        <v>8.2739297376079115</v>
      </c>
      <c r="T153" s="304">
        <f t="shared" ca="1" si="59"/>
        <v>81.167250725933613</v>
      </c>
      <c r="U153" s="311">
        <f t="shared" ca="1" si="60"/>
        <v>0</v>
      </c>
      <c r="V153" s="306">
        <f t="shared" ca="1" si="61"/>
        <v>1.2144232595710005</v>
      </c>
      <c r="W153" s="304">
        <f t="shared" ca="1" si="62"/>
        <v>51.889226940042676</v>
      </c>
      <c r="Y153" s="314" t="str">
        <f t="shared" ca="1" si="80"/>
        <v/>
      </c>
      <c r="Z153" s="315" t="str">
        <f t="shared" ca="1" si="81"/>
        <v/>
      </c>
      <c r="AA153" s="316" t="str">
        <f t="shared" ca="1" si="82"/>
        <v/>
      </c>
      <c r="AC153" s="310" t="e">
        <f t="shared" ca="1" si="83"/>
        <v>#N/A</v>
      </c>
      <c r="AD153" s="323" t="e">
        <f t="shared" ca="1" si="84"/>
        <v>#N/A</v>
      </c>
      <c r="AE153" s="324">
        <f t="shared" ca="1" si="63"/>
        <v>86.715090441989886</v>
      </c>
      <c r="AG153" s="306">
        <f t="shared" ca="1" si="85"/>
        <v>64.138732611458295</v>
      </c>
      <c r="AH153" s="304">
        <f t="shared" ca="1" si="86"/>
        <v>73.735778865592053</v>
      </c>
    </row>
    <row r="154" spans="1:34" x14ac:dyDescent="0.2">
      <c r="A154" s="347">
        <f t="shared" ca="1" si="64"/>
        <v>0.01</v>
      </c>
      <c r="B154" s="304">
        <f t="shared" ca="1" si="65"/>
        <v>1.5000000000000011</v>
      </c>
      <c r="D154" s="306">
        <f t="shared" ca="1" si="66"/>
        <v>15.244704224654003</v>
      </c>
      <c r="E154" s="307">
        <f t="shared" ca="1" si="67"/>
        <v>62.094172559990341</v>
      </c>
      <c r="F154" s="304">
        <f t="shared" ca="1" si="68"/>
        <v>63.938151934561269</v>
      </c>
      <c r="G154" s="306">
        <f t="shared" ca="1" si="69"/>
        <v>23.90388792893836</v>
      </c>
      <c r="H154" s="307">
        <f t="shared" ca="1" si="70"/>
        <v>112.64854678094554</v>
      </c>
      <c r="I154" s="304">
        <f t="shared" ca="1" si="71"/>
        <v>115.15681026312825</v>
      </c>
      <c r="J154" s="306">
        <f t="shared" ca="1" si="72"/>
        <v>17.577688839238316</v>
      </c>
      <c r="K154" s="307">
        <f t="shared" ca="1" si="73"/>
        <v>87.838471201171345</v>
      </c>
      <c r="L154" s="304">
        <f t="shared" ca="1" si="58"/>
        <v>89.579976378028206</v>
      </c>
      <c r="M154" s="306">
        <f t="shared" ca="1" si="74"/>
        <v>1.3616991254834534</v>
      </c>
      <c r="N154" s="304">
        <f t="shared" ca="1" si="75"/>
        <v>78.019612856856966</v>
      </c>
      <c r="P154" s="310">
        <f t="shared" ca="1" si="76"/>
        <v>4</v>
      </c>
      <c r="Q154" s="304">
        <f t="shared" ca="1" si="77"/>
        <v>659.79999999999984</v>
      </c>
      <c r="R154" s="306">
        <f t="shared" ca="1" si="78"/>
        <v>0.331122878782726</v>
      </c>
      <c r="S154" s="307">
        <f t="shared" ca="1" si="79"/>
        <v>8.2706185088200836</v>
      </c>
      <c r="T154" s="304">
        <f t="shared" ca="1" si="59"/>
        <v>81.134767571525018</v>
      </c>
      <c r="U154" s="311">
        <f t="shared" ca="1" si="60"/>
        <v>0</v>
      </c>
      <c r="V154" s="306">
        <f t="shared" ca="1" si="61"/>
        <v>1.2142868386635328</v>
      </c>
      <c r="W154" s="304">
        <f t="shared" ca="1" si="62"/>
        <v>52.46407817905196</v>
      </c>
      <c r="Y154" s="314" t="str">
        <f t="shared" ca="1" si="80"/>
        <v/>
      </c>
      <c r="Z154" s="315" t="str">
        <f t="shared" ca="1" si="81"/>
        <v/>
      </c>
      <c r="AA154" s="316" t="str">
        <f t="shared" ca="1" si="82"/>
        <v/>
      </c>
      <c r="AC154" s="310" t="e">
        <f t="shared" ca="1" si="83"/>
        <v>#N/A</v>
      </c>
      <c r="AD154" s="323" t="e">
        <f t="shared" ca="1" si="84"/>
        <v>#N/A</v>
      </c>
      <c r="AE154" s="324">
        <f t="shared" ca="1" si="63"/>
        <v>87.838471201171345</v>
      </c>
      <c r="AG154" s="306">
        <f t="shared" ca="1" si="85"/>
        <v>63.905770787383474</v>
      </c>
      <c r="AH154" s="304">
        <f t="shared" ca="1" si="86"/>
        <v>73.502456002735386</v>
      </c>
    </row>
    <row r="155" spans="1:34" x14ac:dyDescent="0.2">
      <c r="A155" s="347">
        <f t="shared" ca="1" si="64"/>
        <v>0.01</v>
      </c>
      <c r="B155" s="304">
        <f t="shared" ca="1" si="65"/>
        <v>1.5100000000000011</v>
      </c>
      <c r="D155" s="306">
        <f t="shared" ca="1" si="66"/>
        <v>15.210656130535376</v>
      </c>
      <c r="E155" s="307">
        <f t="shared" ca="1" si="67"/>
        <v>61.87115554186289</v>
      </c>
      <c r="F155" s="304">
        <f t="shared" ca="1" si="68"/>
        <v>63.713451860708226</v>
      </c>
      <c r="G155" s="306">
        <f t="shared" ca="1" si="69"/>
        <v>24.055994490243712</v>
      </c>
      <c r="H155" s="307">
        <f t="shared" ca="1" si="70"/>
        <v>113.26725833636416</v>
      </c>
      <c r="I155" s="304">
        <f t="shared" ca="1" si="71"/>
        <v>115.79362107625485</v>
      </c>
      <c r="J155" s="306">
        <f t="shared" ca="1" si="72"/>
        <v>17.817488251334225</v>
      </c>
      <c r="K155" s="307">
        <f t="shared" ca="1" si="73"/>
        <v>88.968050226757896</v>
      </c>
      <c r="L155" s="304">
        <f t="shared" ca="1" si="58"/>
        <v>90.734650761092084</v>
      </c>
      <c r="M155" s="306">
        <f t="shared" ca="1" si="74"/>
        <v>1.361523267013018</v>
      </c>
      <c r="N155" s="304">
        <f t="shared" ca="1" si="75"/>
        <v>78.009536908709393</v>
      </c>
      <c r="P155" s="310">
        <f t="shared" ca="1" si="76"/>
        <v>5</v>
      </c>
      <c r="Q155" s="304">
        <f t="shared" ca="1" si="77"/>
        <v>658.26999999999987</v>
      </c>
      <c r="R155" s="306">
        <f t="shared" ca="1" si="78"/>
        <v>0.33035504306805863</v>
      </c>
      <c r="S155" s="307">
        <f t="shared" ca="1" si="79"/>
        <v>8.2673149583894023</v>
      </c>
      <c r="T155" s="304">
        <f t="shared" ca="1" si="59"/>
        <v>81.102359741800043</v>
      </c>
      <c r="U155" s="311">
        <f t="shared" ca="1" si="60"/>
        <v>0</v>
      </c>
      <c r="V155" s="306">
        <f t="shared" ca="1" si="61"/>
        <v>1.2141496804360195</v>
      </c>
      <c r="W155" s="304">
        <f t="shared" ca="1" si="62"/>
        <v>53.039937731062018</v>
      </c>
      <c r="Y155" s="314" t="str">
        <f t="shared" ca="1" si="80"/>
        <v/>
      </c>
      <c r="Z155" s="315" t="str">
        <f t="shared" ca="1" si="81"/>
        <v/>
      </c>
      <c r="AA155" s="316" t="str">
        <f t="shared" ca="1" si="82"/>
        <v/>
      </c>
      <c r="AC155" s="310" t="e">
        <f t="shared" ca="1" si="83"/>
        <v>#N/A</v>
      </c>
      <c r="AD155" s="323" t="e">
        <f t="shared" ca="1" si="84"/>
        <v>#N/A</v>
      </c>
      <c r="AE155" s="324">
        <f t="shared" ca="1" si="63"/>
        <v>88.968050226757896</v>
      </c>
      <c r="AG155" s="306">
        <f t="shared" ca="1" si="85"/>
        <v>63.680902259817657</v>
      </c>
      <c r="AH155" s="304">
        <f t="shared" ca="1" si="86"/>
        <v>73.277227838791333</v>
      </c>
    </row>
    <row r="156" spans="1:34" x14ac:dyDescent="0.2">
      <c r="A156" s="347">
        <f t="shared" ca="1" si="64"/>
        <v>0.01</v>
      </c>
      <c r="B156" s="304">
        <f t="shared" ca="1" si="65"/>
        <v>1.5200000000000011</v>
      </c>
      <c r="D156" s="306">
        <f t="shared" ca="1" si="66"/>
        <v>15.178154250366966</v>
      </c>
      <c r="E156" s="307">
        <f t="shared" ca="1" si="67"/>
        <v>61.656092131121085</v>
      </c>
      <c r="F156" s="304">
        <f t="shared" ca="1" si="68"/>
        <v>63.496850814266566</v>
      </c>
      <c r="G156" s="306">
        <f t="shared" ca="1" si="69"/>
        <v>24.207776032747383</v>
      </c>
      <c r="H156" s="307">
        <f t="shared" ca="1" si="70"/>
        <v>113.88381925767537</v>
      </c>
      <c r="I156" s="304">
        <f t="shared" ca="1" si="71"/>
        <v>116.42826421950355</v>
      </c>
      <c r="J156" s="306">
        <f t="shared" ca="1" si="72"/>
        <v>18.058807103949182</v>
      </c>
      <c r="K156" s="307">
        <f t="shared" ca="1" si="73"/>
        <v>90.103805614728088</v>
      </c>
      <c r="L156" s="304">
        <f t="shared" ca="1" si="58"/>
        <v>91.895681619292375</v>
      </c>
      <c r="M156" s="306">
        <f t="shared" ca="1" si="74"/>
        <v>1.3613482221915494</v>
      </c>
      <c r="N156" s="304">
        <f t="shared" ca="1" si="75"/>
        <v>77.999507579213613</v>
      </c>
      <c r="P156" s="310">
        <f t="shared" ca="1" si="76"/>
        <v>5</v>
      </c>
      <c r="Q156" s="304">
        <f t="shared" ca="1" si="77"/>
        <v>656.80999999999983</v>
      </c>
      <c r="R156" s="306">
        <f t="shared" ca="1" si="78"/>
        <v>0.3296223370919707</v>
      </c>
      <c r="S156" s="307">
        <f t="shared" ca="1" si="79"/>
        <v>8.2640187350184835</v>
      </c>
      <c r="T156" s="304">
        <f t="shared" ca="1" si="59"/>
        <v>81.070023790531323</v>
      </c>
      <c r="U156" s="311">
        <f t="shared" ca="1" si="60"/>
        <v>0</v>
      </c>
      <c r="V156" s="306">
        <f t="shared" ca="1" si="61"/>
        <v>1.2140117877990066</v>
      </c>
      <c r="W156" s="304">
        <f t="shared" ca="1" si="62"/>
        <v>53.616844907515862</v>
      </c>
      <c r="Y156" s="314" t="str">
        <f t="shared" ca="1" si="80"/>
        <v/>
      </c>
      <c r="Z156" s="315" t="str">
        <f t="shared" ca="1" si="81"/>
        <v/>
      </c>
      <c r="AA156" s="316" t="str">
        <f t="shared" ca="1" si="82"/>
        <v/>
      </c>
      <c r="AC156" s="310" t="e">
        <f t="shared" ca="1" si="83"/>
        <v>#N/A</v>
      </c>
      <c r="AD156" s="323" t="e">
        <f t="shared" ca="1" si="84"/>
        <v>#N/A</v>
      </c>
      <c r="AE156" s="324">
        <f t="shared" ca="1" si="63"/>
        <v>90.103805614728088</v>
      </c>
      <c r="AG156" s="306">
        <f t="shared" ca="1" si="85"/>
        <v>63.464135952755214</v>
      </c>
      <c r="AH156" s="304">
        <f t="shared" ca="1" si="86"/>
        <v>73.06010327765641</v>
      </c>
    </row>
    <row r="157" spans="1:34" x14ac:dyDescent="0.2">
      <c r="A157" s="347">
        <f t="shared" ca="1" si="64"/>
        <v>0.01</v>
      </c>
      <c r="B157" s="304">
        <f t="shared" ca="1" si="65"/>
        <v>1.5300000000000011</v>
      </c>
      <c r="D157" s="306">
        <f t="shared" ca="1" si="66"/>
        <v>15.145443397667078</v>
      </c>
      <c r="E157" s="307">
        <f t="shared" ca="1" si="67"/>
        <v>61.440697963497158</v>
      </c>
      <c r="F157" s="304">
        <f t="shared" ca="1" si="68"/>
        <v>63.279884813055887</v>
      </c>
      <c r="G157" s="306">
        <f t="shared" ca="1" si="69"/>
        <v>24.359230466724053</v>
      </c>
      <c r="H157" s="307">
        <f t="shared" ca="1" si="70"/>
        <v>114.49822623731035</v>
      </c>
      <c r="I157" s="304">
        <f t="shared" ca="1" si="71"/>
        <v>117.06073603228916</v>
      </c>
      <c r="J157" s="306">
        <f t="shared" ca="1" si="72"/>
        <v>18.301642136446539</v>
      </c>
      <c r="K157" s="307">
        <f t="shared" ca="1" si="73"/>
        <v>91.245715842203012</v>
      </c>
      <c r="L157" s="304">
        <f t="shared" ca="1" si="58"/>
        <v>93.06304725532371</v>
      </c>
      <c r="M157" s="306">
        <f t="shared" ca="1" si="74"/>
        <v>1.3611739796372464</v>
      </c>
      <c r="N157" s="304">
        <f t="shared" ca="1" si="75"/>
        <v>77.989524216240483</v>
      </c>
      <c r="P157" s="310">
        <f t="shared" ca="1" si="76"/>
        <v>5</v>
      </c>
      <c r="Q157" s="304">
        <f t="shared" ca="1" si="77"/>
        <v>655.3499999999998</v>
      </c>
      <c r="R157" s="306">
        <f t="shared" ca="1" si="78"/>
        <v>0.32888963111588282</v>
      </c>
      <c r="S157" s="307">
        <f t="shared" ca="1" si="79"/>
        <v>8.2607298387073254</v>
      </c>
      <c r="T157" s="304">
        <f t="shared" ca="1" si="59"/>
        <v>81.03775971771887</v>
      </c>
      <c r="U157" s="311">
        <f t="shared" ca="1" si="60"/>
        <v>0</v>
      </c>
      <c r="V157" s="306">
        <f t="shared" ca="1" si="61"/>
        <v>1.213873163616872</v>
      </c>
      <c r="W157" s="304">
        <f t="shared" ca="1" si="62"/>
        <v>54.194762331713889</v>
      </c>
      <c r="Y157" s="314" t="str">
        <f t="shared" ca="1" si="80"/>
        <v/>
      </c>
      <c r="Z157" s="315" t="str">
        <f t="shared" ca="1" si="81"/>
        <v/>
      </c>
      <c r="AA157" s="316" t="str">
        <f t="shared" ca="1" si="82"/>
        <v/>
      </c>
      <c r="AC157" s="310" t="e">
        <f t="shared" ca="1" si="83"/>
        <v>#N/A</v>
      </c>
      <c r="AD157" s="323" t="e">
        <f t="shared" ca="1" si="84"/>
        <v>#N/A</v>
      </c>
      <c r="AE157" s="324">
        <f t="shared" ca="1" si="63"/>
        <v>91.245715842203012</v>
      </c>
      <c r="AG157" s="306">
        <f t="shared" ca="1" si="85"/>
        <v>63.247003577625875</v>
      </c>
      <c r="AH157" s="304">
        <f t="shared" ca="1" si="86"/>
        <v>72.842614011287623</v>
      </c>
    </row>
    <row r="158" spans="1:34" x14ac:dyDescent="0.2">
      <c r="A158" s="347">
        <f t="shared" ca="1" si="64"/>
        <v>0.01</v>
      </c>
      <c r="B158" s="304">
        <f t="shared" ca="1" si="65"/>
        <v>1.5400000000000011</v>
      </c>
      <c r="D158" s="306">
        <f t="shared" ca="1" si="66"/>
        <v>15.112525694840853</v>
      </c>
      <c r="E158" s="307">
        <f t="shared" ca="1" si="67"/>
        <v>61.224977413954448</v>
      </c>
      <c r="F158" s="304">
        <f t="shared" ca="1" si="68"/>
        <v>63.062558560658303</v>
      </c>
      <c r="G158" s="306">
        <f t="shared" ca="1" si="69"/>
        <v>24.510355723672461</v>
      </c>
      <c r="H158" s="307">
        <f t="shared" ca="1" si="70"/>
        <v>115.11047601144989</v>
      </c>
      <c r="I158" s="304">
        <f t="shared" ca="1" si="71"/>
        <v>117.69103290091196</v>
      </c>
      <c r="J158" s="306">
        <f t="shared" ca="1" si="72"/>
        <v>18.54599006739852</v>
      </c>
      <c r="K158" s="307">
        <f t="shared" ca="1" si="73"/>
        <v>92.393759353446811</v>
      </c>
      <c r="L158" s="304">
        <f t="shared" ca="1" si="58"/>
        <v>94.236725935500772</v>
      </c>
      <c r="M158" s="306">
        <f t="shared" ca="1" si="74"/>
        <v>1.3610005281815334</v>
      </c>
      <c r="N158" s="304">
        <f t="shared" ca="1" si="75"/>
        <v>77.979586179877728</v>
      </c>
      <c r="P158" s="310">
        <f t="shared" ca="1" si="76"/>
        <v>5</v>
      </c>
      <c r="Q158" s="304">
        <f t="shared" ca="1" si="77"/>
        <v>653.88999999999987</v>
      </c>
      <c r="R158" s="306">
        <f t="shared" ca="1" si="78"/>
        <v>0.328156925139795</v>
      </c>
      <c r="S158" s="307">
        <f t="shared" ca="1" si="79"/>
        <v>8.2574482694559279</v>
      </c>
      <c r="T158" s="304">
        <f t="shared" ca="1" si="59"/>
        <v>81.005567523362657</v>
      </c>
      <c r="U158" s="311">
        <f t="shared" ca="1" si="60"/>
        <v>0</v>
      </c>
      <c r="V158" s="306">
        <f t="shared" ca="1" si="61"/>
        <v>1.2137338107580853</v>
      </c>
      <c r="W158" s="304">
        <f t="shared" ca="1" si="62"/>
        <v>54.773652726950864</v>
      </c>
      <c r="Y158" s="314" t="str">
        <f t="shared" ca="1" si="80"/>
        <v/>
      </c>
      <c r="Z158" s="315" t="str">
        <f t="shared" ca="1" si="81"/>
        <v/>
      </c>
      <c r="AA158" s="316" t="str">
        <f t="shared" ca="1" si="82"/>
        <v/>
      </c>
      <c r="AC158" s="310" t="e">
        <f t="shared" ca="1" si="83"/>
        <v>#N/A</v>
      </c>
      <c r="AD158" s="323" t="e">
        <f t="shared" ca="1" si="84"/>
        <v>#N/A</v>
      </c>
      <c r="AE158" s="324">
        <f t="shared" ca="1" si="63"/>
        <v>92.393759353446811</v>
      </c>
      <c r="AG158" s="306">
        <f t="shared" ca="1" si="85"/>
        <v>63.029509823147883</v>
      </c>
      <c r="AH158" s="304">
        <f t="shared" ca="1" si="86"/>
        <v>72.624764709279745</v>
      </c>
    </row>
    <row r="159" spans="1:34" x14ac:dyDescent="0.2">
      <c r="A159" s="347">
        <f t="shared" ca="1" si="64"/>
        <v>0.01</v>
      </c>
      <c r="B159" s="304">
        <f t="shared" ca="1" si="65"/>
        <v>1.5500000000000012</v>
      </c>
      <c r="D159" s="306">
        <f t="shared" ca="1" si="66"/>
        <v>15.079403243613367</v>
      </c>
      <c r="E159" s="307">
        <f t="shared" ca="1" si="67"/>
        <v>61.008934857990582</v>
      </c>
      <c r="F159" s="304">
        <f t="shared" ca="1" si="68"/>
        <v>62.844876757696291</v>
      </c>
      <c r="G159" s="306">
        <f t="shared" ca="1" si="69"/>
        <v>24.661149756108596</v>
      </c>
      <c r="H159" s="307">
        <f t="shared" ca="1" si="70"/>
        <v>115.72056536002979</v>
      </c>
      <c r="I159" s="304">
        <f t="shared" ca="1" si="71"/>
        <v>118.3191512585268</v>
      </c>
      <c r="J159" s="306">
        <f t="shared" ca="1" si="72"/>
        <v>18.791847594797424</v>
      </c>
      <c r="K159" s="307">
        <f t="shared" ca="1" si="73"/>
        <v>93.547914560304207</v>
      </c>
      <c r="L159" s="304">
        <f t="shared" ca="1" si="58"/>
        <v>95.416695890227047</v>
      </c>
      <c r="M159" s="306">
        <f t="shared" ca="1" si="74"/>
        <v>1.360827856863619</v>
      </c>
      <c r="N159" s="304">
        <f t="shared" ca="1" si="75"/>
        <v>77.969692842118263</v>
      </c>
      <c r="P159" s="310">
        <f t="shared" ca="1" si="76"/>
        <v>5</v>
      </c>
      <c r="Q159" s="304">
        <f t="shared" ca="1" si="77"/>
        <v>652.42999999999984</v>
      </c>
      <c r="R159" s="306">
        <f t="shared" ca="1" si="78"/>
        <v>0.32742421916370706</v>
      </c>
      <c r="S159" s="307">
        <f t="shared" ca="1" si="79"/>
        <v>8.2541740272642912</v>
      </c>
      <c r="T159" s="304">
        <f t="shared" ca="1" si="59"/>
        <v>80.973447207462698</v>
      </c>
      <c r="U159" s="311">
        <f t="shared" ca="1" si="60"/>
        <v>0</v>
      </c>
      <c r="V159" s="306">
        <f t="shared" ca="1" si="61"/>
        <v>1.2135937320951335</v>
      </c>
      <c r="W159" s="304">
        <f t="shared" ca="1" si="62"/>
        <v>55.353478918483702</v>
      </c>
      <c r="Y159" s="314" t="str">
        <f t="shared" ca="1" si="80"/>
        <v/>
      </c>
      <c r="Z159" s="315" t="str">
        <f t="shared" ca="1" si="81"/>
        <v/>
      </c>
      <c r="AA159" s="316" t="str">
        <f t="shared" ca="1" si="82"/>
        <v/>
      </c>
      <c r="AC159" s="310" t="e">
        <f t="shared" ca="1" si="83"/>
        <v>#N/A</v>
      </c>
      <c r="AD159" s="323" t="e">
        <f t="shared" ca="1" si="84"/>
        <v>#N/A</v>
      </c>
      <c r="AE159" s="324">
        <f t="shared" ca="1" si="63"/>
        <v>93.547914560304207</v>
      </c>
      <c r="AG159" s="306">
        <f t="shared" ca="1" si="85"/>
        <v>62.811659374936255</v>
      </c>
      <c r="AH159" s="304">
        <f t="shared" ca="1" si="86"/>
        <v>72.406560038464832</v>
      </c>
    </row>
    <row r="160" spans="1:34" x14ac:dyDescent="0.2">
      <c r="A160" s="347">
        <f t="shared" ca="1" si="64"/>
        <v>0.01</v>
      </c>
      <c r="B160" s="304">
        <f t="shared" ca="1" si="65"/>
        <v>1.5600000000000012</v>
      </c>
      <c r="D160" s="306">
        <f t="shared" ca="1" si="66"/>
        <v>15.046078125508972</v>
      </c>
      <c r="E160" s="307">
        <f t="shared" ca="1" si="67"/>
        <v>60.792574671271879</v>
      </c>
      <c r="F160" s="304">
        <f t="shared" ca="1" si="68"/>
        <v>62.62684410155989</v>
      </c>
      <c r="G160" s="306">
        <f t="shared" ca="1" si="69"/>
        <v>24.811610537363684</v>
      </c>
      <c r="H160" s="307">
        <f t="shared" ca="1" si="70"/>
        <v>116.32849110674252</v>
      </c>
      <c r="I160" s="304">
        <f t="shared" ca="1" si="71"/>
        <v>118.94508758510916</v>
      </c>
      <c r="J160" s="306">
        <f t="shared" ca="1" si="72"/>
        <v>19.039211396264786</v>
      </c>
      <c r="K160" s="307">
        <f t="shared" ca="1" si="73"/>
        <v>94.708159842638068</v>
      </c>
      <c r="L160" s="304">
        <f t="shared" ca="1" si="58"/>
        <v>96.602935314463096</v>
      </c>
      <c r="M160" s="306">
        <f t="shared" ca="1" si="74"/>
        <v>1.3606559549252255</v>
      </c>
      <c r="N160" s="304">
        <f t="shared" ca="1" si="75"/>
        <v>77.959843586558193</v>
      </c>
      <c r="P160" s="310">
        <f t="shared" ca="1" si="76"/>
        <v>5</v>
      </c>
      <c r="Q160" s="304">
        <f t="shared" ca="1" si="77"/>
        <v>650.9699999999998</v>
      </c>
      <c r="R160" s="306">
        <f t="shared" ca="1" si="78"/>
        <v>0.32669151318761919</v>
      </c>
      <c r="S160" s="307">
        <f t="shared" ca="1" si="79"/>
        <v>8.2509071121324151</v>
      </c>
      <c r="T160" s="304">
        <f t="shared" ca="1" si="59"/>
        <v>80.941398770018992</v>
      </c>
      <c r="U160" s="311">
        <f t="shared" ca="1" si="60"/>
        <v>0</v>
      </c>
      <c r="V160" s="306">
        <f t="shared" ca="1" si="61"/>
        <v>1.2134529305044519</v>
      </c>
      <c r="W160" s="304">
        <f t="shared" ca="1" si="62"/>
        <v>55.934203835480687</v>
      </c>
      <c r="Y160" s="314" t="str">
        <f t="shared" ca="1" si="80"/>
        <v/>
      </c>
      <c r="Z160" s="315" t="str">
        <f t="shared" ca="1" si="81"/>
        <v/>
      </c>
      <c r="AA160" s="316" t="str">
        <f t="shared" ca="1" si="82"/>
        <v/>
      </c>
      <c r="AC160" s="310" t="e">
        <f t="shared" ca="1" si="83"/>
        <v>#N/A</v>
      </c>
      <c r="AD160" s="323" t="e">
        <f t="shared" ca="1" si="84"/>
        <v>#N/A</v>
      </c>
      <c r="AE160" s="324">
        <f t="shared" ca="1" si="63"/>
        <v>94.708159842638068</v>
      </c>
      <c r="AG160" s="306">
        <f t="shared" ca="1" si="85"/>
        <v>62.593456915225914</v>
      </c>
      <c r="AH160" s="304">
        <f t="shared" ca="1" si="86"/>
        <v>72.188004662626881</v>
      </c>
    </row>
    <row r="161" spans="1:34" x14ac:dyDescent="0.2">
      <c r="A161" s="347">
        <f t="shared" ca="1" si="64"/>
        <v>0.01</v>
      </c>
      <c r="B161" s="304">
        <f t="shared" ca="1" si="65"/>
        <v>1.5700000000000012</v>
      </c>
      <c r="D161" s="306">
        <f t="shared" ca="1" si="66"/>
        <v>15.012552402313577</v>
      </c>
      <c r="E161" s="307">
        <f t="shared" ca="1" si="67"/>
        <v>60.575901229271864</v>
      </c>
      <c r="F161" s="304">
        <f t="shared" ca="1" si="68"/>
        <v>62.408465286134955</v>
      </c>
      <c r="G161" s="306">
        <f t="shared" ca="1" si="69"/>
        <v>24.961736061386819</v>
      </c>
      <c r="H161" s="307">
        <f t="shared" ca="1" si="70"/>
        <v>116.93425011903524</v>
      </c>
      <c r="I161" s="304">
        <f t="shared" ca="1" si="71"/>
        <v>119.56883840741882</v>
      </c>
      <c r="J161" s="306">
        <f t="shared" ca="1" si="72"/>
        <v>19.28807812925854</v>
      </c>
      <c r="K161" s="307">
        <f t="shared" ca="1" si="73"/>
        <v>95.874473548766957</v>
      </c>
      <c r="L161" s="304">
        <f t="shared" ca="1" si="58"/>
        <v>97.795422368194707</v>
      </c>
      <c r="M161" s="306">
        <f t="shared" ca="1" si="74"/>
        <v>1.3604848118054846</v>
      </c>
      <c r="N161" s="304">
        <f t="shared" ca="1" si="75"/>
        <v>77.950037808104341</v>
      </c>
      <c r="P161" s="310">
        <f t="shared" ca="1" si="76"/>
        <v>5</v>
      </c>
      <c r="Q161" s="304">
        <f t="shared" ca="1" si="77"/>
        <v>649.50999999999976</v>
      </c>
      <c r="R161" s="306">
        <f t="shared" ca="1" si="78"/>
        <v>0.32595880721153131</v>
      </c>
      <c r="S161" s="307">
        <f t="shared" ca="1" si="79"/>
        <v>8.2476475240602998</v>
      </c>
      <c r="T161" s="304">
        <f t="shared" ca="1" si="59"/>
        <v>80.90942221103154</v>
      </c>
      <c r="U161" s="311">
        <f t="shared" ca="1" si="60"/>
        <v>0</v>
      </c>
      <c r="V161" s="306">
        <f t="shared" ca="1" si="61"/>
        <v>1.2133114088663495</v>
      </c>
      <c r="W161" s="304">
        <f t="shared" ca="1" si="62"/>
        <v>56.515790512952421</v>
      </c>
      <c r="Y161" s="314" t="str">
        <f t="shared" ca="1" si="80"/>
        <v/>
      </c>
      <c r="Z161" s="315" t="str">
        <f t="shared" ca="1" si="81"/>
        <v/>
      </c>
      <c r="AA161" s="316" t="str">
        <f t="shared" ca="1" si="82"/>
        <v/>
      </c>
      <c r="AC161" s="310" t="e">
        <f t="shared" ca="1" si="83"/>
        <v>#N/A</v>
      </c>
      <c r="AD161" s="323" t="e">
        <f t="shared" ca="1" si="84"/>
        <v>#N/A</v>
      </c>
      <c r="AE161" s="324">
        <f t="shared" ca="1" si="63"/>
        <v>95.874473548766957</v>
      </c>
      <c r="AG161" s="306">
        <f t="shared" ca="1" si="85"/>
        <v>62.374907122596028</v>
      </c>
      <c r="AH161" s="304">
        <f t="shared" ca="1" si="86"/>
        <v>71.969103242217955</v>
      </c>
    </row>
    <row r="162" spans="1:34" x14ac:dyDescent="0.2">
      <c r="A162" s="347">
        <f t="shared" ca="1" si="64"/>
        <v>0.01</v>
      </c>
      <c r="B162" s="304">
        <f t="shared" ca="1" si="65"/>
        <v>1.5800000000000012</v>
      </c>
      <c r="D162" s="306">
        <f t="shared" ca="1" si="66"/>
        <v>14.978828116520544</v>
      </c>
      <c r="E162" s="307">
        <f t="shared" ca="1" si="67"/>
        <v>60.35891890691434</v>
      </c>
      <c r="F162" s="304">
        <f t="shared" ca="1" si="68"/>
        <v>62.189745001533232</v>
      </c>
      <c r="G162" s="306">
        <f t="shared" ca="1" si="69"/>
        <v>25.111524342552023</v>
      </c>
      <c r="H162" s="307">
        <f t="shared" ca="1" si="70"/>
        <v>117.53783930810438</v>
      </c>
      <c r="I162" s="304">
        <f t="shared" ca="1" si="71"/>
        <v>120.19040029896044</v>
      </c>
      <c r="J162" s="306">
        <f t="shared" ca="1" si="72"/>
        <v>19.538444431278236</v>
      </c>
      <c r="K162" s="307">
        <f t="shared" ca="1" si="73"/>
        <v>97.046833995902659</v>
      </c>
      <c r="L162" s="304">
        <f t="shared" ca="1" si="58"/>
        <v>98.994135176900429</v>
      </c>
      <c r="M162" s="306">
        <f t="shared" ca="1" si="74"/>
        <v>1.3603144171359944</v>
      </c>
      <c r="N162" s="304">
        <f t="shared" ca="1" si="75"/>
        <v>77.940274912691038</v>
      </c>
      <c r="P162" s="310">
        <f t="shared" ca="1" si="76"/>
        <v>5</v>
      </c>
      <c r="Q162" s="304">
        <f t="shared" ca="1" si="77"/>
        <v>648.04999999999984</v>
      </c>
      <c r="R162" s="306">
        <f t="shared" ca="1" si="78"/>
        <v>0.32522610123544349</v>
      </c>
      <c r="S162" s="307">
        <f t="shared" ca="1" si="79"/>
        <v>8.2443952630479451</v>
      </c>
      <c r="T162" s="304">
        <f t="shared" ca="1" si="59"/>
        <v>80.877517530500342</v>
      </c>
      <c r="U162" s="311">
        <f t="shared" ca="1" si="60"/>
        <v>0</v>
      </c>
      <c r="V162" s="306">
        <f t="shared" ca="1" si="61"/>
        <v>1.213169170064939</v>
      </c>
      <c r="W162" s="304">
        <f t="shared" ca="1" si="62"/>
        <v>57.098202093663794</v>
      </c>
      <c r="Y162" s="314" t="str">
        <f t="shared" ca="1" si="80"/>
        <v/>
      </c>
      <c r="Z162" s="315" t="str">
        <f t="shared" ca="1" si="81"/>
        <v/>
      </c>
      <c r="AA162" s="316" t="str">
        <f t="shared" ca="1" si="82"/>
        <v/>
      </c>
      <c r="AC162" s="310" t="e">
        <f t="shared" ca="1" si="83"/>
        <v>#N/A</v>
      </c>
      <c r="AD162" s="323" t="e">
        <f t="shared" ca="1" si="84"/>
        <v>#N/A</v>
      </c>
      <c r="AE162" s="324">
        <f t="shared" ca="1" si="63"/>
        <v>97.046833995902659</v>
      </c>
      <c r="AG162" s="306">
        <f t="shared" ca="1" si="85"/>
        <v>62.156014671695829</v>
      </c>
      <c r="AH162" s="304">
        <f t="shared" ca="1" si="86"/>
        <v>71.749860434076012</v>
      </c>
    </row>
    <row r="163" spans="1:34" x14ac:dyDescent="0.2">
      <c r="A163" s="347">
        <f t="shared" ca="1" si="64"/>
        <v>0.01</v>
      </c>
      <c r="B163" s="304">
        <f t="shared" ca="1" si="65"/>
        <v>1.5900000000000012</v>
      </c>
      <c r="D163" s="306">
        <f t="shared" ca="1" si="66"/>
        <v>14.944907291760542</v>
      </c>
      <c r="E163" s="307">
        <f t="shared" ca="1" si="67"/>
        <v>60.141632078220113</v>
      </c>
      <c r="F163" s="304">
        <f t="shared" ca="1" si="68"/>
        <v>61.970687933823292</v>
      </c>
      <c r="G163" s="306">
        <f t="shared" ca="1" si="69"/>
        <v>25.260973415469628</v>
      </c>
      <c r="H163" s="307">
        <f t="shared" ca="1" si="70"/>
        <v>118.13925562888659</v>
      </c>
      <c r="I163" s="304">
        <f t="shared" ca="1" si="71"/>
        <v>120.80976987994173</v>
      </c>
      <c r="J163" s="306">
        <f t="shared" ca="1" si="72"/>
        <v>19.790306920068346</v>
      </c>
      <c r="K163" s="307">
        <f t="shared" ca="1" si="73"/>
        <v>98.225219470587618</v>
      </c>
      <c r="L163" s="304">
        <f t="shared" ca="1" si="58"/>
        <v>100.1990518320189</v>
      </c>
      <c r="M163" s="306">
        <f t="shared" ca="1" si="74"/>
        <v>1.3601447607360295</v>
      </c>
      <c r="N163" s="304">
        <f t="shared" ca="1" si="75"/>
        <v>77.930554317005658</v>
      </c>
      <c r="P163" s="310">
        <f t="shared" ca="1" si="76"/>
        <v>5</v>
      </c>
      <c r="Q163" s="304">
        <f t="shared" ca="1" si="77"/>
        <v>646.5899999999998</v>
      </c>
      <c r="R163" s="306">
        <f t="shared" ca="1" si="78"/>
        <v>0.32449339525935555</v>
      </c>
      <c r="S163" s="307">
        <f t="shared" ca="1" si="79"/>
        <v>8.2411503290953512</v>
      </c>
      <c r="T163" s="304">
        <f t="shared" ca="1" si="59"/>
        <v>80.845684728425397</v>
      </c>
      <c r="U163" s="311">
        <f t="shared" ca="1" si="60"/>
        <v>0</v>
      </c>
      <c r="V163" s="306">
        <f t="shared" ca="1" si="61"/>
        <v>1.2130262169880652</v>
      </c>
      <c r="W163" s="304">
        <f t="shared" ca="1" si="62"/>
        <v>57.681401830027589</v>
      </c>
      <c r="Y163" s="314" t="str">
        <f t="shared" ca="1" si="80"/>
        <v/>
      </c>
      <c r="Z163" s="315" t="str">
        <f t="shared" ca="1" si="81"/>
        <v/>
      </c>
      <c r="AA163" s="316" t="str">
        <f t="shared" ca="1" si="82"/>
        <v/>
      </c>
      <c r="AC163" s="310" t="e">
        <f t="shared" ca="1" si="83"/>
        <v>#N/A</v>
      </c>
      <c r="AD163" s="323" t="e">
        <f t="shared" ca="1" si="84"/>
        <v>#N/A</v>
      </c>
      <c r="AE163" s="324">
        <f t="shared" ca="1" si="63"/>
        <v>98.225219470587618</v>
      </c>
      <c r="AG163" s="306">
        <f t="shared" ca="1" si="85"/>
        <v>61.936784232971618</v>
      </c>
      <c r="AH163" s="304">
        <f t="shared" ca="1" si="86"/>
        <v>71.530280891144216</v>
      </c>
    </row>
    <row r="164" spans="1:34" x14ac:dyDescent="0.2">
      <c r="A164" s="347">
        <f t="shared" ca="1" si="64"/>
        <v>0.01</v>
      </c>
      <c r="B164" s="304">
        <f t="shared" ca="1" si="65"/>
        <v>1.6000000000000012</v>
      </c>
      <c r="D164" s="306">
        <f t="shared" ca="1" si="66"/>
        <v>14.910791933216347</v>
      </c>
      <c r="E164" s="307">
        <f t="shared" ca="1" si="67"/>
        <v>59.924045115958478</v>
      </c>
      <c r="F164" s="304">
        <f t="shared" ca="1" si="68"/>
        <v>61.751298764763618</v>
      </c>
      <c r="G164" s="306">
        <f t="shared" ca="1" si="69"/>
        <v>25.410081334801792</v>
      </c>
      <c r="H164" s="307">
        <f t="shared" ca="1" si="70"/>
        <v>118.73849608004618</v>
      </c>
      <c r="I164" s="304">
        <f t="shared" ca="1" si="71"/>
        <v>121.42694381722858</v>
      </c>
      <c r="J164" s="306">
        <f t="shared" ca="1" si="72"/>
        <v>20.043662193819703</v>
      </c>
      <c r="K164" s="307">
        <f t="shared" ca="1" si="73"/>
        <v>99.409608229132289</v>
      </c>
      <c r="L164" s="304">
        <f t="shared" ca="1" si="58"/>
        <v>101.41015039141557</v>
      </c>
      <c r="M164" s="306">
        <f t="shared" ca="1" si="74"/>
        <v>1.3599758326078986</v>
      </c>
      <c r="N164" s="304">
        <f t="shared" ca="1" si="75"/>
        <v>77.920875448222702</v>
      </c>
      <c r="P164" s="310">
        <f t="shared" ca="1" si="76"/>
        <v>5</v>
      </c>
      <c r="Q164" s="304">
        <f t="shared" ca="1" si="77"/>
        <v>645.12999999999977</v>
      </c>
      <c r="R164" s="306">
        <f t="shared" ca="1" si="78"/>
        <v>0.32376068928326768</v>
      </c>
      <c r="S164" s="307">
        <f t="shared" ca="1" si="79"/>
        <v>8.2379127222025179</v>
      </c>
      <c r="T164" s="304">
        <f t="shared" ca="1" si="59"/>
        <v>80.813923804806706</v>
      </c>
      <c r="U164" s="311">
        <f t="shared" ca="1" si="60"/>
        <v>0</v>
      </c>
      <c r="V164" s="306">
        <f t="shared" ca="1" si="61"/>
        <v>1.2128825525272315</v>
      </c>
      <c r="W164" s="304">
        <f t="shared" ca="1" si="62"/>
        <v>58.26535308597861</v>
      </c>
      <c r="Y164" s="314" t="str">
        <f t="shared" ca="1" si="80"/>
        <v/>
      </c>
      <c r="Z164" s="315" t="str">
        <f t="shared" ca="1" si="81"/>
        <v/>
      </c>
      <c r="AA164" s="316" t="str">
        <f t="shared" ca="1" si="82"/>
        <v/>
      </c>
      <c r="AC164" s="310" t="e">
        <f t="shared" ca="1" si="83"/>
        <v>#N/A</v>
      </c>
      <c r="AD164" s="323" t="e">
        <f t="shared" ca="1" si="84"/>
        <v>#N/A</v>
      </c>
      <c r="AE164" s="324">
        <f t="shared" ca="1" si="63"/>
        <v>99.409608229132289</v>
      </c>
      <c r="AG164" s="306">
        <f t="shared" ca="1" si="85"/>
        <v>61.717220472395496</v>
      </c>
      <c r="AH164" s="304">
        <f t="shared" ca="1" si="86"/>
        <v>71.310369262192168</v>
      </c>
    </row>
    <row r="165" spans="1:34" x14ac:dyDescent="0.2">
      <c r="A165" s="347">
        <f t="shared" ca="1" si="64"/>
        <v>0.01</v>
      </c>
      <c r="B165" s="304">
        <f t="shared" ca="1" si="65"/>
        <v>1.6100000000000012</v>
      </c>
      <c r="D165" s="306">
        <f t="shared" ca="1" si="66"/>
        <v>14.876484028022992</v>
      </c>
      <c r="E165" s="307">
        <f t="shared" ca="1" si="67"/>
        <v>59.706162391302144</v>
      </c>
      <c r="F165" s="304">
        <f t="shared" ca="1" si="68"/>
        <v>61.531582171536641</v>
      </c>
      <c r="G165" s="306">
        <f t="shared" ca="1" si="69"/>
        <v>25.558846175082021</v>
      </c>
      <c r="H165" s="307">
        <f t="shared" ca="1" si="70"/>
        <v>119.3355577039592</v>
      </c>
      <c r="I165" s="304">
        <f t="shared" ca="1" si="71"/>
        <v>122.04191882429775</v>
      </c>
      <c r="J165" s="306">
        <f t="shared" ca="1" si="72"/>
        <v>20.298506831369121</v>
      </c>
      <c r="K165" s="307">
        <f t="shared" ca="1" si="73"/>
        <v>100.59997849805231</v>
      </c>
      <c r="L165" s="304">
        <f t="shared" ca="1" si="58"/>
        <v>102.62740887984907</v>
      </c>
      <c r="M165" s="306">
        <f t="shared" ca="1" si="74"/>
        <v>1.3598076229324476</v>
      </c>
      <c r="N165" s="304">
        <f t="shared" ca="1" si="75"/>
        <v>77.911237743746099</v>
      </c>
      <c r="P165" s="310">
        <f t="shared" ca="1" si="76"/>
        <v>5</v>
      </c>
      <c r="Q165" s="304">
        <f t="shared" ca="1" si="77"/>
        <v>643.66999999999985</v>
      </c>
      <c r="R165" s="306">
        <f t="shared" ca="1" si="78"/>
        <v>0.32302798330717986</v>
      </c>
      <c r="S165" s="307">
        <f t="shared" ca="1" si="79"/>
        <v>8.2346824423694454</v>
      </c>
      <c r="T165" s="304">
        <f t="shared" ca="1" si="59"/>
        <v>80.782234759644268</v>
      </c>
      <c r="U165" s="311">
        <f t="shared" ca="1" si="60"/>
        <v>0</v>
      </c>
      <c r="V165" s="306">
        <f t="shared" ca="1" si="61"/>
        <v>1.2127381795775309</v>
      </c>
      <c r="W165" s="304">
        <f t="shared" ca="1" si="62"/>
        <v>58.850019338829419</v>
      </c>
      <c r="Y165" s="314" t="str">
        <f t="shared" ca="1" si="80"/>
        <v/>
      </c>
      <c r="Z165" s="315" t="str">
        <f t="shared" ca="1" si="81"/>
        <v/>
      </c>
      <c r="AA165" s="316" t="str">
        <f t="shared" ca="1" si="82"/>
        <v/>
      </c>
      <c r="AC165" s="310" t="e">
        <f t="shared" ca="1" si="83"/>
        <v>#N/A</v>
      </c>
      <c r="AD165" s="323" t="e">
        <f t="shared" ca="1" si="84"/>
        <v>#N/A</v>
      </c>
      <c r="AE165" s="324">
        <f t="shared" ca="1" si="63"/>
        <v>100.59997849805231</v>
      </c>
      <c r="AG165" s="306">
        <f t="shared" ca="1" si="85"/>
        <v>61.497328051195353</v>
      </c>
      <c r="AH165" s="304">
        <f t="shared" ca="1" si="86"/>
        <v>71.090130191538634</v>
      </c>
    </row>
    <row r="166" spans="1:34" x14ac:dyDescent="0.2">
      <c r="A166" s="347">
        <f t="shared" ca="1" si="64"/>
        <v>0.01</v>
      </c>
      <c r="B166" s="304">
        <f t="shared" ca="1" si="65"/>
        <v>1.6200000000000012</v>
      </c>
      <c r="D166" s="306">
        <f t="shared" ca="1" si="66"/>
        <v>14.841985545653642</v>
      </c>
      <c r="E166" s="307">
        <f t="shared" ca="1" si="67"/>
        <v>59.487988273486479</v>
      </c>
      <c r="F166" s="304">
        <f t="shared" ca="1" si="68"/>
        <v>61.311542826484612</v>
      </c>
      <c r="G166" s="306">
        <f t="shared" ca="1" si="69"/>
        <v>25.707266030538559</v>
      </c>
      <c r="H166" s="307">
        <f t="shared" ca="1" si="70"/>
        <v>119.93043758669405</v>
      </c>
      <c r="I166" s="304">
        <f t="shared" ca="1" si="71"/>
        <v>122.65469166118677</v>
      </c>
      <c r="J166" s="306">
        <f t="shared" ca="1" si="72"/>
        <v>20.554837392397225</v>
      </c>
      <c r="K166" s="307">
        <f t="shared" ca="1" si="73"/>
        <v>101.79630847450558</v>
      </c>
      <c r="L166" s="304">
        <f t="shared" ca="1" si="58"/>
        <v>103.85080528943715</v>
      </c>
      <c r="M166" s="306">
        <f t="shared" ca="1" si="74"/>
        <v>1.3596401220646968</v>
      </c>
      <c r="N166" s="304">
        <f t="shared" ca="1" si="75"/>
        <v>77.901640650959195</v>
      </c>
      <c r="P166" s="310">
        <f t="shared" ca="1" si="76"/>
        <v>5</v>
      </c>
      <c r="Q166" s="304">
        <f t="shared" ca="1" si="77"/>
        <v>642.20999999999981</v>
      </c>
      <c r="R166" s="306">
        <f t="shared" ca="1" si="78"/>
        <v>0.32229527733109198</v>
      </c>
      <c r="S166" s="307">
        <f t="shared" ca="1" si="79"/>
        <v>8.2314594895961353</v>
      </c>
      <c r="T166" s="304">
        <f t="shared" ca="1" si="59"/>
        <v>80.750617592938084</v>
      </c>
      <c r="U166" s="311">
        <f t="shared" ca="1" si="60"/>
        <v>0</v>
      </c>
      <c r="V166" s="306">
        <f t="shared" ca="1" si="61"/>
        <v>1.2125931010375726</v>
      </c>
      <c r="W166" s="304">
        <f t="shared" ca="1" si="62"/>
        <v>59.435364181106458</v>
      </c>
      <c r="Y166" s="314" t="str">
        <f t="shared" ca="1" si="80"/>
        <v/>
      </c>
      <c r="Z166" s="315" t="str">
        <f t="shared" ca="1" si="81"/>
        <v/>
      </c>
      <c r="AA166" s="316" t="str">
        <f t="shared" ca="1" si="82"/>
        <v/>
      </c>
      <c r="AC166" s="310" t="e">
        <f t="shared" ca="1" si="83"/>
        <v>#N/A</v>
      </c>
      <c r="AD166" s="323" t="e">
        <f t="shared" ca="1" si="84"/>
        <v>#N/A</v>
      </c>
      <c r="AE166" s="324">
        <f t="shared" ca="1" si="63"/>
        <v>101.79630847450558</v>
      </c>
      <c r="AG166" s="306">
        <f t="shared" ca="1" si="85"/>
        <v>61.277111625586393</v>
      </c>
      <c r="AH166" s="304">
        <f t="shared" ca="1" si="86"/>
        <v>70.869568318776018</v>
      </c>
    </row>
    <row r="167" spans="1:34" x14ac:dyDescent="0.2">
      <c r="A167" s="347">
        <f t="shared" ca="1" si="64"/>
        <v>0.01</v>
      </c>
      <c r="B167" s="304">
        <f t="shared" ca="1" si="65"/>
        <v>1.6300000000000012</v>
      </c>
      <c r="D167" s="306">
        <f t="shared" ca="1" si="66"/>
        <v>14.807298438292207</v>
      </c>
      <c r="E167" s="307">
        <f t="shared" ca="1" si="67"/>
        <v>59.269527129472536</v>
      </c>
      <c r="F167" s="304">
        <f t="shared" ca="1" si="68"/>
        <v>61.091185396846996</v>
      </c>
      <c r="G167" s="306">
        <f t="shared" ca="1" si="69"/>
        <v>25.85533901492148</v>
      </c>
      <c r="H167" s="307">
        <f t="shared" ca="1" si="70"/>
        <v>120.52313285798878</v>
      </c>
      <c r="I167" s="304">
        <f t="shared" ca="1" si="71"/>
        <v>123.26525913444119</v>
      </c>
      <c r="J167" s="306">
        <f t="shared" ca="1" si="72"/>
        <v>20.812650417624525</v>
      </c>
      <c r="K167" s="307">
        <f t="shared" ca="1" si="73"/>
        <v>102.99857632672899</v>
      </c>
      <c r="L167" s="304">
        <f t="shared" ca="1" si="58"/>
        <v>105.08031758012184</v>
      </c>
      <c r="M167" s="306">
        <f t="shared" ca="1" si="74"/>
        <v>1.3594733205296128</v>
      </c>
      <c r="N167" s="304">
        <f t="shared" ca="1" si="75"/>
        <v>77.892083626982583</v>
      </c>
      <c r="P167" s="310">
        <f t="shared" ca="1" si="76"/>
        <v>5</v>
      </c>
      <c r="Q167" s="304">
        <f t="shared" ca="1" si="77"/>
        <v>640.74999999999977</v>
      </c>
      <c r="R167" s="306">
        <f t="shared" ca="1" si="78"/>
        <v>0.32156257135500405</v>
      </c>
      <c r="S167" s="307">
        <f t="shared" ca="1" si="79"/>
        <v>8.2282438638825859</v>
      </c>
      <c r="T167" s="304">
        <f t="shared" ca="1" si="59"/>
        <v>80.719072304688169</v>
      </c>
      <c r="U167" s="311">
        <f t="shared" ca="1" si="60"/>
        <v>0</v>
      </c>
      <c r="V167" s="306">
        <f t="shared" ca="1" si="61"/>
        <v>1.2124473198094115</v>
      </c>
      <c r="W167" s="304">
        <f t="shared" ca="1" si="62"/>
        <v>60.021351322367238</v>
      </c>
      <c r="Y167" s="314" t="str">
        <f t="shared" ca="1" si="80"/>
        <v/>
      </c>
      <c r="Z167" s="315" t="str">
        <f t="shared" ca="1" si="81"/>
        <v/>
      </c>
      <c r="AA167" s="316" t="str">
        <f t="shared" ca="1" si="82"/>
        <v/>
      </c>
      <c r="AC167" s="310" t="e">
        <f t="shared" ca="1" si="83"/>
        <v>#N/A</v>
      </c>
      <c r="AD167" s="323" t="e">
        <f t="shared" ca="1" si="84"/>
        <v>#N/A</v>
      </c>
      <c r="AE167" s="324">
        <f t="shared" ca="1" si="63"/>
        <v>102.99857632672899</v>
      </c>
      <c r="AG167" s="306">
        <f t="shared" ca="1" si="85"/>
        <v>61.056575846504174</v>
      </c>
      <c r="AH167" s="304">
        <f t="shared" ca="1" si="86"/>
        <v>70.648688278496607</v>
      </c>
    </row>
    <row r="168" spans="1:34" x14ac:dyDescent="0.2">
      <c r="A168" s="347">
        <f t="shared" ca="1" si="64"/>
        <v>0.01</v>
      </c>
      <c r="B168" s="304">
        <f t="shared" ca="1" si="65"/>
        <v>1.6400000000000012</v>
      </c>
      <c r="D168" s="306">
        <f t="shared" ca="1" si="66"/>
        <v>14.772424641192675</v>
      </c>
      <c r="E168" s="307">
        <f t="shared" ca="1" si="67"/>
        <v>59.050783323614056</v>
      </c>
      <c r="F168" s="304">
        <f t="shared" ca="1" si="68"/>
        <v>60.870514544499564</v>
      </c>
      <c r="G168" s="306">
        <f t="shared" ca="1" si="69"/>
        <v>26.003063261333406</v>
      </c>
      <c r="H168" s="307">
        <f t="shared" ca="1" si="70"/>
        <v>121.11364069122493</v>
      </c>
      <c r="I168" s="304">
        <f t="shared" ca="1" si="71"/>
        <v>123.87361809705908</v>
      </c>
      <c r="J168" s="306">
        <f t="shared" ca="1" si="72"/>
        <v>21.071942429005798</v>
      </c>
      <c r="K168" s="307">
        <f t="shared" ca="1" si="73"/>
        <v>104.20676019447507</v>
      </c>
      <c r="L168" s="304">
        <f t="shared" ca="1" si="58"/>
        <v>106.31592368013443</v>
      </c>
      <c r="M168" s="306">
        <f t="shared" ca="1" si="74"/>
        <v>1.3593072090180074</v>
      </c>
      <c r="N168" s="304">
        <f t="shared" ca="1" si="75"/>
        <v>77.88256613843906</v>
      </c>
      <c r="P168" s="310">
        <f t="shared" ca="1" si="76"/>
        <v>5</v>
      </c>
      <c r="Q168" s="304">
        <f t="shared" ca="1" si="77"/>
        <v>639.28999999999985</v>
      </c>
      <c r="R168" s="306">
        <f t="shared" ca="1" si="78"/>
        <v>0.32082986537891622</v>
      </c>
      <c r="S168" s="307">
        <f t="shared" ca="1" si="79"/>
        <v>8.2250355652287972</v>
      </c>
      <c r="T168" s="304">
        <f t="shared" ca="1" si="59"/>
        <v>80.687598894894506</v>
      </c>
      <c r="U168" s="311">
        <f t="shared" ca="1" si="60"/>
        <v>0</v>
      </c>
      <c r="V168" s="306">
        <f t="shared" ca="1" si="61"/>
        <v>1.2123008387984766</v>
      </c>
      <c r="W168" s="304">
        <f t="shared" ca="1" si="62"/>
        <v>60.607944590998066</v>
      </c>
      <c r="Y168" s="314" t="str">
        <f t="shared" ca="1" si="80"/>
        <v/>
      </c>
      <c r="Z168" s="315" t="str">
        <f t="shared" ca="1" si="81"/>
        <v/>
      </c>
      <c r="AA168" s="316" t="str">
        <f t="shared" ca="1" si="82"/>
        <v/>
      </c>
      <c r="AC168" s="310" t="e">
        <f t="shared" ca="1" si="83"/>
        <v>#N/A</v>
      </c>
      <c r="AD168" s="323" t="e">
        <f t="shared" ca="1" si="84"/>
        <v>#N/A</v>
      </c>
      <c r="AE168" s="324">
        <f t="shared" ca="1" si="63"/>
        <v>104.20676019447507</v>
      </c>
      <c r="AG168" s="306">
        <f t="shared" ca="1" si="85"/>
        <v>60.835725359339364</v>
      </c>
      <c r="AH168" s="304">
        <f t="shared" ca="1" si="86"/>
        <v>70.427494700020674</v>
      </c>
    </row>
    <row r="169" spans="1:34" x14ac:dyDescent="0.2">
      <c r="A169" s="347">
        <f t="shared" ca="1" si="64"/>
        <v>0.01</v>
      </c>
      <c r="B169" s="304">
        <f t="shared" ca="1" si="65"/>
        <v>1.6500000000000012</v>
      </c>
      <c r="D169" s="306">
        <f t="shared" ca="1" si="66"/>
        <v>14.737366073025999</v>
      </c>
      <c r="E169" s="307">
        <f t="shared" ca="1" si="67"/>
        <v>58.831761217327923</v>
      </c>
      <c r="F169" s="304">
        <f t="shared" ca="1" si="68"/>
        <v>60.649534925694752</v>
      </c>
      <c r="G169" s="306">
        <f t="shared" ca="1" si="69"/>
        <v>26.150436922063665</v>
      </c>
      <c r="H169" s="307">
        <f t="shared" ca="1" si="70"/>
        <v>121.70195830339821</v>
      </c>
      <c r="I169" s="304">
        <f t="shared" ca="1" si="71"/>
        <v>124.47976544843306</v>
      </c>
      <c r="J169" s="306">
        <f t="shared" ca="1" si="72"/>
        <v>21.332709929922782</v>
      </c>
      <c r="K169" s="307">
        <f t="shared" ca="1" si="73"/>
        <v>105.42083818944818</v>
      </c>
      <c r="L169" s="304">
        <f t="shared" ca="1" si="58"/>
        <v>107.55760148645953</v>
      </c>
      <c r="M169" s="306">
        <f t="shared" ca="1" si="74"/>
        <v>1.3591417783825597</v>
      </c>
      <c r="N169" s="304">
        <f t="shared" ca="1" si="75"/>
        <v>77.873087661225739</v>
      </c>
      <c r="P169" s="310">
        <f t="shared" ca="1" si="76"/>
        <v>5</v>
      </c>
      <c r="Q169" s="304">
        <f t="shared" ca="1" si="77"/>
        <v>637.82999999999981</v>
      </c>
      <c r="R169" s="306">
        <f t="shared" ca="1" si="78"/>
        <v>0.32009715940282835</v>
      </c>
      <c r="S169" s="307">
        <f t="shared" ca="1" si="79"/>
        <v>8.2218345936347692</v>
      </c>
      <c r="T169" s="304">
        <f t="shared" ca="1" si="59"/>
        <v>80.656197363557084</v>
      </c>
      <c r="U169" s="311">
        <f t="shared" ca="1" si="60"/>
        <v>0</v>
      </c>
      <c r="V169" s="306">
        <f t="shared" ca="1" si="61"/>
        <v>1.2121536609135009</v>
      </c>
      <c r="W169" s="304">
        <f t="shared" ca="1" si="62"/>
        <v>61.195107935992397</v>
      </c>
      <c r="Y169" s="314" t="str">
        <f t="shared" ca="1" si="80"/>
        <v/>
      </c>
      <c r="Z169" s="315" t="str">
        <f t="shared" ca="1" si="81"/>
        <v/>
      </c>
      <c r="AA169" s="316" t="str">
        <f t="shared" ca="1" si="82"/>
        <v/>
      </c>
      <c r="AC169" s="310" t="e">
        <f t="shared" ca="1" si="83"/>
        <v>#N/A</v>
      </c>
      <c r="AD169" s="323" t="e">
        <f t="shared" ca="1" si="84"/>
        <v>#N/A</v>
      </c>
      <c r="AE169" s="324">
        <f t="shared" ca="1" si="63"/>
        <v>105.42083818944818</v>
      </c>
      <c r="AG169" s="306">
        <f t="shared" ca="1" si="85"/>
        <v>60.614564803673737</v>
      </c>
      <c r="AH169" s="304">
        <f t="shared" ca="1" si="86"/>
        <v>70.20599220712603</v>
      </c>
    </row>
    <row r="170" spans="1:34" x14ac:dyDescent="0.2">
      <c r="A170" s="347">
        <f t="shared" ca="1" si="64"/>
        <v>0.01</v>
      </c>
      <c r="B170" s="304">
        <f t="shared" ca="1" si="65"/>
        <v>1.6600000000000013</v>
      </c>
      <c r="D170" s="306">
        <f t="shared" ca="1" si="66"/>
        <v>14.702124636214899</v>
      </c>
      <c r="E170" s="307">
        <f t="shared" ca="1" si="67"/>
        <v>58.61246516876885</v>
      </c>
      <c r="F170" s="304">
        <f t="shared" ca="1" si="68"/>
        <v>60.428251190804275</v>
      </c>
      <c r="G170" s="306">
        <f t="shared" ca="1" si="69"/>
        <v>26.297458168425816</v>
      </c>
      <c r="H170" s="307">
        <f t="shared" ca="1" si="70"/>
        <v>122.2880829550859</v>
      </c>
      <c r="I170" s="304">
        <f t="shared" ca="1" si="71"/>
        <v>125.08369813428958</v>
      </c>
      <c r="J170" s="306">
        <f t="shared" ca="1" si="72"/>
        <v>21.594949405375228</v>
      </c>
      <c r="K170" s="307">
        <f t="shared" ca="1" si="73"/>
        <v>106.6407883957406</v>
      </c>
      <c r="L170" s="304">
        <f t="shared" ca="1" si="58"/>
        <v>108.80532886529886</v>
      </c>
      <c r="M170" s="306">
        <f t="shared" ca="1" si="74"/>
        <v>1.3589770196339566</v>
      </c>
      <c r="N170" s="304">
        <f t="shared" ca="1" si="75"/>
        <v>77.863647680292928</v>
      </c>
      <c r="P170" s="310">
        <f t="shared" ca="1" si="76"/>
        <v>5</v>
      </c>
      <c r="Q170" s="304">
        <f t="shared" ca="1" si="77"/>
        <v>636.36999999999978</v>
      </c>
      <c r="R170" s="306">
        <f t="shared" ca="1" si="78"/>
        <v>0.31936445342674041</v>
      </c>
      <c r="S170" s="307">
        <f t="shared" ca="1" si="79"/>
        <v>8.2186409491005019</v>
      </c>
      <c r="T170" s="304">
        <f t="shared" ca="1" si="59"/>
        <v>80.624867710675929</v>
      </c>
      <c r="U170" s="311">
        <f t="shared" ca="1" si="60"/>
        <v>0</v>
      </c>
      <c r="V170" s="306">
        <f t="shared" ca="1" si="61"/>
        <v>1.2120057890664486</v>
      </c>
      <c r="W170" s="304">
        <f t="shared" ca="1" si="62"/>
        <v>61.782805428709672</v>
      </c>
      <c r="Y170" s="314" t="str">
        <f t="shared" ca="1" si="80"/>
        <v/>
      </c>
      <c r="Z170" s="315" t="str">
        <f t="shared" ca="1" si="81"/>
        <v/>
      </c>
      <c r="AA170" s="316" t="str">
        <f t="shared" ca="1" si="82"/>
        <v/>
      </c>
      <c r="AC170" s="310" t="e">
        <f t="shared" ca="1" si="83"/>
        <v>#N/A</v>
      </c>
      <c r="AD170" s="323" t="e">
        <f t="shared" ca="1" si="84"/>
        <v>#N/A</v>
      </c>
      <c r="AE170" s="324">
        <f t="shared" ca="1" si="63"/>
        <v>106.6407883957406</v>
      </c>
      <c r="AG170" s="306">
        <f t="shared" ca="1" si="85"/>
        <v>60.393098813018177</v>
      </c>
      <c r="AH170" s="304">
        <f t="shared" ca="1" si="86"/>
        <v>69.984185417779813</v>
      </c>
    </row>
    <row r="171" spans="1:34" x14ac:dyDescent="0.2">
      <c r="A171" s="347">
        <f t="shared" ca="1" si="64"/>
        <v>0.01</v>
      </c>
      <c r="B171" s="304">
        <f t="shared" ca="1" si="65"/>
        <v>1.6700000000000013</v>
      </c>
      <c r="D171" s="306">
        <f t="shared" ca="1" si="66"/>
        <v>14.666702217256995</v>
      </c>
      <c r="E171" s="307">
        <f t="shared" ca="1" si="67"/>
        <v>58.392899532507514</v>
      </c>
      <c r="F171" s="304">
        <f t="shared" ca="1" si="68"/>
        <v>60.206667984063095</v>
      </c>
      <c r="G171" s="306">
        <f t="shared" ca="1" si="69"/>
        <v>26.444125190598385</v>
      </c>
      <c r="H171" s="307">
        <f t="shared" ca="1" si="70"/>
        <v>122.87201195041098</v>
      </c>
      <c r="I171" s="304">
        <f t="shared" ca="1" si="71"/>
        <v>125.68541314662565</v>
      </c>
      <c r="J171" s="306">
        <f t="shared" ca="1" si="72"/>
        <v>21.858657322170348</v>
      </c>
      <c r="K171" s="307">
        <f t="shared" ca="1" si="73"/>
        <v>107.86658887026809</v>
      </c>
      <c r="L171" s="304">
        <f t="shared" ca="1" si="58"/>
        <v>110.05908365253418</v>
      </c>
      <c r="M171" s="306">
        <f t="shared" ca="1" si="74"/>
        <v>1.3588129239371474</v>
      </c>
      <c r="N171" s="304">
        <f t="shared" ca="1" si="75"/>
        <v>77.85424568942949</v>
      </c>
      <c r="P171" s="310">
        <f t="shared" ca="1" si="76"/>
        <v>5</v>
      </c>
      <c r="Q171" s="304">
        <f t="shared" ca="1" si="77"/>
        <v>634.90999999999985</v>
      </c>
      <c r="R171" s="306">
        <f t="shared" ca="1" si="78"/>
        <v>0.31863174745065259</v>
      </c>
      <c r="S171" s="307">
        <f t="shared" ca="1" si="79"/>
        <v>8.2154546316259953</v>
      </c>
      <c r="T171" s="304">
        <f t="shared" ca="1" si="59"/>
        <v>80.593609936251013</v>
      </c>
      <c r="U171" s="311">
        <f t="shared" ca="1" si="60"/>
        <v>0</v>
      </c>
      <c r="V171" s="306">
        <f t="shared" ca="1" si="61"/>
        <v>1.2118572261724461</v>
      </c>
      <c r="W171" s="304">
        <f t="shared" ca="1" si="62"/>
        <v>62.371001264614513</v>
      </c>
      <c r="Y171" s="314" t="str">
        <f t="shared" ca="1" si="80"/>
        <v/>
      </c>
      <c r="Z171" s="315" t="str">
        <f t="shared" ca="1" si="81"/>
        <v/>
      </c>
      <c r="AA171" s="316" t="str">
        <f t="shared" ca="1" si="82"/>
        <v/>
      </c>
      <c r="AC171" s="310" t="e">
        <f t="shared" ca="1" si="83"/>
        <v>#N/A</v>
      </c>
      <c r="AD171" s="323" t="e">
        <f t="shared" ca="1" si="84"/>
        <v>#N/A</v>
      </c>
      <c r="AE171" s="324">
        <f t="shared" ca="1" si="63"/>
        <v>107.86658887026809</v>
      </c>
      <c r="AG171" s="306">
        <f t="shared" ca="1" si="85"/>
        <v>60.171332014552107</v>
      </c>
      <c r="AH171" s="304">
        <f t="shared" ca="1" si="86"/>
        <v>69.762078943871828</v>
      </c>
    </row>
    <row r="172" spans="1:34" x14ac:dyDescent="0.2">
      <c r="A172" s="347">
        <f t="shared" ca="1" si="64"/>
        <v>0.01</v>
      </c>
      <c r="B172" s="304">
        <f t="shared" ca="1" si="65"/>
        <v>1.6800000000000013</v>
      </c>
      <c r="D172" s="306">
        <f t="shared" ca="1" si="66"/>
        <v>14.631100687036804</v>
      </c>
      <c r="E172" s="307">
        <f t="shared" ca="1" si="67"/>
        <v>58.173068659212191</v>
      </c>
      <c r="F172" s="304">
        <f t="shared" ca="1" si="68"/>
        <v>59.984789943315</v>
      </c>
      <c r="G172" s="306">
        <f t="shared" ca="1" si="69"/>
        <v>26.590436197468751</v>
      </c>
      <c r="H172" s="307">
        <f t="shared" ca="1" si="70"/>
        <v>123.4537426370031</v>
      </c>
      <c r="I172" s="304">
        <f t="shared" ca="1" si="71"/>
        <v>126.28490752364296</v>
      </c>
      <c r="J172" s="306">
        <f t="shared" ca="1" si="72"/>
        <v>22.123830129110683</v>
      </c>
      <c r="K172" s="307">
        <f t="shared" ca="1" si="73"/>
        <v>109.09821764320516</v>
      </c>
      <c r="L172" s="304">
        <f t="shared" ca="1" si="58"/>
        <v>111.31884365418959</v>
      </c>
      <c r="M172" s="306">
        <f t="shared" ca="1" si="74"/>
        <v>1.3586494826077091</v>
      </c>
      <c r="N172" s="304">
        <f t="shared" ca="1" si="75"/>
        <v>77.844881191054682</v>
      </c>
      <c r="P172" s="310">
        <f t="shared" ca="1" si="76"/>
        <v>5</v>
      </c>
      <c r="Q172" s="304">
        <f t="shared" ca="1" si="77"/>
        <v>633.44999999999982</v>
      </c>
      <c r="R172" s="306">
        <f t="shared" ca="1" si="78"/>
        <v>0.31789904147456471</v>
      </c>
      <c r="S172" s="307">
        <f t="shared" ca="1" si="79"/>
        <v>8.2122756412112494</v>
      </c>
      <c r="T172" s="304">
        <f t="shared" ca="1" si="59"/>
        <v>80.562424040282366</v>
      </c>
      <c r="U172" s="311">
        <f t="shared" ca="1" si="60"/>
        <v>0</v>
      </c>
      <c r="V172" s="306">
        <f t="shared" ca="1" si="61"/>
        <v>1.2117079751497093</v>
      </c>
      <c r="W172" s="304">
        <f t="shared" ca="1" si="62"/>
        <v>62.959659764996232</v>
      </c>
      <c r="Y172" s="314" t="str">
        <f t="shared" ca="1" si="80"/>
        <v/>
      </c>
      <c r="Z172" s="315" t="str">
        <f t="shared" ca="1" si="81"/>
        <v/>
      </c>
      <c r="AA172" s="316" t="str">
        <f t="shared" ca="1" si="82"/>
        <v/>
      </c>
      <c r="AC172" s="310" t="e">
        <f t="shared" ca="1" si="83"/>
        <v>#N/A</v>
      </c>
      <c r="AD172" s="323" t="e">
        <f t="shared" ca="1" si="84"/>
        <v>#N/A</v>
      </c>
      <c r="AE172" s="324">
        <f t="shared" ca="1" si="63"/>
        <v>109.09821764320516</v>
      </c>
      <c r="AG172" s="306">
        <f t="shared" ca="1" si="85"/>
        <v>59.949269028864549</v>
      </c>
      <c r="AH172" s="304">
        <f t="shared" ca="1" si="86"/>
        <v>69.539677390949748</v>
      </c>
    </row>
    <row r="173" spans="1:34" x14ac:dyDescent="0.2">
      <c r="A173" s="347">
        <f t="shared" ca="1" si="64"/>
        <v>0.01</v>
      </c>
      <c r="B173" s="304">
        <f t="shared" ca="1" si="65"/>
        <v>1.6900000000000013</v>
      </c>
      <c r="D173" s="306">
        <f t="shared" ca="1" si="66"/>
        <v>14.595321901126917</v>
      </c>
      <c r="E173" s="307">
        <f t="shared" ca="1" si="67"/>
        <v>57.952976895334331</v>
      </c>
      <c r="F173" s="304">
        <f t="shared" ca="1" si="68"/>
        <v>59.762621699760381</v>
      </c>
      <c r="G173" s="306">
        <f t="shared" ca="1" si="69"/>
        <v>26.736389416480019</v>
      </c>
      <c r="H173" s="307">
        <f t="shared" ca="1" si="70"/>
        <v>124.03327240595645</v>
      </c>
      <c r="I173" s="304">
        <f t="shared" ca="1" si="71"/>
        <v>126.88217834967944</v>
      </c>
      <c r="J173" s="306">
        <f t="shared" ca="1" si="72"/>
        <v>22.390464257180426</v>
      </c>
      <c r="K173" s="307">
        <f t="shared" ca="1" si="73"/>
        <v>110.33565271841996</v>
      </c>
      <c r="L173" s="304">
        <f t="shared" ca="1" si="58"/>
        <v>112.5845866468934</v>
      </c>
      <c r="M173" s="306">
        <f t="shared" ca="1" si="74"/>
        <v>1.358486687108319</v>
      </c>
      <c r="N173" s="304">
        <f t="shared" ca="1" si="75"/>
        <v>77.835553696015893</v>
      </c>
      <c r="P173" s="310">
        <f t="shared" ca="1" si="76"/>
        <v>5</v>
      </c>
      <c r="Q173" s="304">
        <f t="shared" ca="1" si="77"/>
        <v>631.98999999999978</v>
      </c>
      <c r="R173" s="306">
        <f t="shared" ca="1" si="78"/>
        <v>0.31716633549847684</v>
      </c>
      <c r="S173" s="307">
        <f t="shared" ca="1" si="79"/>
        <v>8.2091039778562642</v>
      </c>
      <c r="T173" s="304">
        <f t="shared" ca="1" si="59"/>
        <v>80.531310022769958</v>
      </c>
      <c r="U173" s="311">
        <f t="shared" ca="1" si="60"/>
        <v>0</v>
      </c>
      <c r="V173" s="306">
        <f t="shared" ca="1" si="61"/>
        <v>1.2115580389194756</v>
      </c>
      <c r="W173" s="304">
        <f t="shared" ca="1" si="62"/>
        <v>63.548745378668634</v>
      </c>
      <c r="Y173" s="314" t="str">
        <f t="shared" ca="1" si="80"/>
        <v/>
      </c>
      <c r="Z173" s="315" t="str">
        <f t="shared" ca="1" si="81"/>
        <v/>
      </c>
      <c r="AA173" s="316" t="str">
        <f t="shared" ca="1" si="82"/>
        <v/>
      </c>
      <c r="AC173" s="310" t="e">
        <f t="shared" ca="1" si="83"/>
        <v>#N/A</v>
      </c>
      <c r="AD173" s="323" t="e">
        <f t="shared" ca="1" si="84"/>
        <v>#N/A</v>
      </c>
      <c r="AE173" s="324">
        <f t="shared" ca="1" si="63"/>
        <v>110.33565271841996</v>
      </c>
      <c r="AG173" s="306">
        <f t="shared" ca="1" si="85"/>
        <v>59.726914469697057</v>
      </c>
      <c r="AH173" s="304">
        <f t="shared" ca="1" si="86"/>
        <v>69.316985357956312</v>
      </c>
    </row>
    <row r="174" spans="1:34" x14ac:dyDescent="0.2">
      <c r="A174" s="347">
        <f t="shared" ca="1" si="64"/>
        <v>0.01</v>
      </c>
      <c r="B174" s="304">
        <f t="shared" ca="1" si="65"/>
        <v>1.7000000000000013</v>
      </c>
      <c r="D174" s="306">
        <f t="shared" ca="1" si="66"/>
        <v>14.55936770007871</v>
      </c>
      <c r="E174" s="307">
        <f t="shared" ca="1" si="67"/>
        <v>57.73262858279746</v>
      </c>
      <c r="F174" s="304">
        <f t="shared" ca="1" si="68"/>
        <v>59.540167877705365</v>
      </c>
      <c r="G174" s="306">
        <f t="shared" ca="1" si="69"/>
        <v>26.881983093480805</v>
      </c>
      <c r="H174" s="307">
        <f t="shared" ca="1" si="70"/>
        <v>124.61059869178443</v>
      </c>
      <c r="I174" s="304">
        <f t="shared" ca="1" si="71"/>
        <v>127.47722275513824</v>
      </c>
      <c r="J174" s="306">
        <f t="shared" ca="1" si="72"/>
        <v>22.658556119730228</v>
      </c>
      <c r="K174" s="307">
        <f t="shared" ca="1" si="73"/>
        <v>111.57887207390867</v>
      </c>
      <c r="L174" s="304">
        <f t="shared" ca="1" si="58"/>
        <v>113.85629037833895</v>
      </c>
      <c r="M174" s="306">
        <f t="shared" ca="1" si="74"/>
        <v>1.3583245290453272</v>
      </c>
      <c r="N174" s="304">
        <f t="shared" ca="1" si="75"/>
        <v>77.826262723392446</v>
      </c>
      <c r="P174" s="310">
        <f t="shared" ca="1" si="76"/>
        <v>5</v>
      </c>
      <c r="Q174" s="304">
        <f t="shared" ca="1" si="77"/>
        <v>630.52999999999975</v>
      </c>
      <c r="R174" s="306">
        <f t="shared" ca="1" si="78"/>
        <v>0.3164336295223889</v>
      </c>
      <c r="S174" s="307">
        <f t="shared" ca="1" si="79"/>
        <v>8.2059396415610397</v>
      </c>
      <c r="T174" s="304">
        <f t="shared" ca="1" si="59"/>
        <v>80.500267883713803</v>
      </c>
      <c r="U174" s="311">
        <f t="shared" ca="1" si="60"/>
        <v>0</v>
      </c>
      <c r="V174" s="306">
        <f t="shared" ca="1" si="61"/>
        <v>1.2114074204059306</v>
      </c>
      <c r="W174" s="304">
        <f t="shared" ca="1" si="62"/>
        <v>64.138222683649886</v>
      </c>
      <c r="Y174" s="314" t="str">
        <f t="shared" ca="1" si="80"/>
        <v/>
      </c>
      <c r="Z174" s="315" t="str">
        <f t="shared" ca="1" si="81"/>
        <v/>
      </c>
      <c r="AA174" s="316" t="str">
        <f t="shared" ca="1" si="82"/>
        <v/>
      </c>
      <c r="AC174" s="310" t="e">
        <f t="shared" ca="1" si="83"/>
        <v>#N/A</v>
      </c>
      <c r="AD174" s="323" t="e">
        <f t="shared" ca="1" si="84"/>
        <v>#N/A</v>
      </c>
      <c r="AE174" s="324">
        <f t="shared" ca="1" si="63"/>
        <v>111.57887207390867</v>
      </c>
      <c r="AG174" s="306">
        <f t="shared" ca="1" si="85"/>
        <v>59.5042729436882</v>
      </c>
      <c r="AH174" s="304">
        <f t="shared" ca="1" si="86"/>
        <v>69.094007436968255</v>
      </c>
    </row>
    <row r="175" spans="1:34" x14ac:dyDescent="0.2">
      <c r="A175" s="347">
        <f t="shared" ca="1" si="64"/>
        <v>0.01</v>
      </c>
      <c r="B175" s="304">
        <f t="shared" ca="1" si="65"/>
        <v>1.7100000000000013</v>
      </c>
      <c r="D175" s="306">
        <f t="shared" ca="1" si="66"/>
        <v>14.52323990970325</v>
      </c>
      <c r="E175" s="307">
        <f t="shared" ca="1" si="67"/>
        <v>57.512028058689751</v>
      </c>
      <c r="F175" s="304">
        <f t="shared" ca="1" si="68"/>
        <v>59.317433094313124</v>
      </c>
      <c r="G175" s="306">
        <f t="shared" ca="1" si="69"/>
        <v>27.027215492577838</v>
      </c>
      <c r="H175" s="307">
        <f t="shared" ca="1" si="70"/>
        <v>125.18571897237133</v>
      </c>
      <c r="I175" s="304">
        <f t="shared" ca="1" si="71"/>
        <v>128.07003791641418</v>
      </c>
      <c r="J175" s="306">
        <f t="shared" ca="1" si="72"/>
        <v>22.928102112660522</v>
      </c>
      <c r="K175" s="307">
        <f t="shared" ca="1" si="73"/>
        <v>112.82785366222944</v>
      </c>
      <c r="L175" s="304">
        <f t="shared" ca="1" si="58"/>
        <v>115.13393256774499</v>
      </c>
      <c r="M175" s="306">
        <f t="shared" ca="1" si="74"/>
        <v>1.3581630001654323</v>
      </c>
      <c r="N175" s="304">
        <f t="shared" ca="1" si="75"/>
        <v>77.817007800305007</v>
      </c>
      <c r="P175" s="310">
        <f t="shared" ca="1" si="76"/>
        <v>5</v>
      </c>
      <c r="Q175" s="304">
        <f t="shared" ca="1" si="77"/>
        <v>629.06999999999982</v>
      </c>
      <c r="R175" s="306">
        <f t="shared" ca="1" si="78"/>
        <v>0.31570092354630108</v>
      </c>
      <c r="S175" s="307">
        <f t="shared" ca="1" si="79"/>
        <v>8.2027826323255759</v>
      </c>
      <c r="T175" s="304">
        <f t="shared" ca="1" si="59"/>
        <v>80.469297623113903</v>
      </c>
      <c r="U175" s="311">
        <f t="shared" ca="1" si="60"/>
        <v>0</v>
      </c>
      <c r="V175" s="306">
        <f t="shared" ca="1" si="61"/>
        <v>1.2112561225361389</v>
      </c>
      <c r="W175" s="304">
        <f t="shared" ca="1" si="62"/>
        <v>64.728056388822253</v>
      </c>
      <c r="Y175" s="314" t="str">
        <f t="shared" ca="1" si="80"/>
        <v/>
      </c>
      <c r="Z175" s="315" t="str">
        <f t="shared" ca="1" si="81"/>
        <v/>
      </c>
      <c r="AA175" s="316" t="str">
        <f t="shared" ca="1" si="82"/>
        <v/>
      </c>
      <c r="AC175" s="310" t="e">
        <f t="shared" ca="1" si="83"/>
        <v>#N/A</v>
      </c>
      <c r="AD175" s="323" t="e">
        <f t="shared" ca="1" si="84"/>
        <v>#N/A</v>
      </c>
      <c r="AE175" s="324">
        <f t="shared" ca="1" si="63"/>
        <v>112.82785366222944</v>
      </c>
      <c r="AG175" s="306">
        <f t="shared" ca="1" si="85"/>
        <v>59.28134905011995</v>
      </c>
      <c r="AH175" s="304">
        <f t="shared" ca="1" si="86"/>
        <v>68.870748212937315</v>
      </c>
    </row>
    <row r="176" spans="1:34" x14ac:dyDescent="0.2">
      <c r="A176" s="347">
        <f t="shared" ca="1" si="64"/>
        <v>0.01</v>
      </c>
      <c r="B176" s="304">
        <f t="shared" ca="1" si="65"/>
        <v>1.7200000000000013</v>
      </c>
      <c r="D176" s="306">
        <f t="shared" ca="1" si="66"/>
        <v>14.486940341342265</v>
      </c>
      <c r="E176" s="307">
        <f t="shared" ca="1" si="67"/>
        <v>57.291179654959961</v>
      </c>
      <c r="F176" s="304">
        <f t="shared" ca="1" si="68"/>
        <v>59.094421959356772</v>
      </c>
      <c r="G176" s="306">
        <f t="shared" ca="1" si="69"/>
        <v>27.172084895991262</v>
      </c>
      <c r="H176" s="307">
        <f t="shared" ca="1" si="70"/>
        <v>125.75863076892094</v>
      </c>
      <c r="I176" s="304">
        <f t="shared" ca="1" si="71"/>
        <v>128.66062105581778</v>
      </c>
      <c r="J176" s="306">
        <f t="shared" ca="1" si="72"/>
        <v>23.199098614603368</v>
      </c>
      <c r="K176" s="307">
        <f t="shared" ca="1" si="73"/>
        <v>114.0825754109359</v>
      </c>
      <c r="L176" s="304">
        <f t="shared" ca="1" si="58"/>
        <v>116.41749090631514</v>
      </c>
      <c r="M176" s="306">
        <f t="shared" ca="1" si="74"/>
        <v>1.3580020923524485</v>
      </c>
      <c r="N176" s="304">
        <f t="shared" ca="1" si="75"/>
        <v>77.807788461730354</v>
      </c>
      <c r="P176" s="310">
        <f t="shared" ca="1" si="76"/>
        <v>5</v>
      </c>
      <c r="Q176" s="304">
        <f t="shared" ca="1" si="77"/>
        <v>627.60999999999979</v>
      </c>
      <c r="R176" s="306">
        <f t="shared" ca="1" si="78"/>
        <v>0.3149682175702132</v>
      </c>
      <c r="S176" s="307">
        <f t="shared" ca="1" si="79"/>
        <v>8.1996329501498746</v>
      </c>
      <c r="T176" s="304">
        <f t="shared" ca="1" si="59"/>
        <v>80.43839924097027</v>
      </c>
      <c r="U176" s="311">
        <f t="shared" ca="1" si="60"/>
        <v>0</v>
      </c>
      <c r="V176" s="306">
        <f t="shared" ca="1" si="61"/>
        <v>1.211104148239976</v>
      </c>
      <c r="W176" s="304">
        <f t="shared" ca="1" si="62"/>
        <v>65.318211335572528</v>
      </c>
      <c r="Y176" s="314" t="str">
        <f t="shared" ca="1" si="80"/>
        <v/>
      </c>
      <c r="Z176" s="315" t="str">
        <f t="shared" ca="1" si="81"/>
        <v/>
      </c>
      <c r="AA176" s="316" t="str">
        <f t="shared" ca="1" si="82"/>
        <v/>
      </c>
      <c r="AC176" s="310" t="e">
        <f t="shared" ca="1" si="83"/>
        <v>#N/A</v>
      </c>
      <c r="AD176" s="323" t="e">
        <f t="shared" ca="1" si="84"/>
        <v>#N/A</v>
      </c>
      <c r="AE176" s="324">
        <f t="shared" ca="1" si="63"/>
        <v>114.0825754109359</v>
      </c>
      <c r="AG176" s="306">
        <f t="shared" ca="1" si="85"/>
        <v>59.058147380665687</v>
      </c>
      <c r="AH176" s="304">
        <f t="shared" ca="1" si="86"/>
        <v>68.647212263432976</v>
      </c>
    </row>
    <row r="177" spans="1:34" x14ac:dyDescent="0.2">
      <c r="A177" s="347">
        <f t="shared" ca="1" si="64"/>
        <v>0.01</v>
      </c>
      <c r="B177" s="304">
        <f t="shared" ca="1" si="65"/>
        <v>1.7300000000000013</v>
      </c>
      <c r="D177" s="306">
        <f t="shared" ca="1" si="66"/>
        <v>14.450470792130151</v>
      </c>
      <c r="E177" s="307">
        <f t="shared" ca="1" si="67"/>
        <v>57.070087698116879</v>
      </c>
      <c r="F177" s="304">
        <f t="shared" ca="1" si="68"/>
        <v>58.871139074974238</v>
      </c>
      <c r="G177" s="306">
        <f t="shared" ca="1" si="69"/>
        <v>27.316589603912561</v>
      </c>
      <c r="H177" s="307">
        <f t="shared" ca="1" si="70"/>
        <v>126.3293316459021</v>
      </c>
      <c r="I177" s="304">
        <f t="shared" ca="1" si="71"/>
        <v>129.24896944149654</v>
      </c>
      <c r="J177" s="306">
        <f t="shared" ca="1" si="72"/>
        <v>23.471541987102889</v>
      </c>
      <c r="K177" s="307">
        <f t="shared" ca="1" si="73"/>
        <v>115.34301522301001</v>
      </c>
      <c r="L177" s="304">
        <f t="shared" ca="1" si="58"/>
        <v>117.70694305769671</v>
      </c>
      <c r="M177" s="306">
        <f t="shared" ca="1" si="74"/>
        <v>1.3578417976241681</v>
      </c>
      <c r="N177" s="304">
        <f t="shared" ca="1" si="75"/>
        <v>77.798604250321688</v>
      </c>
      <c r="P177" s="310">
        <f t="shared" ca="1" si="76"/>
        <v>5</v>
      </c>
      <c r="Q177" s="304">
        <f t="shared" ca="1" si="77"/>
        <v>626.14999999999975</v>
      </c>
      <c r="R177" s="306">
        <f t="shared" ca="1" si="78"/>
        <v>0.31423551159412527</v>
      </c>
      <c r="S177" s="307">
        <f t="shared" ca="1" si="79"/>
        <v>8.196490595033934</v>
      </c>
      <c r="T177" s="304">
        <f t="shared" ca="1" si="59"/>
        <v>80.407572737282891</v>
      </c>
      <c r="U177" s="311">
        <f t="shared" ca="1" si="60"/>
        <v>0</v>
      </c>
      <c r="V177" s="306">
        <f t="shared" ca="1" si="61"/>
        <v>1.210951500450054</v>
      </c>
      <c r="W177" s="304">
        <f t="shared" ca="1" si="62"/>
        <v>65.908652499411303</v>
      </c>
      <c r="Y177" s="314" t="str">
        <f t="shared" ca="1" si="80"/>
        <v/>
      </c>
      <c r="Z177" s="315" t="str">
        <f t="shared" ca="1" si="81"/>
        <v/>
      </c>
      <c r="AA177" s="316" t="str">
        <f t="shared" ca="1" si="82"/>
        <v/>
      </c>
      <c r="AC177" s="310" t="e">
        <f t="shared" ca="1" si="83"/>
        <v>#N/A</v>
      </c>
      <c r="AD177" s="323" t="e">
        <f t="shared" ca="1" si="84"/>
        <v>#N/A</v>
      </c>
      <c r="AE177" s="324">
        <f t="shared" ca="1" si="63"/>
        <v>115.34301522301001</v>
      </c>
      <c r="AG177" s="306">
        <f t="shared" ca="1" si="85"/>
        <v>58.834672519140099</v>
      </c>
      <c r="AH177" s="304">
        <f t="shared" ca="1" si="86"/>
        <v>68.423404158387299</v>
      </c>
    </row>
    <row r="178" spans="1:34" x14ac:dyDescent="0.2">
      <c r="A178" s="347">
        <f t="shared" ca="1" si="64"/>
        <v>0.01</v>
      </c>
      <c r="B178" s="304">
        <f t="shared" ca="1" si="65"/>
        <v>1.7400000000000013</v>
      </c>
      <c r="D178" s="306">
        <f t="shared" ca="1" si="66"/>
        <v>14.413833045246749</v>
      </c>
      <c r="E178" s="307">
        <f t="shared" ca="1" si="67"/>
        <v>56.848756508932325</v>
      </c>
      <c r="F178" s="304">
        <f t="shared" ca="1" si="68"/>
        <v>58.64758903542517</v>
      </c>
      <c r="G178" s="306">
        <f t="shared" ca="1" si="69"/>
        <v>27.460727934365028</v>
      </c>
      <c r="H178" s="307">
        <f t="shared" ca="1" si="70"/>
        <v>126.89781921099143</v>
      </c>
      <c r="I178" s="304">
        <f t="shared" ca="1" si="71"/>
        <v>129.83508038735403</v>
      </c>
      <c r="J178" s="306">
        <f t="shared" ca="1" si="72"/>
        <v>23.745428574794275</v>
      </c>
      <c r="K178" s="307">
        <f t="shared" ca="1" si="73"/>
        <v>116.60915097729448</v>
      </c>
      <c r="L178" s="304">
        <f t="shared" ca="1" si="58"/>
        <v>119.00226665843854</v>
      </c>
      <c r="M178" s="306">
        <f t="shared" ca="1" si="74"/>
        <v>1.3576821081293122</v>
      </c>
      <c r="N178" s="304">
        <f t="shared" ca="1" si="75"/>
        <v>77.789454716233863</v>
      </c>
      <c r="P178" s="310">
        <f t="shared" ca="1" si="76"/>
        <v>5</v>
      </c>
      <c r="Q178" s="304">
        <f t="shared" ca="1" si="77"/>
        <v>624.68999999999983</v>
      </c>
      <c r="R178" s="306">
        <f t="shared" ca="1" si="78"/>
        <v>0.31350280561803745</v>
      </c>
      <c r="S178" s="307">
        <f t="shared" ca="1" si="79"/>
        <v>8.193355566977754</v>
      </c>
      <c r="T178" s="304">
        <f t="shared" ca="1" si="59"/>
        <v>80.376818112051765</v>
      </c>
      <c r="U178" s="311">
        <f t="shared" ca="1" si="60"/>
        <v>0</v>
      </c>
      <c r="V178" s="306">
        <f t="shared" ca="1" si="61"/>
        <v>1.2107981821016542</v>
      </c>
      <c r="W178" s="304">
        <f t="shared" ca="1" si="62"/>
        <v>66.499344991573054</v>
      </c>
      <c r="Y178" s="314" t="str">
        <f t="shared" ca="1" si="80"/>
        <v/>
      </c>
      <c r="Z178" s="315" t="str">
        <f t="shared" ca="1" si="81"/>
        <v/>
      </c>
      <c r="AA178" s="316" t="str">
        <f t="shared" ca="1" si="82"/>
        <v/>
      </c>
      <c r="AC178" s="310" t="e">
        <f t="shared" ca="1" si="83"/>
        <v>#N/A</v>
      </c>
      <c r="AD178" s="323" t="e">
        <f t="shared" ca="1" si="84"/>
        <v>#N/A</v>
      </c>
      <c r="AE178" s="324">
        <f t="shared" ca="1" si="63"/>
        <v>116.60915097729448</v>
      </c>
      <c r="AG178" s="306">
        <f t="shared" ca="1" si="85"/>
        <v>58.610929041250955</v>
      </c>
      <c r="AH178" s="304">
        <f t="shared" ca="1" si="86"/>
        <v>68.199328459841709</v>
      </c>
    </row>
    <row r="179" spans="1:34" x14ac:dyDescent="0.2">
      <c r="A179" s="347">
        <f t="shared" ca="1" si="64"/>
        <v>0.01</v>
      </c>
      <c r="B179" s="304">
        <f t="shared" ca="1" si="65"/>
        <v>1.7500000000000013</v>
      </c>
      <c r="D179" s="306">
        <f t="shared" ca="1" si="66"/>
        <v>14.377028870161627</v>
      </c>
      <c r="E179" s="307">
        <f t="shared" ca="1" si="67"/>
        <v>56.627190402147292</v>
      </c>
      <c r="F179" s="304">
        <f t="shared" ca="1" si="68"/>
        <v>58.423776426849571</v>
      </c>
      <c r="G179" s="306">
        <f t="shared" ca="1" si="69"/>
        <v>27.604498223066646</v>
      </c>
      <c r="H179" s="307">
        <f t="shared" ca="1" si="70"/>
        <v>127.46409111501291</v>
      </c>
      <c r="I179" s="304">
        <f t="shared" ca="1" si="71"/>
        <v>130.41895125296631</v>
      </c>
      <c r="J179" s="306">
        <f t="shared" ca="1" si="72"/>
        <v>24.020754705581432</v>
      </c>
      <c r="K179" s="307">
        <f t="shared" ca="1" si="73"/>
        <v>117.8809605289245</v>
      </c>
      <c r="L179" s="304">
        <f t="shared" ca="1" si="58"/>
        <v>120.30343931844828</v>
      </c>
      <c r="M179" s="306">
        <f t="shared" ca="1" si="74"/>
        <v>1.3575230161445673</v>
      </c>
      <c r="N179" s="304">
        <f t="shared" ca="1" si="75"/>
        <v>77.780339416953623</v>
      </c>
      <c r="P179" s="310">
        <f t="shared" ca="1" si="76"/>
        <v>5</v>
      </c>
      <c r="Q179" s="304">
        <f t="shared" ca="1" si="77"/>
        <v>623.22999999999979</v>
      </c>
      <c r="R179" s="306">
        <f t="shared" ca="1" si="78"/>
        <v>0.31277009964194957</v>
      </c>
      <c r="S179" s="307">
        <f t="shared" ca="1" si="79"/>
        <v>8.1902278659813348</v>
      </c>
      <c r="T179" s="304">
        <f t="shared" ca="1" si="59"/>
        <v>80.346135365276893</v>
      </c>
      <c r="U179" s="311">
        <f t="shared" ca="1" si="60"/>
        <v>0</v>
      </c>
      <c r="V179" s="306">
        <f t="shared" ca="1" si="61"/>
        <v>1.2106441961326593</v>
      </c>
      <c r="W179" s="304">
        <f t="shared" ca="1" si="62"/>
        <v>67.090254060595683</v>
      </c>
      <c r="Y179" s="314" t="str">
        <f t="shared" ca="1" si="80"/>
        <v/>
      </c>
      <c r="Z179" s="315" t="str">
        <f t="shared" ca="1" si="81"/>
        <v/>
      </c>
      <c r="AA179" s="316" t="str">
        <f t="shared" ca="1" si="82"/>
        <v/>
      </c>
      <c r="AC179" s="310" t="e">
        <f t="shared" ca="1" si="83"/>
        <v>#N/A</v>
      </c>
      <c r="AD179" s="323" t="e">
        <f t="shared" ca="1" si="84"/>
        <v>#N/A</v>
      </c>
      <c r="AE179" s="324">
        <f t="shared" ca="1" si="63"/>
        <v>117.8809605289245</v>
      </c>
      <c r="AG179" s="306">
        <f t="shared" ca="1" si="85"/>
        <v>58.386921514352565</v>
      </c>
      <c r="AH179" s="304">
        <f t="shared" ca="1" si="86"/>
        <v>67.974989721695678</v>
      </c>
    </row>
    <row r="180" spans="1:34" x14ac:dyDescent="0.2">
      <c r="A180" s="347">
        <f t="shared" ca="1" si="64"/>
        <v>0.01</v>
      </c>
      <c r="B180" s="304">
        <f t="shared" ca="1" si="65"/>
        <v>1.7600000000000013</v>
      </c>
      <c r="D180" s="306">
        <f t="shared" ca="1" si="66"/>
        <v>14.340060022870004</v>
      </c>
      <c r="E180" s="307">
        <f t="shared" ca="1" si="67"/>
        <v>56.40539368618154</v>
      </c>
      <c r="F180" s="304">
        <f t="shared" ca="1" si="68"/>
        <v>58.199705827028396</v>
      </c>
      <c r="G180" s="306">
        <f t="shared" ca="1" si="69"/>
        <v>27.747898823295344</v>
      </c>
      <c r="H180" s="307">
        <f t="shared" ca="1" si="70"/>
        <v>128.02814505187473</v>
      </c>
      <c r="I180" s="304">
        <f t="shared" ca="1" si="71"/>
        <v>131.00057944349604</v>
      </c>
      <c r="J180" s="306">
        <f t="shared" ca="1" si="72"/>
        <v>24.297516690813243</v>
      </c>
      <c r="K180" s="307">
        <f t="shared" ca="1" si="73"/>
        <v>119.15842170975894</v>
      </c>
      <c r="L180" s="304">
        <f t="shared" ca="1" si="58"/>
        <v>121.61043862144852</v>
      </c>
      <c r="M180" s="306">
        <f t="shared" ca="1" si="74"/>
        <v>1.3573645140717046</v>
      </c>
      <c r="N180" s="304">
        <f t="shared" ca="1" si="75"/>
        <v>77.771257917134506</v>
      </c>
      <c r="P180" s="310">
        <f t="shared" ca="1" si="76"/>
        <v>5</v>
      </c>
      <c r="Q180" s="304">
        <f t="shared" ca="1" si="77"/>
        <v>621.76999999999975</v>
      </c>
      <c r="R180" s="306">
        <f t="shared" ca="1" si="78"/>
        <v>0.3120373936658617</v>
      </c>
      <c r="S180" s="307">
        <f t="shared" ca="1" si="79"/>
        <v>8.1871074920446762</v>
      </c>
      <c r="T180" s="304">
        <f t="shared" ca="1" si="59"/>
        <v>80.315524496958275</v>
      </c>
      <c r="U180" s="311">
        <f t="shared" ca="1" si="60"/>
        <v>0</v>
      </c>
      <c r="V180" s="306">
        <f t="shared" ca="1" si="61"/>
        <v>1.2104895454834785</v>
      </c>
      <c r="W180" s="304">
        <f t="shared" ca="1" si="62"/>
        <v>67.681345093879457</v>
      </c>
      <c r="Y180" s="314" t="str">
        <f t="shared" ca="1" si="80"/>
        <v/>
      </c>
      <c r="Z180" s="315" t="str">
        <f t="shared" ca="1" si="81"/>
        <v/>
      </c>
      <c r="AA180" s="316" t="str">
        <f t="shared" ca="1" si="82"/>
        <v/>
      </c>
      <c r="AC180" s="310" t="e">
        <f t="shared" ca="1" si="83"/>
        <v>#N/A</v>
      </c>
      <c r="AD180" s="323" t="e">
        <f t="shared" ca="1" si="84"/>
        <v>#N/A</v>
      </c>
      <c r="AE180" s="324">
        <f t="shared" ca="1" si="63"/>
        <v>119.15842170975894</v>
      </c>
      <c r="AG180" s="306">
        <f t="shared" ca="1" si="85"/>
        <v>58.162654497201181</v>
      </c>
      <c r="AH180" s="304">
        <f t="shared" ca="1" si="86"/>
        <v>67.750392489457397</v>
      </c>
    </row>
    <row r="181" spans="1:34" x14ac:dyDescent="0.2">
      <c r="A181" s="347">
        <f t="shared" ca="1" si="64"/>
        <v>0.01</v>
      </c>
      <c r="B181" s="304">
        <f t="shared" ca="1" si="65"/>
        <v>1.7700000000000014</v>
      </c>
      <c r="D181" s="306">
        <f t="shared" ca="1" si="66"/>
        <v>14.302928246120718</v>
      </c>
      <c r="E181" s="307">
        <f t="shared" ca="1" si="67"/>
        <v>56.183370662846741</v>
      </c>
      <c r="F181" s="304">
        <f t="shared" ca="1" si="68"/>
        <v>57.975381805146448</v>
      </c>
      <c r="G181" s="306">
        <f t="shared" ca="1" si="69"/>
        <v>27.890928105756551</v>
      </c>
      <c r="H181" s="307">
        <f t="shared" ca="1" si="70"/>
        <v>128.58997875850321</v>
      </c>
      <c r="I181" s="304">
        <f t="shared" ca="1" si="71"/>
        <v>131.57996240960395</v>
      </c>
      <c r="J181" s="306">
        <f t="shared" ca="1" si="72"/>
        <v>24.575710825458504</v>
      </c>
      <c r="K181" s="307">
        <f t="shared" ca="1" si="73"/>
        <v>120.44151232881083</v>
      </c>
      <c r="L181" s="304">
        <f t="shared" ca="1" si="58"/>
        <v>122.92324212543228</v>
      </c>
      <c r="M181" s="306">
        <f t="shared" ca="1" si="74"/>
        <v>1.3572065944347822</v>
      </c>
      <c r="N181" s="304">
        <f t="shared" ca="1" si="75"/>
        <v>77.762209788436621</v>
      </c>
      <c r="P181" s="310">
        <f t="shared" ca="1" si="76"/>
        <v>5</v>
      </c>
      <c r="Q181" s="304">
        <f t="shared" ca="1" si="77"/>
        <v>620.30999999999983</v>
      </c>
      <c r="R181" s="306">
        <f t="shared" ca="1" si="78"/>
        <v>0.31130468768977382</v>
      </c>
      <c r="S181" s="307">
        <f t="shared" ca="1" si="79"/>
        <v>8.1839944451677784</v>
      </c>
      <c r="T181" s="304">
        <f t="shared" ca="1" si="59"/>
        <v>80.284985507095911</v>
      </c>
      <c r="U181" s="311">
        <f t="shared" ca="1" si="60"/>
        <v>0</v>
      </c>
      <c r="V181" s="306">
        <f t="shared" ca="1" si="61"/>
        <v>1.210334233096984</v>
      </c>
      <c r="W181" s="304">
        <f t="shared" ca="1" si="62"/>
        <v>68.272583619226253</v>
      </c>
      <c r="Y181" s="314" t="str">
        <f t="shared" ca="1" si="80"/>
        <v/>
      </c>
      <c r="Z181" s="315" t="str">
        <f t="shared" ca="1" si="81"/>
        <v/>
      </c>
      <c r="AA181" s="316" t="str">
        <f t="shared" ca="1" si="82"/>
        <v/>
      </c>
      <c r="AC181" s="310" t="e">
        <f t="shared" ca="1" si="83"/>
        <v>#N/A</v>
      </c>
      <c r="AD181" s="323" t="e">
        <f t="shared" ca="1" si="84"/>
        <v>#N/A</v>
      </c>
      <c r="AE181" s="324">
        <f t="shared" ca="1" si="63"/>
        <v>120.44151232881083</v>
      </c>
      <c r="AG181" s="306">
        <f t="shared" ca="1" si="85"/>
        <v>57.938132539712406</v>
      </c>
      <c r="AH181" s="304">
        <f t="shared" ca="1" si="86"/>
        <v>67.525541299996689</v>
      </c>
    </row>
    <row r="182" spans="1:34" x14ac:dyDescent="0.2">
      <c r="A182" s="347">
        <f t="shared" ca="1" si="64"/>
        <v>0.01</v>
      </c>
      <c r="B182" s="304">
        <f t="shared" ca="1" si="65"/>
        <v>1.7800000000000014</v>
      </c>
      <c r="D182" s="306">
        <f t="shared" ca="1" si="66"/>
        <v>14.265635269636277</v>
      </c>
      <c r="E182" s="307">
        <f t="shared" ca="1" si="67"/>
        <v>55.961125627062486</v>
      </c>
      <c r="F182" s="304">
        <f t="shared" ca="1" si="68"/>
        <v>57.750808921556761</v>
      </c>
      <c r="G182" s="306">
        <f t="shared" ca="1" si="69"/>
        <v>28.033584458452914</v>
      </c>
      <c r="H182" s="307">
        <f t="shared" ca="1" si="70"/>
        <v>129.14959001477382</v>
      </c>
      <c r="I182" s="304">
        <f t="shared" ca="1" si="71"/>
        <v>132.15709764735823</v>
      </c>
      <c r="J182" s="306">
        <f t="shared" ca="1" si="72"/>
        <v>24.855333388279551</v>
      </c>
      <c r="K182" s="307">
        <f t="shared" ca="1" si="73"/>
        <v>121.73021017267722</v>
      </c>
      <c r="L182" s="304">
        <f t="shared" ca="1" si="58"/>
        <v>124.24182736311749</v>
      </c>
      <c r="M182" s="306">
        <f t="shared" ca="1" si="74"/>
        <v>1.3570492498774218</v>
      </c>
      <c r="N182" s="304">
        <f t="shared" ca="1" si="75"/>
        <v>77.753194609370524</v>
      </c>
      <c r="P182" s="310">
        <f t="shared" ca="1" si="76"/>
        <v>5</v>
      </c>
      <c r="Q182" s="304">
        <f t="shared" ca="1" si="77"/>
        <v>618.8499999999998</v>
      </c>
      <c r="R182" s="306">
        <f t="shared" ca="1" si="78"/>
        <v>0.31057198171368594</v>
      </c>
      <c r="S182" s="307">
        <f t="shared" ca="1" si="79"/>
        <v>8.1808887253506413</v>
      </c>
      <c r="T182" s="304">
        <f t="shared" ca="1" si="59"/>
        <v>80.2545183956898</v>
      </c>
      <c r="U182" s="311">
        <f t="shared" ca="1" si="60"/>
        <v>0</v>
      </c>
      <c r="V182" s="306">
        <f t="shared" ca="1" si="61"/>
        <v>1.2101782619184367</v>
      </c>
      <c r="W182" s="304">
        <f t="shared" ca="1" si="62"/>
        <v>68.863935306357902</v>
      </c>
      <c r="Y182" s="314" t="str">
        <f t="shared" ca="1" si="80"/>
        <v/>
      </c>
      <c r="Z182" s="315" t="str">
        <f t="shared" ca="1" si="81"/>
        <v/>
      </c>
      <c r="AA182" s="316" t="str">
        <f t="shared" ca="1" si="82"/>
        <v/>
      </c>
      <c r="AC182" s="310" t="e">
        <f t="shared" ca="1" si="83"/>
        <v>#N/A</v>
      </c>
      <c r="AD182" s="323" t="e">
        <f t="shared" ca="1" si="84"/>
        <v>#N/A</v>
      </c>
      <c r="AE182" s="324">
        <f t="shared" ca="1" si="63"/>
        <v>121.73021017267722</v>
      </c>
      <c r="AG182" s="306">
        <f t="shared" ca="1" si="85"/>
        <v>57.713360182720265</v>
      </c>
      <c r="AH182" s="304">
        <f t="shared" ca="1" si="86"/>
        <v>67.300440681299605</v>
      </c>
    </row>
    <row r="183" spans="1:34" x14ac:dyDescent="0.2">
      <c r="A183" s="347">
        <f t="shared" ca="1" si="64"/>
        <v>0.01</v>
      </c>
      <c r="B183" s="304">
        <f t="shared" ca="1" si="65"/>
        <v>1.7900000000000014</v>
      </c>
      <c r="D183" s="306">
        <f t="shared" ca="1" si="66"/>
        <v>14.228182810325682</v>
      </c>
      <c r="E183" s="307">
        <f t="shared" ca="1" si="67"/>
        <v>55.738662866575979</v>
      </c>
      <c r="F183" s="304">
        <f t="shared" ca="1" si="68"/>
        <v>57.525991727547499</v>
      </c>
      <c r="G183" s="306">
        <f t="shared" ca="1" si="69"/>
        <v>28.175866286556172</v>
      </c>
      <c r="H183" s="307">
        <f t="shared" ca="1" si="70"/>
        <v>129.70697664343959</v>
      </c>
      <c r="I183" s="304">
        <f t="shared" ca="1" si="71"/>
        <v>132.73198269814128</v>
      </c>
      <c r="J183" s="306">
        <f t="shared" ca="1" si="72"/>
        <v>25.136380642004596</v>
      </c>
      <c r="K183" s="307">
        <f t="shared" ca="1" si="73"/>
        <v>123.02449300596828</v>
      </c>
      <c r="L183" s="304">
        <f t="shared" ca="1" si="58"/>
        <v>125.56617184240062</v>
      </c>
      <c r="M183" s="306">
        <f t="shared" ca="1" si="74"/>
        <v>1.3568924731601626</v>
      </c>
      <c r="N183" s="304">
        <f t="shared" ca="1" si="75"/>
        <v>77.744211965145652</v>
      </c>
      <c r="P183" s="310">
        <f t="shared" ca="1" si="76"/>
        <v>5</v>
      </c>
      <c r="Q183" s="304">
        <f t="shared" ca="1" si="77"/>
        <v>617.38999999999976</v>
      </c>
      <c r="R183" s="306">
        <f t="shared" ca="1" si="78"/>
        <v>0.30983927573759806</v>
      </c>
      <c r="S183" s="307">
        <f t="shared" ca="1" si="79"/>
        <v>8.1777903325932648</v>
      </c>
      <c r="T183" s="304">
        <f t="shared" ca="1" si="59"/>
        <v>80.224123162739929</v>
      </c>
      <c r="U183" s="311">
        <f t="shared" ca="1" si="60"/>
        <v>0</v>
      </c>
      <c r="V183" s="306">
        <f t="shared" ca="1" si="61"/>
        <v>1.2100216348954216</v>
      </c>
      <c r="W183" s="304">
        <f t="shared" ca="1" si="62"/>
        <v>69.45536596841464</v>
      </c>
      <c r="Y183" s="314" t="str">
        <f t="shared" ca="1" si="80"/>
        <v/>
      </c>
      <c r="Z183" s="315" t="str">
        <f t="shared" ca="1" si="81"/>
        <v/>
      </c>
      <c r="AA183" s="316" t="str">
        <f t="shared" ca="1" si="82"/>
        <v/>
      </c>
      <c r="AC183" s="310" t="e">
        <f t="shared" ca="1" si="83"/>
        <v>#N/A</v>
      </c>
      <c r="AD183" s="323" t="e">
        <f t="shared" ca="1" si="84"/>
        <v>#N/A</v>
      </c>
      <c r="AE183" s="324">
        <f t="shared" ca="1" si="63"/>
        <v>123.02449300596828</v>
      </c>
      <c r="AG183" s="306">
        <f t="shared" ca="1" si="85"/>
        <v>57.488341957738427</v>
      </c>
      <c r="AH183" s="304">
        <f t="shared" ca="1" si="86"/>
        <v>67.075095152225344</v>
      </c>
    </row>
    <row r="184" spans="1:34" x14ac:dyDescent="0.2">
      <c r="A184" s="347">
        <f t="shared" ca="1" si="64"/>
        <v>0.01</v>
      </c>
      <c r="B184" s="304">
        <f t="shared" ca="1" si="65"/>
        <v>1.8000000000000014</v>
      </c>
      <c r="D184" s="306">
        <f t="shared" ca="1" si="66"/>
        <v>14.190572572489909</v>
      </c>
      <c r="E184" s="307">
        <f t="shared" ca="1" si="67"/>
        <v>55.515986661684778</v>
      </c>
      <c r="F184" s="304">
        <f t="shared" ca="1" si="68"/>
        <v>57.30093476511064</v>
      </c>
      <c r="G184" s="306">
        <f t="shared" ca="1" si="69"/>
        <v>28.317772012281072</v>
      </c>
      <c r="H184" s="307">
        <f t="shared" ca="1" si="70"/>
        <v>130.26213651005645</v>
      </c>
      <c r="I184" s="304">
        <f t="shared" ca="1" si="71"/>
        <v>133.30461514855406</v>
      </c>
      <c r="J184" s="306">
        <f t="shared" ca="1" si="72"/>
        <v>25.418848833498782</v>
      </c>
      <c r="K184" s="307">
        <f t="shared" ca="1" si="73"/>
        <v>124.32433857173577</v>
      </c>
      <c r="L184" s="304">
        <f t="shared" ca="1" si="58"/>
        <v>126.89625304680925</v>
      </c>
      <c r="M184" s="306">
        <f t="shared" ca="1" si="74"/>
        <v>1.3567362571578876</v>
      </c>
      <c r="N184" s="304">
        <f t="shared" ca="1" si="75"/>
        <v>77.735261447522888</v>
      </c>
      <c r="P184" s="310">
        <f t="shared" ca="1" si="76"/>
        <v>5</v>
      </c>
      <c r="Q184" s="304">
        <f t="shared" ca="1" si="77"/>
        <v>615.92999999999984</v>
      </c>
      <c r="R184" s="306">
        <f t="shared" ca="1" si="78"/>
        <v>0.30910656976151019</v>
      </c>
      <c r="S184" s="307">
        <f t="shared" ca="1" si="79"/>
        <v>8.1746992668956491</v>
      </c>
      <c r="T184" s="304">
        <f t="shared" ca="1" si="59"/>
        <v>80.193799808246325</v>
      </c>
      <c r="U184" s="311">
        <f t="shared" ca="1" si="60"/>
        <v>0</v>
      </c>
      <c r="V184" s="306">
        <f t="shared" ca="1" si="61"/>
        <v>1.2098643549777746</v>
      </c>
      <c r="W184" s="304">
        <f t="shared" ca="1" si="62"/>
        <v>70.046841563432238</v>
      </c>
      <c r="Y184" s="314" t="str">
        <f t="shared" ca="1" si="80"/>
        <v/>
      </c>
      <c r="Z184" s="315" t="str">
        <f t="shared" ca="1" si="81"/>
        <v/>
      </c>
      <c r="AA184" s="316" t="str">
        <f t="shared" ca="1" si="82"/>
        <v/>
      </c>
      <c r="AC184" s="310" t="e">
        <f t="shared" ca="1" si="83"/>
        <v>#N/A</v>
      </c>
      <c r="AD184" s="323" t="e">
        <f t="shared" ca="1" si="84"/>
        <v>#N/A</v>
      </c>
      <c r="AE184" s="324">
        <f t="shared" ca="1" si="63"/>
        <v>124.32433857173577</v>
      </c>
      <c r="AG184" s="306">
        <f t="shared" ca="1" si="85"/>
        <v>57.263082386723312</v>
      </c>
      <c r="AH184" s="304">
        <f t="shared" ca="1" si="86"/>
        <v>66.849509222265198</v>
      </c>
    </row>
    <row r="185" spans="1:34" x14ac:dyDescent="0.2">
      <c r="A185" s="347">
        <f t="shared" ca="1" si="64"/>
        <v>0.01</v>
      </c>
      <c r="B185" s="304">
        <f t="shared" ca="1" si="65"/>
        <v>1.8100000000000014</v>
      </c>
      <c r="D185" s="306">
        <f t="shared" ca="1" si="66"/>
        <v>14.152806248020426</v>
      </c>
      <c r="E185" s="307">
        <f t="shared" ca="1" si="67"/>
        <v>55.293101284962674</v>
      </c>
      <c r="F185" s="304">
        <f t="shared" ca="1" si="68"/>
        <v>57.075642566712702</v>
      </c>
      <c r="G185" s="306">
        <f t="shared" ca="1" si="69"/>
        <v>28.459300074761277</v>
      </c>
      <c r="H185" s="307">
        <f t="shared" ca="1" si="70"/>
        <v>130.81506752290608</v>
      </c>
      <c r="I185" s="304">
        <f t="shared" ca="1" si="71"/>
        <v>133.87499263031833</v>
      </c>
      <c r="J185" s="306">
        <f t="shared" ca="1" si="72"/>
        <v>25.702734193933992</v>
      </c>
      <c r="K185" s="307">
        <f t="shared" ca="1" si="73"/>
        <v>125.62972459190058</v>
      </c>
      <c r="L185" s="304">
        <f t="shared" ca="1" si="58"/>
        <v>128.23204843595386</v>
      </c>
      <c r="M185" s="306">
        <f t="shared" ca="1" si="74"/>
        <v>1.3565805948573193</v>
      </c>
      <c r="N185" s="304">
        <f t="shared" ca="1" si="75"/>
        <v>77.726342654671029</v>
      </c>
      <c r="P185" s="310">
        <f t="shared" ca="1" si="76"/>
        <v>5</v>
      </c>
      <c r="Q185" s="304">
        <f t="shared" ca="1" si="77"/>
        <v>614.4699999999998</v>
      </c>
      <c r="R185" s="306">
        <f t="shared" ca="1" si="78"/>
        <v>0.30837386378542231</v>
      </c>
      <c r="S185" s="307">
        <f t="shared" ca="1" si="79"/>
        <v>8.171615528257794</v>
      </c>
      <c r="T185" s="304">
        <f t="shared" ca="1" si="59"/>
        <v>80.163548332208961</v>
      </c>
      <c r="U185" s="311">
        <f t="shared" ca="1" si="60"/>
        <v>0</v>
      </c>
      <c r="V185" s="306">
        <f t="shared" ca="1" si="61"/>
        <v>1.2097064251175178</v>
      </c>
      <c r="W185" s="304">
        <f t="shared" ca="1" si="62"/>
        <v>70.638328195799772</v>
      </c>
      <c r="Y185" s="314" t="str">
        <f t="shared" ca="1" si="80"/>
        <v/>
      </c>
      <c r="Z185" s="315" t="str">
        <f t="shared" ca="1" si="81"/>
        <v/>
      </c>
      <c r="AA185" s="316" t="str">
        <f t="shared" ca="1" si="82"/>
        <v/>
      </c>
      <c r="AC185" s="310" t="e">
        <f t="shared" ca="1" si="83"/>
        <v>#N/A</v>
      </c>
      <c r="AD185" s="323" t="e">
        <f t="shared" ca="1" si="84"/>
        <v>#N/A</v>
      </c>
      <c r="AE185" s="324">
        <f t="shared" ca="1" si="63"/>
        <v>125.62972459190058</v>
      </c>
      <c r="AG185" s="306">
        <f t="shared" ca="1" si="85"/>
        <v>57.037585981839037</v>
      </c>
      <c r="AH185" s="304">
        <f t="shared" ca="1" si="86"/>
        <v>66.623687391303363</v>
      </c>
    </row>
    <row r="186" spans="1:34" x14ac:dyDescent="0.2">
      <c r="A186" s="347">
        <f t="shared" ca="1" si="64"/>
        <v>0.01</v>
      </c>
      <c r="B186" s="304">
        <f t="shared" ca="1" si="65"/>
        <v>1.8200000000000014</v>
      </c>
      <c r="D186" s="306">
        <f t="shared" ca="1" si="66"/>
        <v>14.11488551659116</v>
      </c>
      <c r="E186" s="307">
        <f t="shared" ca="1" si="67"/>
        <v>55.070011000989069</v>
      </c>
      <c r="F186" s="304">
        <f t="shared" ca="1" si="68"/>
        <v>56.85011965506785</v>
      </c>
      <c r="G186" s="306">
        <f t="shared" ca="1" si="69"/>
        <v>28.60044892992719</v>
      </c>
      <c r="H186" s="307">
        <f t="shared" ca="1" si="70"/>
        <v>131.36576763291598</v>
      </c>
      <c r="I186" s="304">
        <f t="shared" ca="1" si="71"/>
        <v>134.44311282017628</v>
      </c>
      <c r="J186" s="306">
        <f t="shared" ca="1" si="72"/>
        <v>25.988032938957435</v>
      </c>
      <c r="K186" s="307">
        <f t="shared" ca="1" si="73"/>
        <v>126.9406287676797</v>
      </c>
      <c r="L186" s="304">
        <f t="shared" ca="1" si="58"/>
        <v>129.57353544597834</v>
      </c>
      <c r="M186" s="306">
        <f t="shared" ca="1" si="74"/>
        <v>1.3564254793545847</v>
      </c>
      <c r="N186" s="304">
        <f t="shared" ca="1" si="75"/>
        <v>77.717455191027284</v>
      </c>
      <c r="P186" s="310">
        <f t="shared" ca="1" si="76"/>
        <v>5</v>
      </c>
      <c r="Q186" s="304">
        <f t="shared" ca="1" si="77"/>
        <v>613.00999999999976</v>
      </c>
      <c r="R186" s="306">
        <f t="shared" ca="1" si="78"/>
        <v>0.30764115780933443</v>
      </c>
      <c r="S186" s="307">
        <f t="shared" ca="1" si="79"/>
        <v>8.1685391166797015</v>
      </c>
      <c r="T186" s="304">
        <f t="shared" ca="1" si="59"/>
        <v>80.133368734627879</v>
      </c>
      <c r="U186" s="311">
        <f t="shared" ca="1" si="60"/>
        <v>0</v>
      </c>
      <c r="V186" s="306">
        <f t="shared" ca="1" si="61"/>
        <v>1.209547848268788</v>
      </c>
      <c r="W186" s="304">
        <f t="shared" ca="1" si="62"/>
        <v>71.229792117695695</v>
      </c>
      <c r="Y186" s="314" t="str">
        <f t="shared" ca="1" si="80"/>
        <v/>
      </c>
      <c r="Z186" s="315" t="str">
        <f t="shared" ca="1" si="81"/>
        <v/>
      </c>
      <c r="AA186" s="316" t="str">
        <f t="shared" ca="1" si="82"/>
        <v/>
      </c>
      <c r="AC186" s="310" t="e">
        <f t="shared" ca="1" si="83"/>
        <v>#N/A</v>
      </c>
      <c r="AD186" s="323" t="e">
        <f t="shared" ca="1" si="84"/>
        <v>#N/A</v>
      </c>
      <c r="AE186" s="324">
        <f t="shared" ca="1" si="63"/>
        <v>126.9406287676797</v>
      </c>
      <c r="AG186" s="306">
        <f t="shared" ca="1" si="85"/>
        <v>56.811857245224566</v>
      </c>
      <c r="AH186" s="304">
        <f t="shared" ca="1" si="86"/>
        <v>66.397634149380181</v>
      </c>
    </row>
    <row r="187" spans="1:34" x14ac:dyDescent="0.2">
      <c r="A187" s="347">
        <f t="shared" ca="1" si="64"/>
        <v>0.01</v>
      </c>
      <c r="B187" s="304">
        <f t="shared" ca="1" si="65"/>
        <v>1.8300000000000014</v>
      </c>
      <c r="D187" s="306">
        <f t="shared" ca="1" si="66"/>
        <v>14.076812045843853</v>
      </c>
      <c r="E187" s="307">
        <f t="shared" ca="1" si="67"/>
        <v>54.846720066081247</v>
      </c>
      <c r="F187" s="304">
        <f t="shared" ca="1" si="68"/>
        <v>56.624370542912828</v>
      </c>
      <c r="G187" s="306">
        <f t="shared" ca="1" si="69"/>
        <v>28.741217050385629</v>
      </c>
      <c r="H187" s="307">
        <f t="shared" ca="1" si="70"/>
        <v>131.91423483357678</v>
      </c>
      <c r="I187" s="304">
        <f t="shared" ca="1" si="71"/>
        <v>135.00897343978815</v>
      </c>
      <c r="J187" s="306">
        <f t="shared" ca="1" si="72"/>
        <v>26.274741268859</v>
      </c>
      <c r="K187" s="307">
        <f t="shared" ca="1" si="73"/>
        <v>128.25702878001215</v>
      </c>
      <c r="L187" s="304">
        <f t="shared" ca="1" si="58"/>
        <v>130.92069149000989</v>
      </c>
      <c r="M187" s="306">
        <f t="shared" ca="1" si="74"/>
        <v>1.3562709038528447</v>
      </c>
      <c r="N187" s="304">
        <f t="shared" ca="1" si="75"/>
        <v>77.708598667161468</v>
      </c>
      <c r="P187" s="310">
        <f t="shared" ca="1" si="76"/>
        <v>5</v>
      </c>
      <c r="Q187" s="304">
        <f t="shared" ca="1" si="77"/>
        <v>611.54999999999973</v>
      </c>
      <c r="R187" s="306">
        <f t="shared" ca="1" si="78"/>
        <v>0.30690845183324655</v>
      </c>
      <c r="S187" s="307">
        <f t="shared" ca="1" si="79"/>
        <v>8.1654700321613696</v>
      </c>
      <c r="T187" s="304">
        <f t="shared" ca="1" si="59"/>
        <v>80.103261015503037</v>
      </c>
      <c r="U187" s="311">
        <f t="shared" ca="1" si="60"/>
        <v>0</v>
      </c>
      <c r="V187" s="306">
        <f t="shared" ca="1" si="61"/>
        <v>1.2093886273877699</v>
      </c>
      <c r="W187" s="304">
        <f t="shared" ca="1" si="62"/>
        <v>71.821199730504361</v>
      </c>
      <c r="Y187" s="314" t="str">
        <f t="shared" ca="1" si="80"/>
        <v/>
      </c>
      <c r="Z187" s="315" t="str">
        <f t="shared" ca="1" si="81"/>
        <v/>
      </c>
      <c r="AA187" s="316" t="str">
        <f t="shared" ca="1" si="82"/>
        <v/>
      </c>
      <c r="AC187" s="310" t="e">
        <f t="shared" ca="1" si="83"/>
        <v>#N/A</v>
      </c>
      <c r="AD187" s="323" t="e">
        <f t="shared" ca="1" si="84"/>
        <v>#N/A</v>
      </c>
      <c r="AE187" s="324">
        <f t="shared" ca="1" si="63"/>
        <v>128.25702878001215</v>
      </c>
      <c r="AG187" s="306">
        <f t="shared" ca="1" si="85"/>
        <v>56.585900668762768</v>
      </c>
      <c r="AH187" s="304">
        <f t="shared" ca="1" si="86"/>
        <v>66.171353976457283</v>
      </c>
    </row>
    <row r="188" spans="1:34" x14ac:dyDescent="0.2">
      <c r="A188" s="347">
        <f t="shared" ca="1" si="64"/>
        <v>0.01</v>
      </c>
      <c r="B188" s="304">
        <f t="shared" ca="1" si="65"/>
        <v>1.8400000000000014</v>
      </c>
      <c r="D188" s="306">
        <f t="shared" ca="1" si="66"/>
        <v>14.03858749156727</v>
      </c>
      <c r="E188" s="307">
        <f t="shared" ca="1" si="67"/>
        <v>54.623232728029933</v>
      </c>
      <c r="F188" s="304">
        <f t="shared" ca="1" si="68"/>
        <v>56.398399732784171</v>
      </c>
      <c r="G188" s="306">
        <f t="shared" ca="1" si="69"/>
        <v>28.881602925301301</v>
      </c>
      <c r="H188" s="307">
        <f t="shared" ca="1" si="70"/>
        <v>132.46046716085709</v>
      </c>
      <c r="I188" s="304">
        <f t="shared" ca="1" si="71"/>
        <v>135.57257225562725</v>
      </c>
      <c r="J188" s="306">
        <f t="shared" ca="1" si="72"/>
        <v>26.562855368737434</v>
      </c>
      <c r="K188" s="307">
        <f t="shared" ca="1" si="73"/>
        <v>129.57890228998431</v>
      </c>
      <c r="L188" s="304">
        <f t="shared" ca="1" si="58"/>
        <v>132.27349395860747</v>
      </c>
      <c r="M188" s="306">
        <f t="shared" ca="1" si="74"/>
        <v>1.3561168616599875</v>
      </c>
      <c r="N188" s="304">
        <f t="shared" ca="1" si="75"/>
        <v>77.699772699643802</v>
      </c>
      <c r="P188" s="310">
        <f t="shared" ca="1" si="76"/>
        <v>5</v>
      </c>
      <c r="Q188" s="304">
        <f t="shared" ca="1" si="77"/>
        <v>610.0899999999998</v>
      </c>
      <c r="R188" s="306">
        <f t="shared" ca="1" si="78"/>
        <v>0.30617574585715868</v>
      </c>
      <c r="S188" s="307">
        <f t="shared" ca="1" si="79"/>
        <v>8.1624082747027984</v>
      </c>
      <c r="T188" s="304">
        <f t="shared" ca="1" si="59"/>
        <v>80.073225174834462</v>
      </c>
      <c r="U188" s="311">
        <f t="shared" ca="1" si="60"/>
        <v>0</v>
      </c>
      <c r="V188" s="306">
        <f t="shared" ca="1" si="61"/>
        <v>1.209228765432627</v>
      </c>
      <c r="W188" s="304">
        <f t="shared" ca="1" si="62"/>
        <v>72.412517586211109</v>
      </c>
      <c r="Y188" s="314" t="str">
        <f t="shared" ca="1" si="80"/>
        <v/>
      </c>
      <c r="Z188" s="315" t="str">
        <f t="shared" ca="1" si="81"/>
        <v/>
      </c>
      <c r="AA188" s="316" t="str">
        <f t="shared" ca="1" si="82"/>
        <v/>
      </c>
      <c r="AC188" s="310" t="e">
        <f t="shared" ca="1" si="83"/>
        <v>#N/A</v>
      </c>
      <c r="AD188" s="323" t="e">
        <f t="shared" ca="1" si="84"/>
        <v>#N/A</v>
      </c>
      <c r="AE188" s="324">
        <f t="shared" ca="1" si="63"/>
        <v>129.57890228998431</v>
      </c>
      <c r="AG188" s="306">
        <f t="shared" ca="1" si="85"/>
        <v>56.359720733851404</v>
      </c>
      <c r="AH188" s="304">
        <f t="shared" ca="1" si="86"/>
        <v>65.944851342184833</v>
      </c>
    </row>
    <row r="189" spans="1:34" x14ac:dyDescent="0.2">
      <c r="A189" s="347">
        <f t="shared" ca="1" si="64"/>
        <v>0.01</v>
      </c>
      <c r="B189" s="304">
        <f t="shared" ca="1" si="65"/>
        <v>1.8500000000000014</v>
      </c>
      <c r="D189" s="306">
        <f t="shared" ca="1" si="66"/>
        <v>14.000213497870385</v>
      </c>
      <c r="E189" s="307">
        <f t="shared" ca="1" si="67"/>
        <v>54.399553225837863</v>
      </c>
      <c r="F189" s="304">
        <f t="shared" ca="1" si="68"/>
        <v>56.172211716797463</v>
      </c>
      <c r="G189" s="306">
        <f t="shared" ca="1" si="69"/>
        <v>29.021605060280006</v>
      </c>
      <c r="H189" s="307">
        <f t="shared" ca="1" si="70"/>
        <v>133.00446269311547</v>
      </c>
      <c r="I189" s="304">
        <f t="shared" ca="1" si="71"/>
        <v>136.13390707887294</v>
      </c>
      <c r="J189" s="306">
        <f t="shared" ca="1" si="72"/>
        <v>26.852371408665341</v>
      </c>
      <c r="K189" s="307">
        <f t="shared" ca="1" si="73"/>
        <v>130.90622693925417</v>
      </c>
      <c r="L189" s="304">
        <f t="shared" ca="1" si="58"/>
        <v>133.63192022020945</v>
      </c>
      <c r="M189" s="306">
        <f t="shared" ca="1" si="74"/>
        <v>1.3559633461863849</v>
      </c>
      <c r="N189" s="304">
        <f t="shared" ca="1" si="75"/>
        <v>77.690976910916433</v>
      </c>
      <c r="P189" s="310">
        <f t="shared" ca="1" si="76"/>
        <v>5</v>
      </c>
      <c r="Q189" s="304">
        <f t="shared" ca="1" si="77"/>
        <v>608.62999999999977</v>
      </c>
      <c r="R189" s="306">
        <f t="shared" ca="1" si="78"/>
        <v>0.3054430398810708</v>
      </c>
      <c r="S189" s="307">
        <f t="shared" ca="1" si="79"/>
        <v>8.1593538443039879</v>
      </c>
      <c r="T189" s="304">
        <f t="shared" ca="1" si="59"/>
        <v>80.043261212622127</v>
      </c>
      <c r="U189" s="311">
        <f t="shared" ca="1" si="60"/>
        <v>0</v>
      </c>
      <c r="V189" s="306">
        <f t="shared" ca="1" si="61"/>
        <v>1.2090682653634353</v>
      </c>
      <c r="W189" s="304">
        <f t="shared" ca="1" si="62"/>
        <v>73.003712388777203</v>
      </c>
      <c r="Y189" s="314" t="str">
        <f t="shared" ca="1" si="80"/>
        <v/>
      </c>
      <c r="Z189" s="315" t="str">
        <f t="shared" ca="1" si="81"/>
        <v/>
      </c>
      <c r="AA189" s="316" t="str">
        <f t="shared" ca="1" si="82"/>
        <v/>
      </c>
      <c r="AC189" s="310" t="e">
        <f t="shared" ca="1" si="83"/>
        <v>#N/A</v>
      </c>
      <c r="AD189" s="323" t="e">
        <f t="shared" ca="1" si="84"/>
        <v>#N/A</v>
      </c>
      <c r="AE189" s="324">
        <f t="shared" ca="1" si="63"/>
        <v>130.90622693925417</v>
      </c>
      <c r="AG189" s="306">
        <f t="shared" ca="1" si="85"/>
        <v>56.133321911176274</v>
      </c>
      <c r="AH189" s="304">
        <f t="shared" ca="1" si="86"/>
        <v>65.718130705671001</v>
      </c>
    </row>
    <row r="190" spans="1:34" x14ac:dyDescent="0.2">
      <c r="A190" s="347">
        <f t="shared" ca="1" si="64"/>
        <v>0.01</v>
      </c>
      <c r="B190" s="304">
        <f t="shared" ca="1" si="65"/>
        <v>1.8600000000000014</v>
      </c>
      <c r="D190" s="306">
        <f t="shared" ca="1" si="66"/>
        <v>13.961691697349709</v>
      </c>
      <c r="E190" s="307">
        <f t="shared" ca="1" si="67"/>
        <v>54.175685789461724</v>
      </c>
      <c r="F190" s="304">
        <f t="shared" ca="1" si="68"/>
        <v>55.945810976429044</v>
      </c>
      <c r="G190" s="306">
        <f t="shared" ca="1" si="69"/>
        <v>29.161221977253504</v>
      </c>
      <c r="H190" s="307">
        <f t="shared" ca="1" si="70"/>
        <v>133.5462195510101</v>
      </c>
      <c r="I190" s="304">
        <f t="shared" ca="1" si="71"/>
        <v>136.6929757653013</v>
      </c>
      <c r="J190" s="306">
        <f t="shared" ca="1" si="72"/>
        <v>27.143285543853008</v>
      </c>
      <c r="K190" s="307">
        <f t="shared" ca="1" si="73"/>
        <v>132.2389803504748</v>
      </c>
      <c r="L190" s="304">
        <f t="shared" ca="1" si="58"/>
        <v>134.99594762158011</v>
      </c>
      <c r="M190" s="306">
        <f t="shared" ca="1" si="74"/>
        <v>1.3558103509427064</v>
      </c>
      <c r="N190" s="304">
        <f t="shared" ca="1" si="75"/>
        <v>77.682210929168079</v>
      </c>
      <c r="P190" s="310">
        <f t="shared" ca="1" si="76"/>
        <v>5</v>
      </c>
      <c r="Q190" s="304">
        <f t="shared" ca="1" si="77"/>
        <v>607.16999999999973</v>
      </c>
      <c r="R190" s="306">
        <f t="shared" ca="1" si="78"/>
        <v>0.30471033390498292</v>
      </c>
      <c r="S190" s="307">
        <f t="shared" ca="1" si="79"/>
        <v>8.1563067409649381</v>
      </c>
      <c r="T190" s="304">
        <f t="shared" ca="1" si="59"/>
        <v>80.013369128866046</v>
      </c>
      <c r="U190" s="311">
        <f t="shared" ca="1" si="60"/>
        <v>0</v>
      </c>
      <c r="V190" s="306">
        <f t="shared" ca="1" si="61"/>
        <v>1.208907130142113</v>
      </c>
      <c r="W190" s="304">
        <f t="shared" ca="1" si="62"/>
        <v>73.59475099549401</v>
      </c>
      <c r="Y190" s="314" t="str">
        <f t="shared" ca="1" si="80"/>
        <v/>
      </c>
      <c r="Z190" s="315" t="str">
        <f t="shared" ca="1" si="81"/>
        <v/>
      </c>
      <c r="AA190" s="316" t="str">
        <f t="shared" ca="1" si="82"/>
        <v/>
      </c>
      <c r="AC190" s="310" t="e">
        <f t="shared" ca="1" si="83"/>
        <v>#N/A</v>
      </c>
      <c r="AD190" s="323" t="e">
        <f t="shared" ca="1" si="84"/>
        <v>#N/A</v>
      </c>
      <c r="AE190" s="324">
        <f t="shared" ca="1" si="63"/>
        <v>132.2389803504748</v>
      </c>
      <c r="AG190" s="306">
        <f t="shared" ca="1" si="85"/>
        <v>55.90670866048643</v>
      </c>
      <c r="AH190" s="304">
        <f t="shared" ca="1" si="86"/>
        <v>65.49119651525362</v>
      </c>
    </row>
    <row r="191" spans="1:34" x14ac:dyDescent="0.2">
      <c r="A191" s="347">
        <f t="shared" ca="1" si="64"/>
        <v>0.01</v>
      </c>
      <c r="B191" s="304">
        <f t="shared" ca="1" si="65"/>
        <v>1.8700000000000014</v>
      </c>
      <c r="D191" s="306">
        <f t="shared" ca="1" si="66"/>
        <v>13.923023711251069</v>
      </c>
      <c r="E191" s="307">
        <f t="shared" ca="1" si="67"/>
        <v>53.951634639556914</v>
      </c>
      <c r="F191" s="304">
        <f t="shared" ca="1" si="68"/>
        <v>55.719201982299573</v>
      </c>
      <c r="G191" s="306">
        <f t="shared" ca="1" si="69"/>
        <v>29.300452214366015</v>
      </c>
      <c r="H191" s="307">
        <f t="shared" ca="1" si="70"/>
        <v>134.08573589740567</v>
      </c>
      <c r="I191" s="304">
        <f t="shared" ca="1" si="71"/>
        <v>137.24977621517337</v>
      </c>
      <c r="J191" s="306">
        <f t="shared" ca="1" si="72"/>
        <v>27.435593914811104</v>
      </c>
      <c r="K191" s="307">
        <f t="shared" ca="1" si="73"/>
        <v>133.57714012771689</v>
      </c>
      <c r="L191" s="304">
        <f t="shared" ca="1" si="58"/>
        <v>136.36555348825499</v>
      </c>
      <c r="M191" s="306">
        <f t="shared" ca="1" si="74"/>
        <v>1.355657869537791</v>
      </c>
      <c r="N191" s="304">
        <f t="shared" ca="1" si="75"/>
        <v>77.673474388212199</v>
      </c>
      <c r="P191" s="310">
        <f t="shared" ca="1" si="76"/>
        <v>5</v>
      </c>
      <c r="Q191" s="304">
        <f t="shared" ca="1" si="77"/>
        <v>605.70999999999981</v>
      </c>
      <c r="R191" s="306">
        <f t="shared" ca="1" si="78"/>
        <v>0.30397762792889504</v>
      </c>
      <c r="S191" s="307">
        <f t="shared" ca="1" si="79"/>
        <v>8.153266964685649</v>
      </c>
      <c r="T191" s="304">
        <f t="shared" ca="1" si="59"/>
        <v>79.983548923566218</v>
      </c>
      <c r="U191" s="311">
        <f t="shared" ca="1" si="60"/>
        <v>0</v>
      </c>
      <c r="V191" s="306">
        <f t="shared" ca="1" si="61"/>
        <v>1.2087453627323561</v>
      </c>
      <c r="W191" s="304">
        <f t="shared" ca="1" si="62"/>
        <v>74.18560041831617</v>
      </c>
      <c r="Y191" s="314" t="str">
        <f t="shared" ca="1" si="80"/>
        <v/>
      </c>
      <c r="Z191" s="315" t="str">
        <f t="shared" ca="1" si="81"/>
        <v/>
      </c>
      <c r="AA191" s="316" t="str">
        <f t="shared" ca="1" si="82"/>
        <v/>
      </c>
      <c r="AC191" s="310" t="e">
        <f t="shared" ca="1" si="83"/>
        <v>#N/A</v>
      </c>
      <c r="AD191" s="323" t="e">
        <f t="shared" ca="1" si="84"/>
        <v>#N/A</v>
      </c>
      <c r="AE191" s="324">
        <f t="shared" ca="1" si="63"/>
        <v>133.57714012771689</v>
      </c>
      <c r="AG191" s="306">
        <f t="shared" ca="1" si="85"/>
        <v>55.679885430371371</v>
      </c>
      <c r="AH191" s="304">
        <f t="shared" ca="1" si="86"/>
        <v>65.264053208273879</v>
      </c>
    </row>
    <row r="192" spans="1:34" x14ac:dyDescent="0.2">
      <c r="A192" s="347">
        <f t="shared" ca="1" si="64"/>
        <v>0.01</v>
      </c>
      <c r="B192" s="304">
        <f t="shared" ca="1" si="65"/>
        <v>1.8800000000000014</v>
      </c>
      <c r="D192" s="306">
        <f t="shared" ca="1" si="66"/>
        <v>13.884211149626021</v>
      </c>
      <c r="E192" s="307">
        <f t="shared" ca="1" si="67"/>
        <v>53.727403987225507</v>
      </c>
      <c r="F192" s="304">
        <f t="shared" ca="1" si="68"/>
        <v>55.492389193960051</v>
      </c>
      <c r="G192" s="306">
        <f t="shared" ca="1" si="69"/>
        <v>29.439294325862274</v>
      </c>
      <c r="H192" s="307">
        <f t="shared" ca="1" si="70"/>
        <v>134.62300993727791</v>
      </c>
      <c r="I192" s="304">
        <f t="shared" ca="1" si="71"/>
        <v>137.80430637312165</v>
      </c>
      <c r="J192" s="306">
        <f t="shared" ca="1" si="72"/>
        <v>27.729292647512246</v>
      </c>
      <c r="K192" s="307">
        <f t="shared" ca="1" si="73"/>
        <v>134.92068385689029</v>
      </c>
      <c r="L192" s="304">
        <f t="shared" ca="1" si="58"/>
        <v>137.74071512498517</v>
      </c>
      <c r="M192" s="306">
        <f t="shared" ca="1" si="74"/>
        <v>1.3555058956765769</v>
      </c>
      <c r="N192" s="304">
        <f t="shared" ca="1" si="75"/>
        <v>77.664766927368319</v>
      </c>
      <c r="P192" s="310">
        <f t="shared" ca="1" si="76"/>
        <v>5</v>
      </c>
      <c r="Q192" s="304">
        <f t="shared" ca="1" si="77"/>
        <v>604.24999999999977</v>
      </c>
      <c r="R192" s="306">
        <f t="shared" ca="1" si="78"/>
        <v>0.30324492195280717</v>
      </c>
      <c r="S192" s="307">
        <f t="shared" ca="1" si="79"/>
        <v>8.1502345154661207</v>
      </c>
      <c r="T192" s="304">
        <f t="shared" ca="1" si="59"/>
        <v>79.953800596722644</v>
      </c>
      <c r="U192" s="311">
        <f t="shared" ca="1" si="60"/>
        <v>0</v>
      </c>
      <c r="V192" s="306">
        <f t="shared" ca="1" si="61"/>
        <v>1.2085829660995686</v>
      </c>
      <c r="W192" s="304">
        <f t="shared" ca="1" si="62"/>
        <v>74.776227825174644</v>
      </c>
      <c r="Y192" s="314" t="str">
        <f t="shared" ca="1" si="80"/>
        <v/>
      </c>
      <c r="Z192" s="315" t="str">
        <f t="shared" ca="1" si="81"/>
        <v/>
      </c>
      <c r="AA192" s="316" t="str">
        <f t="shared" ca="1" si="82"/>
        <v/>
      </c>
      <c r="AC192" s="310" t="e">
        <f t="shared" ca="1" si="83"/>
        <v>#N/A</v>
      </c>
      <c r="AD192" s="323" t="e">
        <f t="shared" ca="1" si="84"/>
        <v>#N/A</v>
      </c>
      <c r="AE192" s="324">
        <f t="shared" ca="1" si="63"/>
        <v>134.92068385689029</v>
      </c>
      <c r="AG192" s="306">
        <f t="shared" ca="1" si="85"/>
        <v>55.452856658040353</v>
      </c>
      <c r="AH192" s="304">
        <f t="shared" ca="1" si="86"/>
        <v>65.036705210852276</v>
      </c>
    </row>
    <row r="193" spans="1:34" x14ac:dyDescent="0.2">
      <c r="A193" s="347">
        <f t="shared" ca="1" si="64"/>
        <v>0.01</v>
      </c>
      <c r="B193" s="304">
        <f t="shared" ca="1" si="65"/>
        <v>1.8900000000000015</v>
      </c>
      <c r="D193" s="306">
        <f t="shared" ca="1" si="66"/>
        <v>13.845255611482921</v>
      </c>
      <c r="E193" s="307">
        <f t="shared" ca="1" si="67"/>
        <v>53.502998033767398</v>
      </c>
      <c r="F193" s="304">
        <f t="shared" ca="1" si="68"/>
        <v>55.265377059680119</v>
      </c>
      <c r="G193" s="306">
        <f t="shared" ca="1" si="69"/>
        <v>29.577746881977102</v>
      </c>
      <c r="H193" s="307">
        <f t="shared" ca="1" si="70"/>
        <v>135.15803991761558</v>
      </c>
      <c r="I193" s="304">
        <f t="shared" ca="1" si="71"/>
        <v>138.3565642280339</v>
      </c>
      <c r="J193" s="306">
        <f t="shared" ca="1" si="72"/>
        <v>28.024377853551442</v>
      </c>
      <c r="K193" s="307">
        <f t="shared" ca="1" si="73"/>
        <v>136.26958910616477</v>
      </c>
      <c r="L193" s="304">
        <f t="shared" ca="1" si="58"/>
        <v>139.12140981618037</v>
      </c>
      <c r="M193" s="306">
        <f t="shared" ca="1" si="74"/>
        <v>1.3553544231580832</v>
      </c>
      <c r="N193" s="304">
        <f t="shared" ca="1" si="75"/>
        <v>77.656088191346413</v>
      </c>
      <c r="P193" s="310">
        <f t="shared" ca="1" si="76"/>
        <v>5</v>
      </c>
      <c r="Q193" s="304">
        <f t="shared" ca="1" si="77"/>
        <v>602.78999999999974</v>
      </c>
      <c r="R193" s="306">
        <f t="shared" ca="1" si="78"/>
        <v>0.30251221597671929</v>
      </c>
      <c r="S193" s="307">
        <f t="shared" ca="1" si="79"/>
        <v>8.147209393306353</v>
      </c>
      <c r="T193" s="304">
        <f t="shared" ca="1" si="59"/>
        <v>79.924124148335324</v>
      </c>
      <c r="U193" s="311">
        <f t="shared" ca="1" si="60"/>
        <v>0</v>
      </c>
      <c r="V193" s="306">
        <f t="shared" ca="1" si="61"/>
        <v>1.2084199432107963</v>
      </c>
      <c r="W193" s="304">
        <f t="shared" ca="1" si="62"/>
        <v>75.366600541268582</v>
      </c>
      <c r="Y193" s="314" t="str">
        <f t="shared" ca="1" si="80"/>
        <v/>
      </c>
      <c r="Z193" s="315" t="str">
        <f t="shared" ca="1" si="81"/>
        <v/>
      </c>
      <c r="AA193" s="316" t="str">
        <f t="shared" ca="1" si="82"/>
        <v/>
      </c>
      <c r="AC193" s="310" t="e">
        <f t="shared" ca="1" si="83"/>
        <v>#N/A</v>
      </c>
      <c r="AD193" s="323" t="e">
        <f t="shared" ca="1" si="84"/>
        <v>#N/A</v>
      </c>
      <c r="AE193" s="324">
        <f t="shared" ca="1" si="63"/>
        <v>136.26958910616477</v>
      </c>
      <c r="AG193" s="306">
        <f t="shared" ca="1" si="85"/>
        <v>55.225626769103968</v>
      </c>
      <c r="AH193" s="304">
        <f t="shared" ca="1" si="86"/>
        <v>64.80915693766687</v>
      </c>
    </row>
    <row r="194" spans="1:34" x14ac:dyDescent="0.2">
      <c r="A194" s="347">
        <f t="shared" ca="1" si="64"/>
        <v>0.01</v>
      </c>
      <c r="B194" s="304">
        <f t="shared" ca="1" si="65"/>
        <v>1.9000000000000015</v>
      </c>
      <c r="D194" s="306">
        <f t="shared" ca="1" si="66"/>
        <v>13.806158684933056</v>
      </c>
      <c r="E194" s="307">
        <f t="shared" ca="1" si="67"/>
        <v>53.278420970434162</v>
      </c>
      <c r="F194" s="304">
        <f t="shared" ca="1" si="68"/>
        <v>55.038170016238283</v>
      </c>
      <c r="G194" s="306">
        <f t="shared" ca="1" si="69"/>
        <v>29.715808468826435</v>
      </c>
      <c r="H194" s="307">
        <f t="shared" ca="1" si="70"/>
        <v>135.69082412731993</v>
      </c>
      <c r="I194" s="304">
        <f t="shared" ca="1" si="71"/>
        <v>138.90654781293517</v>
      </c>
      <c r="J194" s="306">
        <f t="shared" ca="1" si="72"/>
        <v>28.32084563030546</v>
      </c>
      <c r="K194" s="307">
        <f t="shared" ca="1" si="73"/>
        <v>137.62383342638944</v>
      </c>
      <c r="L194" s="304">
        <f t="shared" ca="1" si="58"/>
        <v>140.5076148263509</v>
      </c>
      <c r="M194" s="306">
        <f t="shared" ca="1" si="74"/>
        <v>1.3552034458734443</v>
      </c>
      <c r="N194" s="304">
        <f t="shared" ca="1" si="75"/>
        <v>77.647437830134265</v>
      </c>
      <c r="P194" s="310">
        <f t="shared" ca="1" si="76"/>
        <v>5</v>
      </c>
      <c r="Q194" s="304">
        <f t="shared" ca="1" si="77"/>
        <v>601.32999999999981</v>
      </c>
      <c r="R194" s="306">
        <f t="shared" ca="1" si="78"/>
        <v>0.30177951000063147</v>
      </c>
      <c r="S194" s="307">
        <f t="shared" ca="1" si="79"/>
        <v>8.144191598206346</v>
      </c>
      <c r="T194" s="304">
        <f t="shared" ca="1" si="59"/>
        <v>79.894519578404257</v>
      </c>
      <c r="U194" s="311">
        <f t="shared" ca="1" si="60"/>
        <v>0</v>
      </c>
      <c r="V194" s="306">
        <f t="shared" ca="1" si="61"/>
        <v>1.2082562970346593</v>
      </c>
      <c r="W194" s="304">
        <f t="shared" ca="1" si="62"/>
        <v>75.956686050336572</v>
      </c>
      <c r="Y194" s="314" t="str">
        <f t="shared" ca="1" si="80"/>
        <v/>
      </c>
      <c r="Z194" s="315" t="str">
        <f t="shared" ca="1" si="81"/>
        <v/>
      </c>
      <c r="AA194" s="316" t="str">
        <f t="shared" ca="1" si="82"/>
        <v/>
      </c>
      <c r="AC194" s="310" t="e">
        <f t="shared" ca="1" si="83"/>
        <v>#N/A</v>
      </c>
      <c r="AD194" s="323" t="e">
        <f t="shared" ca="1" si="84"/>
        <v>#N/A</v>
      </c>
      <c r="AE194" s="324">
        <f t="shared" ca="1" si="63"/>
        <v>137.62383342638944</v>
      </c>
      <c r="AG194" s="306">
        <f t="shared" ca="1" si="85"/>
        <v>54.998200177357489</v>
      </c>
      <c r="AH194" s="304">
        <f t="shared" ca="1" si="86"/>
        <v>64.581412791733428</v>
      </c>
    </row>
    <row r="195" spans="1:34" x14ac:dyDescent="0.2">
      <c r="A195" s="347">
        <f t="shared" ca="1" si="64"/>
        <v>0.01</v>
      </c>
      <c r="B195" s="304">
        <f t="shared" ca="1" si="65"/>
        <v>1.9100000000000015</v>
      </c>
      <c r="D195" s="306">
        <f t="shared" ca="1" si="66"/>
        <v>13.766921947331934</v>
      </c>
      <c r="E195" s="307">
        <f t="shared" ca="1" si="67"/>
        <v>53.053676978186303</v>
      </c>
      <c r="F195" s="304">
        <f t="shared" ca="1" si="68"/>
        <v>54.810772488714889</v>
      </c>
      <c r="G195" s="306">
        <f t="shared" ca="1" si="69"/>
        <v>29.853477688299755</v>
      </c>
      <c r="H195" s="307">
        <f t="shared" ca="1" si="70"/>
        <v>136.22136089710179</v>
      </c>
      <c r="I195" s="304">
        <f t="shared" ca="1" si="71"/>
        <v>139.45425520486731</v>
      </c>
      <c r="J195" s="306">
        <f t="shared" ca="1" si="72"/>
        <v>28.618692061091089</v>
      </c>
      <c r="K195" s="307">
        <f t="shared" ca="1" si="73"/>
        <v>138.98339435151155</v>
      </c>
      <c r="L195" s="304">
        <f t="shared" ca="1" si="58"/>
        <v>141.89930740054839</v>
      </c>
      <c r="M195" s="306">
        <f t="shared" ca="1" si="74"/>
        <v>1.3550529578039971</v>
      </c>
      <c r="N195" s="304">
        <f t="shared" ca="1" si="75"/>
        <v>77.638815498887865</v>
      </c>
      <c r="P195" s="310">
        <f t="shared" ca="1" si="76"/>
        <v>5</v>
      </c>
      <c r="Q195" s="304">
        <f t="shared" ca="1" si="77"/>
        <v>599.86999999999978</v>
      </c>
      <c r="R195" s="306">
        <f t="shared" ca="1" si="78"/>
        <v>0.30104680402454354</v>
      </c>
      <c r="S195" s="307">
        <f t="shared" ca="1" si="79"/>
        <v>8.1411811301660997</v>
      </c>
      <c r="T195" s="304">
        <f t="shared" ca="1" si="59"/>
        <v>79.864986886929444</v>
      </c>
      <c r="U195" s="311">
        <f t="shared" ca="1" si="60"/>
        <v>0</v>
      </c>
      <c r="V195" s="306">
        <f t="shared" ca="1" si="61"/>
        <v>1.2080920305412881</v>
      </c>
      <c r="W195" s="304">
        <f t="shared" ca="1" si="62"/>
        <v>76.54645199590729</v>
      </c>
      <c r="Y195" s="314" t="str">
        <f t="shared" ca="1" si="80"/>
        <v/>
      </c>
      <c r="Z195" s="315" t="str">
        <f t="shared" ca="1" si="81"/>
        <v/>
      </c>
      <c r="AA195" s="316" t="str">
        <f t="shared" ca="1" si="82"/>
        <v/>
      </c>
      <c r="AC195" s="310" t="e">
        <f t="shared" ca="1" si="83"/>
        <v>#N/A</v>
      </c>
      <c r="AD195" s="323" t="e">
        <f t="shared" ca="1" si="84"/>
        <v>#N/A</v>
      </c>
      <c r="AE195" s="324">
        <f t="shared" ca="1" si="63"/>
        <v>138.98339435151155</v>
      </c>
      <c r="AG195" s="306">
        <f t="shared" ca="1" si="85"/>
        <v>54.770581284566717</v>
      </c>
      <c r="AH195" s="304">
        <f t="shared" ca="1" si="86"/>
        <v>64.353477164188106</v>
      </c>
    </row>
    <row r="196" spans="1:34" x14ac:dyDescent="0.2">
      <c r="A196" s="347">
        <f t="shared" ca="1" si="64"/>
        <v>0.01</v>
      </c>
      <c r="B196" s="304">
        <f t="shared" ca="1" si="65"/>
        <v>1.9200000000000015</v>
      </c>
      <c r="D196" s="306">
        <f t="shared" ca="1" si="66"/>
        <v>13.727546965415726</v>
      </c>
      <c r="E196" s="307">
        <f t="shared" ca="1" si="67"/>
        <v>52.828770227453262</v>
      </c>
      <c r="F196" s="304">
        <f t="shared" ca="1" si="68"/>
        <v>54.583188890286969</v>
      </c>
      <c r="G196" s="306">
        <f t="shared" ca="1" si="69"/>
        <v>29.990753157953911</v>
      </c>
      <c r="H196" s="307">
        <f t="shared" ca="1" si="70"/>
        <v>136.74964859937631</v>
      </c>
      <c r="I196" s="304">
        <f t="shared" ca="1" si="71"/>
        <v>139.99968452476679</v>
      </c>
      <c r="J196" s="306">
        <f t="shared" ca="1" si="72"/>
        <v>28.917913215322358</v>
      </c>
      <c r="K196" s="307">
        <f t="shared" ca="1" si="73"/>
        <v>140.34824939899394</v>
      </c>
      <c r="L196" s="304">
        <f t="shared" ref="L196:L259" ca="1" si="87">SQRT(pos_x^2+pos_z^2)</f>
        <v>143.29646476480542</v>
      </c>
      <c r="M196" s="306">
        <f t="shared" ca="1" si="74"/>
        <v>1.3549029530194139</v>
      </c>
      <c r="N196" s="304">
        <f t="shared" ca="1" si="75"/>
        <v>77.630220857824469</v>
      </c>
      <c r="P196" s="310">
        <f t="shared" ca="1" si="76"/>
        <v>5</v>
      </c>
      <c r="Q196" s="304">
        <f t="shared" ca="1" si="77"/>
        <v>598.40999999999974</v>
      </c>
      <c r="R196" s="306">
        <f t="shared" ca="1" si="78"/>
        <v>0.30031409804845566</v>
      </c>
      <c r="S196" s="307">
        <f t="shared" ca="1" si="79"/>
        <v>8.1381779891856159</v>
      </c>
      <c r="T196" s="304">
        <f t="shared" ref="T196:T259" ca="1" si="88">m*g</f>
        <v>79.835526073910899</v>
      </c>
      <c r="U196" s="311">
        <f t="shared" ref="U196:U259" ca="1" si="89">IF(pos_xz&lt;L_rampe,Poids*COS(Beta),0)</f>
        <v>0</v>
      </c>
      <c r="V196" s="306">
        <f t="shared" ref="V196:V259" ca="1" si="90">Rho_moyen*(20000-Alt_rampe-pos_z)/(20000+Alt_rampe+pos_z)</f>
        <v>1.2079271467022525</v>
      </c>
      <c r="W196" s="304">
        <f t="shared" ref="W196:W259" ca="1" si="91">1/2*Rho*Sref*Cx*vit_xz^2</f>
        <v>77.135866182529114</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140.34824939899394</v>
      </c>
      <c r="AG196" s="306">
        <f t="shared" ca="1" si="85"/>
        <v>54.542774480255702</v>
      </c>
      <c r="AH196" s="304">
        <f t="shared" ca="1" si="86"/>
        <v>64.125354434072179</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13.688035295433439</v>
      </c>
      <c r="E197" s="307">
        <f t="shared" ref="E197:E260" ca="1" si="96">IF(AND(L196&lt;L_rampe,Poussee&lt;Poids*SIN(M196)),0,(-W196+Poussee)/m*SIN(M196)+U196/m*COS(M196)-Poids/m)</f>
        <v>52.603704877896668</v>
      </c>
      <c r="F197" s="304">
        <f t="shared" ref="F197:F260" ca="1" si="97">SQRT(acc_x^2+acc_z^2)</f>
        <v>54.35542362202581</v>
      </c>
      <c r="G197" s="306">
        <f t="shared" ref="G197:G260" ca="1" si="98">G196+acc_x*pas</f>
        <v>30.127633510908247</v>
      </c>
      <c r="H197" s="307">
        <f t="shared" ref="H197:H260" ca="1" si="99">H196+acc_z*pas</f>
        <v>137.27568564815527</v>
      </c>
      <c r="I197" s="304">
        <f t="shared" ref="I197:I260" ca="1" si="100">SQRT(vit_x^2+vit_z^2)</f>
        <v>140.54283393734005</v>
      </c>
      <c r="J197" s="306">
        <f t="shared" ref="J197:J260" ca="1" si="101">J196+0.5*(vit_x+G196)*pas*(K196&gt;=0)</f>
        <v>29.218505148666669</v>
      </c>
      <c r="K197" s="307">
        <f t="shared" ref="K197:K260" ca="1" si="102">K196+0.5*(vit_z+H196)*pas</f>
        <v>141.71837607023161</v>
      </c>
      <c r="L197" s="304">
        <f t="shared" ca="1" si="87"/>
        <v>144.6990641265736</v>
      </c>
      <c r="M197" s="306">
        <f t="shared" ref="M197:M260" ca="1" si="103">IF(AND(L196&gt;L_rampe,G197&gt;0),ATAN2(G197,H197),$M$4)</f>
        <v>1.3547534256758862</v>
      </c>
      <c r="N197" s="304">
        <f t="shared" ref="N197:N260" ca="1" si="104">DEGREES(Beta)</f>
        <v>77.621653572118532</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8.1351821752648927</v>
      </c>
      <c r="T197" s="304">
        <f t="shared" ca="1" si="88"/>
        <v>79.806137139348607</v>
      </c>
      <c r="U197" s="311">
        <f t="shared" ca="1" si="89"/>
        <v>0</v>
      </c>
      <c r="V197" s="306">
        <f t="shared" ca="1" si="90"/>
        <v>1.2077616484904994</v>
      </c>
      <c r="W197" s="304">
        <f t="shared" ca="1" si="91"/>
        <v>77.724896576979262</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141.71837607023161</v>
      </c>
      <c r="AG197" s="306">
        <f t="shared" ref="AG197:AG260" ca="1" si="114">IF(AND(L196&lt;L_rampe,Poussee&lt;Poids*SIN(M196)),0,(-W196+Poussee)/m-Poids*SIN(M196)/m)</f>
        <v>54.314784141496894</v>
      </c>
      <c r="AH197" s="304">
        <f t="shared" ref="AH197:AH260" ca="1" si="115">IF(AND(L196&lt;L_rampe,Poussee&lt;Poids*SIN(M196)), g*SIN(M196), (-W196+Poussee)/m)</f>
        <v>63.89704896811913</v>
      </c>
    </row>
    <row r="198" spans="1:34" x14ac:dyDescent="0.2">
      <c r="A198" s="347">
        <f t="shared" ca="1" si="93"/>
        <v>0.01</v>
      </c>
      <c r="B198" s="304">
        <f t="shared" ca="1" si="94"/>
        <v>1.9400000000000015</v>
      </c>
      <c r="D198" s="306">
        <f t="shared" ca="1" si="95"/>
        <v>13.648388483274394</v>
      </c>
      <c r="E198" s="307">
        <f t="shared" ca="1" si="96"/>
        <v>52.37848507817619</v>
      </c>
      <c r="F198" s="304">
        <f t="shared" ca="1" si="97"/>
        <v>54.127481072696362</v>
      </c>
      <c r="G198" s="306">
        <f t="shared" ca="1" si="98"/>
        <v>30.264117395740989</v>
      </c>
      <c r="H198" s="307">
        <f t="shared" ca="1" si="99"/>
        <v>137.79947049893704</v>
      </c>
      <c r="I198" s="304">
        <f t="shared" ca="1" si="100"/>
        <v>141.08370165093703</v>
      </c>
      <c r="J198" s="306">
        <f t="shared" ca="1" si="101"/>
        <v>29.520463903199914</v>
      </c>
      <c r="K198" s="307">
        <f t="shared" ca="1" si="102"/>
        <v>143.09375185096707</v>
      </c>
      <c r="L198" s="304">
        <f t="shared" ca="1" si="87"/>
        <v>146.1070826751608</v>
      </c>
      <c r="M198" s="306">
        <f t="shared" ca="1" si="103"/>
        <v>1.3546043700143531</v>
      </c>
      <c r="N198" s="304">
        <f t="shared" ca="1" si="104"/>
        <v>77.613113311800163</v>
      </c>
      <c r="P198" s="310">
        <f t="shared" ca="1" si="105"/>
        <v>5</v>
      </c>
      <c r="Q198" s="304">
        <f t="shared" ca="1" si="106"/>
        <v>595.48999999999978</v>
      </c>
      <c r="R198" s="306">
        <f t="shared" ca="1" si="107"/>
        <v>0.2988486860962799</v>
      </c>
      <c r="S198" s="307">
        <f t="shared" ca="1" si="108"/>
        <v>8.1321936884039303</v>
      </c>
      <c r="T198" s="304">
        <f t="shared" ca="1" si="88"/>
        <v>79.776820083242555</v>
      </c>
      <c r="U198" s="311">
        <f t="shared" ca="1" si="89"/>
        <v>0</v>
      </c>
      <c r="V198" s="306">
        <f t="shared" ca="1" si="90"/>
        <v>1.2075955388802848</v>
      </c>
      <c r="W198" s="304">
        <f t="shared" ca="1" si="91"/>
        <v>78.313511309452238</v>
      </c>
      <c r="Y198" s="314" t="str">
        <f t="shared" ca="1" si="109"/>
        <v/>
      </c>
      <c r="Z198" s="315" t="str">
        <f t="shared" ca="1" si="110"/>
        <v/>
      </c>
      <c r="AA198" s="316" t="str">
        <f t="shared" ca="1" si="111"/>
        <v/>
      </c>
      <c r="AC198" s="310" t="e">
        <f t="shared" ca="1" si="112"/>
        <v>#N/A</v>
      </c>
      <c r="AD198" s="323" t="e">
        <f t="shared" ca="1" si="113"/>
        <v>#N/A</v>
      </c>
      <c r="AE198" s="324">
        <f t="shared" ca="1" si="92"/>
        <v>143.09375185096707</v>
      </c>
      <c r="AG198" s="306">
        <f t="shared" ca="1" si="114"/>
        <v>54.086614632703096</v>
      </c>
      <c r="AH198" s="304">
        <f t="shared" ca="1" si="115"/>
        <v>63.668565120543747</v>
      </c>
    </row>
    <row r="199" spans="1:34" x14ac:dyDescent="0.2">
      <c r="A199" s="347">
        <f t="shared" ca="1" si="93"/>
        <v>0.01</v>
      </c>
      <c r="B199" s="304">
        <f t="shared" ca="1" si="94"/>
        <v>1.9500000000000015</v>
      </c>
      <c r="D199" s="306">
        <f t="shared" ca="1" si="95"/>
        <v>13.60860806459177</v>
      </c>
      <c r="E199" s="307">
        <f t="shared" ca="1" si="96"/>
        <v>52.153114965718828</v>
      </c>
      <c r="F199" s="304">
        <f t="shared" ca="1" si="97"/>
        <v>53.899365618559528</v>
      </c>
      <c r="G199" s="306">
        <f t="shared" ca="1" si="98"/>
        <v>30.400203476386906</v>
      </c>
      <c r="H199" s="307">
        <f t="shared" ca="1" si="99"/>
        <v>138.32100164859423</v>
      </c>
      <c r="I199" s="304">
        <f t="shared" ca="1" si="100"/>
        <v>141.62228591742237</v>
      </c>
      <c r="J199" s="306">
        <f t="shared" ca="1" si="101"/>
        <v>29.823785507560554</v>
      </c>
      <c r="K199" s="307">
        <f t="shared" ca="1" si="102"/>
        <v>144.47435421170474</v>
      </c>
      <c r="L199" s="304">
        <f t="shared" ca="1" si="87"/>
        <v>147.52049758216688</v>
      </c>
      <c r="M199" s="306">
        <f t="shared" ca="1" si="103"/>
        <v>1.3544557803587747</v>
      </c>
      <c r="N199" s="304">
        <f t="shared" ca="1" si="104"/>
        <v>77.60459975165621</v>
      </c>
      <c r="P199" s="310">
        <f t="shared" ca="1" si="105"/>
        <v>5</v>
      </c>
      <c r="Q199" s="304">
        <f t="shared" ca="1" si="106"/>
        <v>594.02999999999975</v>
      </c>
      <c r="R199" s="306">
        <f t="shared" ca="1" si="107"/>
        <v>0.29811598012019203</v>
      </c>
      <c r="S199" s="307">
        <f t="shared" ca="1" si="108"/>
        <v>8.1292125286027286</v>
      </c>
      <c r="T199" s="304">
        <f t="shared" ca="1" si="88"/>
        <v>79.747574905592771</v>
      </c>
      <c r="U199" s="311">
        <f t="shared" ca="1" si="89"/>
        <v>0</v>
      </c>
      <c r="V199" s="306">
        <f t="shared" ca="1" si="90"/>
        <v>1.2074288208471091</v>
      </c>
      <c r="W199" s="304">
        <f t="shared" ca="1" si="91"/>
        <v>78.901678674727052</v>
      </c>
      <c r="Y199" s="314" t="str">
        <f t="shared" ca="1" si="109"/>
        <v/>
      </c>
      <c r="Z199" s="315" t="str">
        <f t="shared" ca="1" si="110"/>
        <v/>
      </c>
      <c r="AA199" s="316" t="str">
        <f t="shared" ca="1" si="111"/>
        <v/>
      </c>
      <c r="AC199" s="310" t="e">
        <f t="shared" ca="1" si="112"/>
        <v>#N/A</v>
      </c>
      <c r="AD199" s="323" t="e">
        <f t="shared" ca="1" si="113"/>
        <v>#N/A</v>
      </c>
      <c r="AE199" s="324">
        <f t="shared" ca="1" si="92"/>
        <v>144.47435421170474</v>
      </c>
      <c r="AG199" s="306">
        <f t="shared" ca="1" si="114"/>
        <v>53.858270305421982</v>
      </c>
      <c r="AH199" s="304">
        <f t="shared" ca="1" si="115"/>
        <v>63.439907232833818</v>
      </c>
    </row>
    <row r="200" spans="1:34" x14ac:dyDescent="0.2">
      <c r="A200" s="347">
        <f t="shared" ca="1" si="93"/>
        <v>0.01</v>
      </c>
      <c r="B200" s="304">
        <f t="shared" ca="1" si="94"/>
        <v>1.9600000000000015</v>
      </c>
      <c r="D200" s="306">
        <f t="shared" ca="1" si="95"/>
        <v>13.568695564921873</v>
      </c>
      <c r="E200" s="307">
        <f t="shared" ca="1" si="96"/>
        <v>51.927598666490752</v>
      </c>
      <c r="F200" s="304">
        <f t="shared" ca="1" si="97"/>
        <v>53.671081623176391</v>
      </c>
      <c r="G200" s="306">
        <f t="shared" ca="1" si="98"/>
        <v>30.535890432036126</v>
      </c>
      <c r="H200" s="307">
        <f t="shared" ca="1" si="99"/>
        <v>138.84027763525913</v>
      </c>
      <c r="I200" s="304">
        <f t="shared" ca="1" si="100"/>
        <v>142.15858503204493</v>
      </c>
      <c r="J200" s="306">
        <f t="shared" ca="1" si="101"/>
        <v>30.128465977102671</v>
      </c>
      <c r="K200" s="307">
        <f t="shared" ca="1" si="102"/>
        <v>145.860160608124</v>
      </c>
      <c r="L200" s="304">
        <f t="shared" ca="1" si="87"/>
        <v>148.93928600191813</v>
      </c>
      <c r="M200" s="306">
        <f t="shared" ca="1" si="103"/>
        <v>1.3543076511144487</v>
      </c>
      <c r="N200" s="304">
        <f t="shared" ca="1" si="104"/>
        <v>77.596112571133872</v>
      </c>
      <c r="P200" s="310">
        <f t="shared" ca="1" si="105"/>
        <v>5</v>
      </c>
      <c r="Q200" s="304">
        <f t="shared" ca="1" si="106"/>
        <v>592.56999999999971</v>
      </c>
      <c r="R200" s="306">
        <f t="shared" ca="1" si="107"/>
        <v>0.29738327414410415</v>
      </c>
      <c r="S200" s="307">
        <f t="shared" ca="1" si="108"/>
        <v>8.1262386958612876</v>
      </c>
      <c r="T200" s="304">
        <f t="shared" ca="1" si="88"/>
        <v>79.71840160639924</v>
      </c>
      <c r="U200" s="311">
        <f t="shared" ca="1" si="89"/>
        <v>0</v>
      </c>
      <c r="V200" s="306">
        <f t="shared" ca="1" si="90"/>
        <v>1.2072614973676499</v>
      </c>
      <c r="W200" s="304">
        <f t="shared" ca="1" si="91"/>
        <v>79.48936713331419</v>
      </c>
      <c r="Y200" s="314" t="str">
        <f t="shared" ca="1" si="109"/>
        <v/>
      </c>
      <c r="Z200" s="315" t="str">
        <f t="shared" ca="1" si="110"/>
        <v/>
      </c>
      <c r="AA200" s="316" t="str">
        <f t="shared" ca="1" si="111"/>
        <v/>
      </c>
      <c r="AC200" s="310" t="e">
        <f t="shared" ca="1" si="112"/>
        <v>#N/A</v>
      </c>
      <c r="AD200" s="323" t="e">
        <f t="shared" ca="1" si="113"/>
        <v>#N/A</v>
      </c>
      <c r="AE200" s="324">
        <f t="shared" ca="1" si="92"/>
        <v>145.860160608124</v>
      </c>
      <c r="AG200" s="306">
        <f t="shared" ca="1" si="114"/>
        <v>53.629755498132539</v>
      </c>
      <c r="AH200" s="304">
        <f t="shared" ca="1" si="115"/>
        <v>63.211079633543768</v>
      </c>
    </row>
    <row r="201" spans="1:34" x14ac:dyDescent="0.2">
      <c r="A201" s="347">
        <f t="shared" ca="1" si="93"/>
        <v>0.01</v>
      </c>
      <c r="B201" s="304">
        <f t="shared" ca="1" si="94"/>
        <v>1.9700000000000015</v>
      </c>
      <c r="D201" s="306">
        <f t="shared" ca="1" si="95"/>
        <v>13.528652499799589</v>
      </c>
      <c r="E201" s="307">
        <f t="shared" ca="1" si="96"/>
        <v>51.701940294772371</v>
      </c>
      <c r="F201" s="304">
        <f t="shared" ca="1" si="97"/>
        <v>53.442633437215093</v>
      </c>
      <c r="G201" s="306">
        <f t="shared" ca="1" si="98"/>
        <v>30.67117695703412</v>
      </c>
      <c r="H201" s="307">
        <f t="shared" ca="1" si="99"/>
        <v>139.35729703820684</v>
      </c>
      <c r="I201" s="304">
        <f t="shared" ca="1" si="100"/>
        <v>142.69259733330497</v>
      </c>
      <c r="J201" s="306">
        <f t="shared" ca="1" si="101"/>
        <v>30.434501314048021</v>
      </c>
      <c r="K201" s="307">
        <f t="shared" ca="1" si="102"/>
        <v>147.25114848149133</v>
      </c>
      <c r="L201" s="304">
        <f t="shared" ca="1" si="87"/>
        <v>150.36342507190037</v>
      </c>
      <c r="M201" s="306">
        <f t="shared" ca="1" si="103"/>
        <v>1.3541599767663706</v>
      </c>
      <c r="N201" s="304">
        <f t="shared" ca="1" si="104"/>
        <v>77.587651454246654</v>
      </c>
      <c r="P201" s="310">
        <f t="shared" ca="1" si="105"/>
        <v>5</v>
      </c>
      <c r="Q201" s="304">
        <f t="shared" ca="1" si="106"/>
        <v>591.10999999999979</v>
      </c>
      <c r="R201" s="306">
        <f t="shared" ca="1" si="107"/>
        <v>0.29665056816801633</v>
      </c>
      <c r="S201" s="307">
        <f t="shared" ca="1" si="108"/>
        <v>8.1232721901796072</v>
      </c>
      <c r="T201" s="304">
        <f t="shared" ca="1" si="88"/>
        <v>79.689300185661949</v>
      </c>
      <c r="U201" s="311">
        <f t="shared" ca="1" si="89"/>
        <v>0</v>
      </c>
      <c r="V201" s="306">
        <f t="shared" ca="1" si="90"/>
        <v>1.2070935714197002</v>
      </c>
      <c r="W201" s="304">
        <f t="shared" ca="1" si="91"/>
        <v>80.076545312581942</v>
      </c>
      <c r="Y201" s="314" t="str">
        <f t="shared" ca="1" si="109"/>
        <v/>
      </c>
      <c r="Z201" s="315" t="str">
        <f t="shared" ca="1" si="110"/>
        <v/>
      </c>
      <c r="AA201" s="316" t="str">
        <f t="shared" ca="1" si="111"/>
        <v/>
      </c>
      <c r="AC201" s="310" t="e">
        <f t="shared" ca="1" si="112"/>
        <v>#N/A</v>
      </c>
      <c r="AD201" s="323" t="e">
        <f t="shared" ca="1" si="113"/>
        <v>#N/A</v>
      </c>
      <c r="AE201" s="324">
        <f t="shared" ca="1" si="92"/>
        <v>147.25114848149133</v>
      </c>
      <c r="AG201" s="306">
        <f t="shared" ca="1" si="114"/>
        <v>53.401074536043851</v>
      </c>
      <c r="AH201" s="304">
        <f t="shared" ca="1" si="115"/>
        <v>62.982086638090792</v>
      </c>
    </row>
    <row r="202" spans="1:34" x14ac:dyDescent="0.2">
      <c r="A202" s="347">
        <f t="shared" ca="1" si="93"/>
        <v>0.01</v>
      </c>
      <c r="B202" s="304">
        <f t="shared" ca="1" si="94"/>
        <v>1.9800000000000015</v>
      </c>
      <c r="D202" s="306">
        <f t="shared" ca="1" si="95"/>
        <v>13.488480374869916</v>
      </c>
      <c r="E202" s="307">
        <f t="shared" ca="1" si="96"/>
        <v>51.476143952936091</v>
      </c>
      <c r="F202" s="304">
        <f t="shared" ca="1" si="97"/>
        <v>53.214025398259899</v>
      </c>
      <c r="G202" s="306">
        <f t="shared" ca="1" si="98"/>
        <v>30.806061760782818</v>
      </c>
      <c r="H202" s="307">
        <f t="shared" ca="1" si="99"/>
        <v>139.8720584777362</v>
      </c>
      <c r="I202" s="304">
        <f t="shared" ca="1" si="100"/>
        <v>143.22432120281954</v>
      </c>
      <c r="J202" s="306">
        <f t="shared" ca="1" si="101"/>
        <v>30.741887507637106</v>
      </c>
      <c r="K202" s="307">
        <f t="shared" ca="1" si="102"/>
        <v>148.64729525907103</v>
      </c>
      <c r="L202" s="304">
        <f t="shared" ca="1" si="87"/>
        <v>151.79289191319089</v>
      </c>
      <c r="M202" s="306">
        <f t="shared" ca="1" si="103"/>
        <v>1.3540127518776324</v>
      </c>
      <c r="N202" s="304">
        <f t="shared" ca="1" si="104"/>
        <v>77.579216089482671</v>
      </c>
      <c r="P202" s="310">
        <f t="shared" ca="1" si="105"/>
        <v>5</v>
      </c>
      <c r="Q202" s="304">
        <f t="shared" ca="1" si="106"/>
        <v>589.64999999999975</v>
      </c>
      <c r="R202" s="306">
        <f t="shared" ca="1" si="107"/>
        <v>0.29591786219192839</v>
      </c>
      <c r="S202" s="307">
        <f t="shared" ca="1" si="108"/>
        <v>8.1203130115576876</v>
      </c>
      <c r="T202" s="304">
        <f t="shared" ca="1" si="88"/>
        <v>79.660270643380926</v>
      </c>
      <c r="U202" s="311">
        <f t="shared" ca="1" si="89"/>
        <v>0</v>
      </c>
      <c r="V202" s="306">
        <f t="shared" ca="1" si="90"/>
        <v>1.2069250459820986</v>
      </c>
      <c r="W202" s="304">
        <f t="shared" ca="1" si="91"/>
        <v>80.663182007861181</v>
      </c>
      <c r="Y202" s="314" t="str">
        <f t="shared" ca="1" si="109"/>
        <v/>
      </c>
      <c r="Z202" s="315" t="str">
        <f t="shared" ca="1" si="110"/>
        <v/>
      </c>
      <c r="AA202" s="316" t="str">
        <f t="shared" ca="1" si="111"/>
        <v/>
      </c>
      <c r="AC202" s="310" t="e">
        <f t="shared" ca="1" si="112"/>
        <v>#N/A</v>
      </c>
      <c r="AD202" s="323" t="e">
        <f t="shared" ca="1" si="113"/>
        <v>#N/A</v>
      </c>
      <c r="AE202" s="324">
        <f t="shared" ca="1" si="92"/>
        <v>148.64729525907103</v>
      </c>
      <c r="AG202" s="306">
        <f t="shared" ca="1" si="114"/>
        <v>53.172231730896016</v>
      </c>
      <c r="AH202" s="304">
        <f t="shared" ca="1" si="115"/>
        <v>62.752932548553112</v>
      </c>
    </row>
    <row r="203" spans="1:34" x14ac:dyDescent="0.2">
      <c r="A203" s="347">
        <f t="shared" ca="1" si="93"/>
        <v>0.01</v>
      </c>
      <c r="B203" s="304">
        <f t="shared" ca="1" si="94"/>
        <v>1.9900000000000015</v>
      </c>
      <c r="D203" s="306">
        <f t="shared" ca="1" si="95"/>
        <v>13.448180685995943</v>
      </c>
      <c r="E203" s="307">
        <f t="shared" ca="1" si="96"/>
        <v>51.250213731227277</v>
      </c>
      <c r="F203" s="304">
        <f t="shared" ca="1" si="97"/>
        <v>52.985261830622967</v>
      </c>
      <c r="G203" s="306">
        <f t="shared" ca="1" si="98"/>
        <v>30.940543567642777</v>
      </c>
      <c r="H203" s="307">
        <f t="shared" ca="1" si="99"/>
        <v>140.38456061504849</v>
      </c>
      <c r="I203" s="304">
        <f t="shared" ca="1" si="100"/>
        <v>143.75375506518577</v>
      </c>
      <c r="J203" s="306">
        <f t="shared" ca="1" si="101"/>
        <v>31.050620534279233</v>
      </c>
      <c r="K203" s="307">
        <f t="shared" ca="1" si="102"/>
        <v>150.04857835453495</v>
      </c>
      <c r="L203" s="304">
        <f t="shared" ca="1" si="87"/>
        <v>153.22766363088886</v>
      </c>
      <c r="M203" s="306">
        <f t="shared" ca="1" si="103"/>
        <v>1.3538659710878627</v>
      </c>
      <c r="N203" s="304">
        <f t="shared" ca="1" si="104"/>
        <v>77.570806169715269</v>
      </c>
      <c r="P203" s="310">
        <f t="shared" ca="1" si="105"/>
        <v>5</v>
      </c>
      <c r="Q203" s="304">
        <f t="shared" ca="1" si="106"/>
        <v>588.18999999999971</v>
      </c>
      <c r="R203" s="306">
        <f t="shared" ca="1" si="107"/>
        <v>0.29518515621584052</v>
      </c>
      <c r="S203" s="307">
        <f t="shared" ca="1" si="108"/>
        <v>8.1173611599955287</v>
      </c>
      <c r="T203" s="304">
        <f t="shared" ca="1" si="88"/>
        <v>79.631312979556142</v>
      </c>
      <c r="U203" s="311">
        <f t="shared" ca="1" si="89"/>
        <v>0</v>
      </c>
      <c r="V203" s="306">
        <f t="shared" ca="1" si="90"/>
        <v>1.2067559240346692</v>
      </c>
      <c r="W203" s="304">
        <f t="shared" ca="1" si="91"/>
        <v>81.249246183530673</v>
      </c>
      <c r="Y203" s="314" t="str">
        <f t="shared" ca="1" si="109"/>
        <v/>
      </c>
      <c r="Z203" s="315" t="str">
        <f t="shared" ca="1" si="110"/>
        <v/>
      </c>
      <c r="AA203" s="316" t="str">
        <f t="shared" ca="1" si="111"/>
        <v/>
      </c>
      <c r="AC203" s="310" t="e">
        <f t="shared" ca="1" si="112"/>
        <v>#N/A</v>
      </c>
      <c r="AD203" s="323" t="e">
        <f t="shared" ca="1" si="113"/>
        <v>#N/A</v>
      </c>
      <c r="AE203" s="324">
        <f t="shared" ca="1" si="92"/>
        <v>150.04857835453495</v>
      </c>
      <c r="AG203" s="306">
        <f t="shared" ca="1" si="114"/>
        <v>52.94323138076345</v>
      </c>
      <c r="AH203" s="304">
        <f t="shared" ca="1" si="115"/>
        <v>62.523621653470705</v>
      </c>
    </row>
    <row r="204" spans="1:34" x14ac:dyDescent="0.2">
      <c r="A204" s="347">
        <f t="shared" ca="1" si="93"/>
        <v>0.01</v>
      </c>
      <c r="B204" s="304">
        <f t="shared" ca="1" si="94"/>
        <v>2.0000000000000013</v>
      </c>
      <c r="D204" s="306">
        <f t="shared" ca="1" si="95"/>
        <v>13.407754919363221</v>
      </c>
      <c r="E204" s="307">
        <f t="shared" ca="1" si="96"/>
        <v>51.024153707547796</v>
      </c>
      <c r="F204" s="304">
        <f t="shared" ca="1" si="97"/>
        <v>52.756347045158194</v>
      </c>
      <c r="G204" s="306">
        <f t="shared" ca="1" si="98"/>
        <v>31.074621116836408</v>
      </c>
      <c r="H204" s="307">
        <f t="shared" ca="1" si="99"/>
        <v>140.89480215212396</v>
      </c>
      <c r="I204" s="304">
        <f t="shared" ca="1" si="100"/>
        <v>144.28089738784234</v>
      </c>
      <c r="J204" s="306">
        <f t="shared" ca="1" si="101"/>
        <v>31.360696357701627</v>
      </c>
      <c r="K204" s="307">
        <f t="shared" ca="1" si="102"/>
        <v>151.45497516837082</v>
      </c>
      <c r="L204" s="304">
        <f t="shared" ca="1" si="87"/>
        <v>154.66771731454429</v>
      </c>
      <c r="M204" s="306">
        <f t="shared" ca="1" si="103"/>
        <v>1.3537196291117048</v>
      </c>
      <c r="N204" s="304">
        <f t="shared" ca="1" si="104"/>
        <v>77.562421392115823</v>
      </c>
      <c r="P204" s="310">
        <f t="shared" ca="1" si="105"/>
        <v>5</v>
      </c>
      <c r="Q204" s="304">
        <f t="shared" ca="1" si="106"/>
        <v>586.72999999999979</v>
      </c>
      <c r="R204" s="306">
        <f t="shared" ca="1" si="107"/>
        <v>0.29445245023975269</v>
      </c>
      <c r="S204" s="307">
        <f t="shared" ca="1" si="108"/>
        <v>8.1144166354931304</v>
      </c>
      <c r="T204" s="304">
        <f t="shared" ca="1" si="88"/>
        <v>79.602427194187612</v>
      </c>
      <c r="U204" s="311">
        <f t="shared" ca="1" si="89"/>
        <v>0</v>
      </c>
      <c r="V204" s="306">
        <f t="shared" ca="1" si="90"/>
        <v>1.2065862085581538</v>
      </c>
      <c r="W204" s="304">
        <f t="shared" ca="1" si="91"/>
        <v>81.834706974080476</v>
      </c>
      <c r="Y204" s="314" t="str">
        <f t="shared" ca="1" si="109"/>
        <v/>
      </c>
      <c r="Z204" s="315" t="str">
        <f t="shared" ca="1" si="110"/>
        <v/>
      </c>
      <c r="AA204" s="316" t="str">
        <f t="shared" ca="1" si="111"/>
        <v/>
      </c>
      <c r="AC204" s="310">
        <f t="shared" ca="1" si="112"/>
        <v>2.0000000000000013</v>
      </c>
      <c r="AD204" s="323">
        <f t="shared" ca="1" si="113"/>
        <v>31.360696357701627</v>
      </c>
      <c r="AE204" s="324">
        <f t="shared" ca="1" si="92"/>
        <v>151.45497516837082</v>
      </c>
      <c r="AG204" s="306">
        <f t="shared" ca="1" si="114"/>
        <v>52.71407776986014</v>
      </c>
      <c r="AH204" s="304">
        <f t="shared" ca="1" si="115"/>
        <v>62.294158227648118</v>
      </c>
    </row>
    <row r="205" spans="1:34" x14ac:dyDescent="0.2">
      <c r="A205" s="347">
        <f t="shared" ca="1" si="93"/>
        <v>0.01</v>
      </c>
      <c r="B205" s="304">
        <f t="shared" ca="1" si="94"/>
        <v>2.0100000000000011</v>
      </c>
      <c r="D205" s="306">
        <f t="shared" ca="1" si="95"/>
        <v>13.367204551580675</v>
      </c>
      <c r="E205" s="307">
        <f t="shared" ca="1" si="96"/>
        <v>50.797967947242661</v>
      </c>
      <c r="F205" s="304">
        <f t="shared" ca="1" si="97"/>
        <v>52.527285339077743</v>
      </c>
      <c r="G205" s="306">
        <f t="shared" ca="1" si="98"/>
        <v>31.208293162352213</v>
      </c>
      <c r="H205" s="307">
        <f t="shared" ca="1" si="99"/>
        <v>141.40278183159637</v>
      </c>
      <c r="I205" s="304">
        <f t="shared" ca="1" si="100"/>
        <v>144.80574668092893</v>
      </c>
      <c r="J205" s="306">
        <f t="shared" ca="1" si="101"/>
        <v>31.67211092909757</v>
      </c>
      <c r="K205" s="307">
        <f t="shared" ca="1" si="102"/>
        <v>152.86646308828944</v>
      </c>
      <c r="L205" s="304">
        <f t="shared" ca="1" si="87"/>
        <v>156.11303003858586</v>
      </c>
      <c r="M205" s="306">
        <f t="shared" ca="1" si="103"/>
        <v>1.3535737207373315</v>
      </c>
      <c r="N205" s="304">
        <f t="shared" ca="1" si="104"/>
        <v>77.554061458068617</v>
      </c>
      <c r="P205" s="310">
        <f t="shared" ca="1" si="105"/>
        <v>6</v>
      </c>
      <c r="Q205" s="304">
        <f t="shared" ca="1" si="106"/>
        <v>585.26999999999987</v>
      </c>
      <c r="R205" s="306">
        <f t="shared" ca="1" si="107"/>
        <v>0.29371974426366482</v>
      </c>
      <c r="S205" s="307">
        <f t="shared" ca="1" si="108"/>
        <v>8.1114794380504947</v>
      </c>
      <c r="T205" s="304">
        <f t="shared" ca="1" si="88"/>
        <v>79.57361328727535</v>
      </c>
      <c r="U205" s="311">
        <f t="shared" ca="1" si="89"/>
        <v>0</v>
      </c>
      <c r="V205" s="306">
        <f t="shared" ca="1" si="90"/>
        <v>1.2064159025341494</v>
      </c>
      <c r="W205" s="304">
        <f t="shared" ca="1" si="91"/>
        <v>82.419533685155713</v>
      </c>
      <c r="Y205" s="314" t="str">
        <f t="shared" ca="1" si="109"/>
        <v/>
      </c>
      <c r="Z205" s="315" t="str">
        <f t="shared" ca="1" si="110"/>
        <v/>
      </c>
      <c r="AA205" s="316" t="str">
        <f t="shared" ca="1" si="111"/>
        <v/>
      </c>
      <c r="AC205" s="310" t="e">
        <f t="shared" ca="1" si="112"/>
        <v>#N/A</v>
      </c>
      <c r="AD205" s="323" t="e">
        <f t="shared" ca="1" si="113"/>
        <v>#N/A</v>
      </c>
      <c r="AE205" s="324">
        <f t="shared" ca="1" si="92"/>
        <v>152.86646308828944</v>
      </c>
      <c r="AG205" s="306">
        <f t="shared" ca="1" si="114"/>
        <v>52.484775168347426</v>
      </c>
      <c r="AH205" s="304">
        <f t="shared" ca="1" si="115"/>
        <v>62.064546531959721</v>
      </c>
    </row>
    <row r="206" spans="1:34" x14ac:dyDescent="0.2">
      <c r="A206" s="347">
        <f t="shared" ca="1" si="93"/>
        <v>0.01</v>
      </c>
      <c r="B206" s="304">
        <f t="shared" ca="1" si="94"/>
        <v>2.0200000000000009</v>
      </c>
      <c r="D206" s="306">
        <f t="shared" ca="1" si="95"/>
        <v>13.326531049778341</v>
      </c>
      <c r="E206" s="307">
        <f t="shared" ca="1" si="96"/>
        <v>50.571660502889564</v>
      </c>
      <c r="F206" s="304">
        <f t="shared" ca="1" si="97"/>
        <v>52.298080995771031</v>
      </c>
      <c r="G206" s="306">
        <f t="shared" ca="1" si="98"/>
        <v>31.341558472849997</v>
      </c>
      <c r="H206" s="307">
        <f t="shared" ca="1" si="99"/>
        <v>141.90849843662528</v>
      </c>
      <c r="I206" s="304">
        <f t="shared" ca="1" si="100"/>
        <v>145.32830149714388</v>
      </c>
      <c r="J206" s="306">
        <f t="shared" ca="1" si="101"/>
        <v>31.984860187273583</v>
      </c>
      <c r="K206" s="307">
        <f t="shared" ca="1" si="102"/>
        <v>154.28301948963053</v>
      </c>
      <c r="L206" s="304">
        <f t="shared" ca="1" si="87"/>
        <v>157.56357886274719</v>
      </c>
      <c r="M206" s="306">
        <f t="shared" ca="1" si="103"/>
        <v>1.3534282408249978</v>
      </c>
      <c r="N206" s="304">
        <f t="shared" ca="1" si="104"/>
        <v>77.545726073087963</v>
      </c>
      <c r="P206" s="310">
        <f t="shared" ca="1" si="105"/>
        <v>6</v>
      </c>
      <c r="Q206" s="304">
        <f t="shared" ca="1" si="106"/>
        <v>583.80999999999983</v>
      </c>
      <c r="R206" s="306">
        <f t="shared" ca="1" si="107"/>
        <v>0.29298703828757694</v>
      </c>
      <c r="S206" s="307">
        <f t="shared" ca="1" si="108"/>
        <v>8.1085495676676196</v>
      </c>
      <c r="T206" s="304">
        <f t="shared" ca="1" si="88"/>
        <v>79.544871258819356</v>
      </c>
      <c r="U206" s="311">
        <f t="shared" ca="1" si="89"/>
        <v>0</v>
      </c>
      <c r="V206" s="306">
        <f t="shared" ca="1" si="90"/>
        <v>1.2062450089450434</v>
      </c>
      <c r="W206" s="304">
        <f t="shared" ca="1" si="91"/>
        <v>83.003695794579031</v>
      </c>
      <c r="Y206" s="314" t="str">
        <f t="shared" ca="1" si="109"/>
        <v/>
      </c>
      <c r="Z206" s="315" t="str">
        <f t="shared" ca="1" si="110"/>
        <v/>
      </c>
      <c r="AA206" s="316" t="str">
        <f t="shared" ca="1" si="111"/>
        <v/>
      </c>
      <c r="AC206" s="310" t="e">
        <f t="shared" ca="1" si="112"/>
        <v>#N/A</v>
      </c>
      <c r="AD206" s="323" t="e">
        <f t="shared" ca="1" si="113"/>
        <v>#N/A</v>
      </c>
      <c r="AE206" s="324">
        <f t="shared" ca="1" si="92"/>
        <v>154.28301948963053</v>
      </c>
      <c r="AG206" s="306">
        <f t="shared" ca="1" si="114"/>
        <v>52.255327832143891</v>
      </c>
      <c r="AH206" s="304">
        <f t="shared" ca="1" si="115"/>
        <v>61.834790813157277</v>
      </c>
    </row>
    <row r="207" spans="1:34" x14ac:dyDescent="0.2">
      <c r="A207" s="347">
        <f t="shared" ca="1" si="93"/>
        <v>0.01</v>
      </c>
      <c r="B207" s="304">
        <f t="shared" ca="1" si="94"/>
        <v>2.0300000000000007</v>
      </c>
      <c r="D207" s="306">
        <f t="shared" ca="1" si="95"/>
        <v>13.285735871701686</v>
      </c>
      <c r="E207" s="307">
        <f t="shared" ca="1" si="96"/>
        <v>50.345235414091171</v>
      </c>
      <c r="F207" s="304">
        <f t="shared" ca="1" si="97"/>
        <v>52.068738284626036</v>
      </c>
      <c r="G207" s="306">
        <f t="shared" ca="1" si="98"/>
        <v>31.474415831567015</v>
      </c>
      <c r="H207" s="307">
        <f t="shared" ca="1" si="99"/>
        <v>142.41195079076618</v>
      </c>
      <c r="I207" s="304">
        <f t="shared" ca="1" si="100"/>
        <v>145.84856043159976</v>
      </c>
      <c r="J207" s="306">
        <f t="shared" ca="1" si="101"/>
        <v>32.298940058795665</v>
      </c>
      <c r="K207" s="307">
        <f t="shared" ca="1" si="102"/>
        <v>155.70462173576749</v>
      </c>
      <c r="L207" s="304">
        <f t="shared" ca="1" si="87"/>
        <v>159.01934083249157</v>
      </c>
      <c r="M207" s="306">
        <f t="shared" ca="1" si="103"/>
        <v>1.3532831843056259</v>
      </c>
      <c r="N207" s="304">
        <f t="shared" ca="1" si="104"/>
        <v>77.537414946737087</v>
      </c>
      <c r="P207" s="310">
        <f t="shared" ca="1" si="105"/>
        <v>6</v>
      </c>
      <c r="Q207" s="304">
        <f t="shared" ca="1" si="106"/>
        <v>582.34999999999991</v>
      </c>
      <c r="R207" s="306">
        <f t="shared" ca="1" si="107"/>
        <v>0.29225433231148912</v>
      </c>
      <c r="S207" s="307">
        <f t="shared" ca="1" si="108"/>
        <v>8.1056270243445052</v>
      </c>
      <c r="T207" s="304">
        <f t="shared" ca="1" si="88"/>
        <v>79.516201108819601</v>
      </c>
      <c r="U207" s="311">
        <f t="shared" ca="1" si="89"/>
        <v>0</v>
      </c>
      <c r="V207" s="306">
        <f t="shared" ca="1" si="90"/>
        <v>1.2060735307739505</v>
      </c>
      <c r="W207" s="304">
        <f t="shared" ca="1" si="91"/>
        <v>83.587162953352703</v>
      </c>
      <c r="Y207" s="314" t="str">
        <f t="shared" ca="1" si="109"/>
        <v/>
      </c>
      <c r="Z207" s="315" t="str">
        <f t="shared" ca="1" si="110"/>
        <v/>
      </c>
      <c r="AA207" s="316" t="str">
        <f t="shared" ca="1" si="111"/>
        <v/>
      </c>
      <c r="AC207" s="310" t="e">
        <f t="shared" ca="1" si="112"/>
        <v>#N/A</v>
      </c>
      <c r="AD207" s="323" t="e">
        <f t="shared" ca="1" si="113"/>
        <v>#N/A</v>
      </c>
      <c r="AE207" s="324">
        <f t="shared" ca="1" si="92"/>
        <v>155.70462173576749</v>
      </c>
      <c r="AG207" s="306">
        <f t="shared" ca="1" si="114"/>
        <v>52.025740002737592</v>
      </c>
      <c r="AH207" s="304">
        <f t="shared" ca="1" si="115"/>
        <v>61.604895303679804</v>
      </c>
    </row>
    <row r="208" spans="1:34" x14ac:dyDescent="0.2">
      <c r="A208" s="347">
        <f t="shared" ca="1" si="93"/>
        <v>0.01</v>
      </c>
      <c r="B208" s="304">
        <f t="shared" ca="1" si="94"/>
        <v>2.0400000000000005</v>
      </c>
      <c r="D208" s="306">
        <f t="shared" ca="1" si="95"/>
        <v>13.244820465803111</v>
      </c>
      <c r="E208" s="307">
        <f t="shared" ca="1" si="96"/>
        <v>50.118696707270274</v>
      </c>
      <c r="F208" s="304">
        <f t="shared" ca="1" si="97"/>
        <v>51.839261460853209</v>
      </c>
      <c r="G208" s="306">
        <f t="shared" ca="1" si="98"/>
        <v>31.606864036225048</v>
      </c>
      <c r="H208" s="307">
        <f t="shared" ca="1" si="99"/>
        <v>142.91313775783888</v>
      </c>
      <c r="I208" s="304">
        <f t="shared" ca="1" si="100"/>
        <v>146.36652212167729</v>
      </c>
      <c r="J208" s="306">
        <f t="shared" ca="1" si="101"/>
        <v>32.614346458134627</v>
      </c>
      <c r="K208" s="307">
        <f t="shared" ca="1" si="102"/>
        <v>157.13124717851051</v>
      </c>
      <c r="L208" s="304">
        <f t="shared" ca="1" si="87"/>
        <v>160.48029297943535</v>
      </c>
      <c r="M208" s="306">
        <f t="shared" ca="1" si="103"/>
        <v>1.3531385461794274</v>
      </c>
      <c r="N208" s="304">
        <f t="shared" ca="1" si="104"/>
        <v>77.529127792549232</v>
      </c>
      <c r="P208" s="310">
        <f t="shared" ca="1" si="105"/>
        <v>6</v>
      </c>
      <c r="Q208" s="304">
        <f t="shared" ca="1" si="106"/>
        <v>580.88999999999987</v>
      </c>
      <c r="R208" s="306">
        <f t="shared" ca="1" si="107"/>
        <v>0.29152162633540124</v>
      </c>
      <c r="S208" s="307">
        <f t="shared" ca="1" si="108"/>
        <v>8.1027118080811515</v>
      </c>
      <c r="T208" s="304">
        <f t="shared" ca="1" si="88"/>
        <v>79.4876028372761</v>
      </c>
      <c r="U208" s="311">
        <f t="shared" ca="1" si="89"/>
        <v>0</v>
      </c>
      <c r="V208" s="306">
        <f t="shared" ca="1" si="90"/>
        <v>1.2059014710046483</v>
      </c>
      <c r="W208" s="304">
        <f t="shared" ca="1" si="91"/>
        <v>84.169904986640034</v>
      </c>
      <c r="Y208" s="314" t="str">
        <f t="shared" ca="1" si="109"/>
        <v/>
      </c>
      <c r="Z208" s="315" t="str">
        <f t="shared" ca="1" si="110"/>
        <v/>
      </c>
      <c r="AA208" s="316" t="str">
        <f t="shared" ca="1" si="111"/>
        <v/>
      </c>
      <c r="AC208" s="310" t="e">
        <f t="shared" ca="1" si="112"/>
        <v>#N/A</v>
      </c>
      <c r="AD208" s="323" t="e">
        <f t="shared" ca="1" si="113"/>
        <v>#N/A</v>
      </c>
      <c r="AE208" s="324">
        <f t="shared" ca="1" si="92"/>
        <v>157.13124717851051</v>
      </c>
      <c r="AG208" s="306">
        <f t="shared" ca="1" si="114"/>
        <v>51.796015907000374</v>
      </c>
      <c r="AH208" s="304">
        <f t="shared" ca="1" si="115"/>
        <v>61.37486422146565</v>
      </c>
    </row>
    <row r="209" spans="1:34" x14ac:dyDescent="0.2">
      <c r="A209" s="347">
        <f t="shared" ca="1" si="93"/>
        <v>0.01</v>
      </c>
      <c r="B209" s="304">
        <f t="shared" ca="1" si="94"/>
        <v>2.0500000000000003</v>
      </c>
      <c r="D209" s="306">
        <f t="shared" ca="1" si="95"/>
        <v>13.203786271330264</v>
      </c>
      <c r="E209" s="307">
        <f t="shared" ca="1" si="96"/>
        <v>49.892048395467981</v>
      </c>
      <c r="F209" s="304">
        <f t="shared" ca="1" si="97"/>
        <v>51.609654765311973</v>
      </c>
      <c r="G209" s="306">
        <f t="shared" ca="1" si="98"/>
        <v>31.738901898938352</v>
      </c>
      <c r="H209" s="307">
        <f t="shared" ca="1" si="99"/>
        <v>143.41205824179357</v>
      </c>
      <c r="I209" s="304">
        <f t="shared" ca="1" si="100"/>
        <v>146.88218524687744</v>
      </c>
      <c r="J209" s="306">
        <f t="shared" ca="1" si="101"/>
        <v>32.931075287810444</v>
      </c>
      <c r="K209" s="307">
        <f t="shared" ca="1" si="102"/>
        <v>158.56287315850867</v>
      </c>
      <c r="L209" s="304">
        <f t="shared" ca="1" si="87"/>
        <v>161.94641232177003</v>
      </c>
      <c r="M209" s="306">
        <f t="shared" ca="1" si="103"/>
        <v>1.3529943215145566</v>
      </c>
      <c r="N209" s="304">
        <f t="shared" ca="1" si="104"/>
        <v>77.520864327950449</v>
      </c>
      <c r="P209" s="310">
        <f t="shared" ca="1" si="105"/>
        <v>6</v>
      </c>
      <c r="Q209" s="304">
        <f t="shared" ca="1" si="106"/>
        <v>579.42999999999995</v>
      </c>
      <c r="R209" s="306">
        <f t="shared" ca="1" si="107"/>
        <v>0.29078892035931336</v>
      </c>
      <c r="S209" s="307">
        <f t="shared" ca="1" si="108"/>
        <v>8.0998039188775586</v>
      </c>
      <c r="T209" s="304">
        <f t="shared" ca="1" si="88"/>
        <v>79.459076444188852</v>
      </c>
      <c r="U209" s="311">
        <f t="shared" ca="1" si="89"/>
        <v>0</v>
      </c>
      <c r="V209" s="306">
        <f t="shared" ca="1" si="90"/>
        <v>1.2057288326215152</v>
      </c>
      <c r="W209" s="304">
        <f t="shared" ca="1" si="91"/>
        <v>84.751891894726583</v>
      </c>
      <c r="Y209" s="314" t="str">
        <f t="shared" ca="1" si="109"/>
        <v/>
      </c>
      <c r="Z209" s="315" t="str">
        <f t="shared" ca="1" si="110"/>
        <v/>
      </c>
      <c r="AA209" s="316" t="str">
        <f t="shared" ca="1" si="111"/>
        <v/>
      </c>
      <c r="AC209" s="310" t="e">
        <f t="shared" ca="1" si="112"/>
        <v>#N/A</v>
      </c>
      <c r="AD209" s="323" t="e">
        <f t="shared" ca="1" si="113"/>
        <v>#N/A</v>
      </c>
      <c r="AE209" s="324">
        <f t="shared" ca="1" si="92"/>
        <v>158.56287315850867</v>
      </c>
      <c r="AG209" s="306">
        <f t="shared" ca="1" si="114"/>
        <v>51.566159757004812</v>
      </c>
      <c r="AH209" s="304">
        <f t="shared" ca="1" si="115"/>
        <v>61.144701769767188</v>
      </c>
    </row>
    <row r="210" spans="1:34" x14ac:dyDescent="0.2">
      <c r="A210" s="347">
        <f t="shared" ca="1" si="93"/>
        <v>0.01</v>
      </c>
      <c r="B210" s="304">
        <f t="shared" ca="1" si="94"/>
        <v>2.06</v>
      </c>
      <c r="D210" s="306">
        <f t="shared" ca="1" si="95"/>
        <v>13.162634718411582</v>
      </c>
      <c r="E210" s="307">
        <f t="shared" ca="1" si="96"/>
        <v>49.665294478144403</v>
      </c>
      <c r="F210" s="304">
        <f t="shared" ca="1" si="97"/>
        <v>51.379922424339405</v>
      </c>
      <c r="G210" s="306">
        <f t="shared" ca="1" si="98"/>
        <v>31.870528246122468</v>
      </c>
      <c r="H210" s="307">
        <f t="shared" ca="1" si="99"/>
        <v>143.908711186575</v>
      </c>
      <c r="I210" s="304">
        <f t="shared" ca="1" si="100"/>
        <v>147.39554852867147</v>
      </c>
      <c r="J210" s="306">
        <f t="shared" ca="1" si="101"/>
        <v>33.24912243853575</v>
      </c>
      <c r="K210" s="307">
        <f t="shared" ca="1" si="102"/>
        <v>159.9994770056505</v>
      </c>
      <c r="L210" s="304">
        <f t="shared" ca="1" si="87"/>
        <v>163.41767586468248</v>
      </c>
      <c r="M210" s="306">
        <f t="shared" ca="1" si="103"/>
        <v>1.3528505054457967</v>
      </c>
      <c r="N210" s="304">
        <f t="shared" ca="1" si="104"/>
        <v>77.512624274184347</v>
      </c>
      <c r="P210" s="310">
        <f t="shared" ca="1" si="105"/>
        <v>6</v>
      </c>
      <c r="Q210" s="304">
        <f t="shared" ca="1" si="106"/>
        <v>577.97</v>
      </c>
      <c r="R210" s="306">
        <f t="shared" ca="1" si="107"/>
        <v>0.29005621438322554</v>
      </c>
      <c r="S210" s="307">
        <f t="shared" ca="1" si="108"/>
        <v>8.0969033567337263</v>
      </c>
      <c r="T210" s="304">
        <f t="shared" ca="1" si="88"/>
        <v>79.430621929557859</v>
      </c>
      <c r="U210" s="311">
        <f t="shared" ca="1" si="89"/>
        <v>0</v>
      </c>
      <c r="V210" s="306">
        <f t="shared" ca="1" si="90"/>
        <v>1.2055556186094671</v>
      </c>
      <c r="W210" s="304">
        <f t="shared" ca="1" si="91"/>
        <v>85.333093853960321</v>
      </c>
      <c r="Y210" s="314" t="str">
        <f t="shared" ca="1" si="109"/>
        <v/>
      </c>
      <c r="Z210" s="315" t="str">
        <f t="shared" ca="1" si="110"/>
        <v/>
      </c>
      <c r="AA210" s="316" t="str">
        <f t="shared" ca="1" si="111"/>
        <v/>
      </c>
      <c r="AC210" s="310" t="e">
        <f t="shared" ca="1" si="112"/>
        <v>#N/A</v>
      </c>
      <c r="AD210" s="323" t="e">
        <f t="shared" ca="1" si="113"/>
        <v>#N/A</v>
      </c>
      <c r="AE210" s="324">
        <f t="shared" ca="1" si="92"/>
        <v>159.9994770056505</v>
      </c>
      <c r="AG210" s="306">
        <f t="shared" ca="1" si="114"/>
        <v>51.336175749843022</v>
      </c>
      <c r="AH210" s="304">
        <f t="shared" ca="1" si="115"/>
        <v>60.914412136967464</v>
      </c>
    </row>
    <row r="211" spans="1:34" x14ac:dyDescent="0.2">
      <c r="A211" s="347">
        <f t="shared" ca="1" si="93"/>
        <v>0.01</v>
      </c>
      <c r="B211" s="304">
        <f t="shared" ca="1" si="94"/>
        <v>2.0699999999999998</v>
      </c>
      <c r="D211" s="306">
        <f t="shared" ca="1" si="95"/>
        <v>13.121367228138997</v>
      </c>
      <c r="E211" s="307">
        <f t="shared" ca="1" si="96"/>
        <v>49.438438940982472</v>
      </c>
      <c r="F211" s="304">
        <f t="shared" ca="1" si="97"/>
        <v>51.150068649581812</v>
      </c>
      <c r="G211" s="306">
        <f t="shared" ca="1" si="98"/>
        <v>32.001741918403859</v>
      </c>
      <c r="H211" s="307">
        <f t="shared" ca="1" si="99"/>
        <v>144.40309557598482</v>
      </c>
      <c r="I211" s="304">
        <f t="shared" ca="1" si="100"/>
        <v>147.90661073034948</v>
      </c>
      <c r="J211" s="306">
        <f t="shared" ca="1" si="101"/>
        <v>33.568483789358382</v>
      </c>
      <c r="K211" s="307">
        <f t="shared" ca="1" si="102"/>
        <v>161.44103603946331</v>
      </c>
      <c r="L211" s="304">
        <f t="shared" ca="1" si="87"/>
        <v>164.89406060077394</v>
      </c>
      <c r="M211" s="306">
        <f t="shared" ca="1" si="103"/>
        <v>1.3527070931732772</v>
      </c>
      <c r="N211" s="304">
        <f t="shared" ca="1" si="104"/>
        <v>77.504407356238602</v>
      </c>
      <c r="P211" s="310">
        <f t="shared" ca="1" si="105"/>
        <v>6</v>
      </c>
      <c r="Q211" s="304">
        <f t="shared" ca="1" si="106"/>
        <v>576.51</v>
      </c>
      <c r="R211" s="306">
        <f t="shared" ca="1" si="107"/>
        <v>0.28932350840713766</v>
      </c>
      <c r="S211" s="307">
        <f t="shared" ca="1" si="108"/>
        <v>8.0940101216496547</v>
      </c>
      <c r="T211" s="304">
        <f t="shared" ca="1" si="88"/>
        <v>79.402239293383118</v>
      </c>
      <c r="U211" s="311">
        <f t="shared" ca="1" si="89"/>
        <v>0</v>
      </c>
      <c r="V211" s="306">
        <f t="shared" ca="1" si="90"/>
        <v>1.2053818319538936</v>
      </c>
      <c r="W211" s="304">
        <f t="shared" ca="1" si="91"/>
        <v>85.913481217671702</v>
      </c>
      <c r="Y211" s="314" t="str">
        <f t="shared" ca="1" si="109"/>
        <v/>
      </c>
      <c r="Z211" s="315" t="str">
        <f t="shared" ca="1" si="110"/>
        <v/>
      </c>
      <c r="AA211" s="316" t="str">
        <f t="shared" ca="1" si="111"/>
        <v/>
      </c>
      <c r="AC211" s="310" t="e">
        <f t="shared" ca="1" si="112"/>
        <v>#N/A</v>
      </c>
      <c r="AD211" s="323" t="e">
        <f t="shared" ca="1" si="113"/>
        <v>#N/A</v>
      </c>
      <c r="AE211" s="324">
        <f t="shared" ca="1" si="92"/>
        <v>161.44103603946331</v>
      </c>
      <c r="AG211" s="306">
        <f t="shared" ca="1" si="114"/>
        <v>51.106068067447993</v>
      </c>
      <c r="AH211" s="304">
        <f t="shared" ca="1" si="115"/>
        <v>60.683999496399444</v>
      </c>
    </row>
    <row r="212" spans="1:34" x14ac:dyDescent="0.2">
      <c r="A212" s="347">
        <f t="shared" ca="1" si="93"/>
        <v>0.01</v>
      </c>
      <c r="B212" s="304">
        <f t="shared" ca="1" si="94"/>
        <v>2.0799999999999996</v>
      </c>
      <c r="D212" s="306">
        <f t="shared" ca="1" si="95"/>
        <v>13.079985212648054</v>
      </c>
      <c r="E212" s="307">
        <f t="shared" ca="1" si="96"/>
        <v>49.21148575569449</v>
      </c>
      <c r="F212" s="304">
        <f t="shared" ca="1" si="97"/>
        <v>50.920097637828754</v>
      </c>
      <c r="G212" s="306">
        <f t="shared" ca="1" si="98"/>
        <v>32.132541770530338</v>
      </c>
      <c r="H212" s="307">
        <f t="shared" ca="1" si="99"/>
        <v>144.89521043354176</v>
      </c>
      <c r="I212" s="304">
        <f t="shared" ca="1" si="100"/>
        <v>148.41537065686703</v>
      </c>
      <c r="J212" s="306">
        <f t="shared" ca="1" si="101"/>
        <v>33.88915520780305</v>
      </c>
      <c r="K212" s="307">
        <f t="shared" ca="1" si="102"/>
        <v>162.88752756951095</v>
      </c>
      <c r="L212" s="304">
        <f t="shared" ca="1" si="87"/>
        <v>166.37554351047737</v>
      </c>
      <c r="M212" s="306">
        <f t="shared" ca="1" si="103"/>
        <v>1.3525640799612215</v>
      </c>
      <c r="N212" s="304">
        <f t="shared" ca="1" si="104"/>
        <v>77.496213302773199</v>
      </c>
      <c r="P212" s="310">
        <f t="shared" ca="1" si="105"/>
        <v>6</v>
      </c>
      <c r="Q212" s="304">
        <f t="shared" ca="1" si="106"/>
        <v>575.05000000000007</v>
      </c>
      <c r="R212" s="306">
        <f t="shared" ca="1" si="107"/>
        <v>0.28859080243104984</v>
      </c>
      <c r="S212" s="307">
        <f t="shared" ca="1" si="108"/>
        <v>8.0911242136253438</v>
      </c>
      <c r="T212" s="304">
        <f t="shared" ca="1" si="88"/>
        <v>79.373928535664632</v>
      </c>
      <c r="U212" s="311">
        <f t="shared" ca="1" si="89"/>
        <v>0</v>
      </c>
      <c r="V212" s="306">
        <f t="shared" ca="1" si="90"/>
        <v>1.2052074756405984</v>
      </c>
      <c r="W212" s="304">
        <f t="shared" ca="1" si="91"/>
        <v>86.493024517073351</v>
      </c>
      <c r="Y212" s="314" t="str">
        <f t="shared" ca="1" si="109"/>
        <v/>
      </c>
      <c r="Z212" s="315" t="str">
        <f t="shared" ca="1" si="110"/>
        <v/>
      </c>
      <c r="AA212" s="316" t="str">
        <f t="shared" ca="1" si="111"/>
        <v/>
      </c>
      <c r="AC212" s="310" t="e">
        <f t="shared" ca="1" si="112"/>
        <v>#N/A</v>
      </c>
      <c r="AD212" s="323" t="e">
        <f t="shared" ca="1" si="113"/>
        <v>#N/A</v>
      </c>
      <c r="AE212" s="324">
        <f t="shared" ca="1" si="92"/>
        <v>162.88752756951095</v>
      </c>
      <c r="AG212" s="306">
        <f t="shared" ca="1" si="114"/>
        <v>50.875840876417385</v>
      </c>
      <c r="AH212" s="304">
        <f t="shared" ca="1" si="115"/>
        <v>60.453468006167682</v>
      </c>
    </row>
    <row r="213" spans="1:34" x14ac:dyDescent="0.2">
      <c r="A213" s="347">
        <f t="shared" ca="1" si="93"/>
        <v>0.01</v>
      </c>
      <c r="B213" s="304">
        <f t="shared" ca="1" si="94"/>
        <v>2.0899999999999994</v>
      </c>
      <c r="D213" s="306">
        <f t="shared" ca="1" si="95"/>
        <v>13.038490075195329</v>
      </c>
      <c r="E213" s="307">
        <f t="shared" ca="1" si="96"/>
        <v>48.98443887983133</v>
      </c>
      <c r="F213" s="304">
        <f t="shared" ca="1" si="97"/>
        <v>50.690013570849416</v>
      </c>
      <c r="G213" s="306">
        <f t="shared" ca="1" si="98"/>
        <v>32.262926671282294</v>
      </c>
      <c r="H213" s="307">
        <f t="shared" ca="1" si="99"/>
        <v>145.38505482234007</v>
      </c>
      <c r="I213" s="304">
        <f t="shared" ca="1" si="100"/>
        <v>148.92182715469002</v>
      </c>
      <c r="J213" s="306">
        <f t="shared" ca="1" si="101"/>
        <v>34.21113255001211</v>
      </c>
      <c r="K213" s="307">
        <f t="shared" ca="1" si="102"/>
        <v>164.33892889579036</v>
      </c>
      <c r="L213" s="304">
        <f t="shared" ca="1" si="87"/>
        <v>167.86210156247341</v>
      </c>
      <c r="M213" s="306">
        <f t="shared" ca="1" si="103"/>
        <v>1.352421461136724</v>
      </c>
      <c r="N213" s="304">
        <f t="shared" ca="1" si="104"/>
        <v>77.488041846050379</v>
      </c>
      <c r="P213" s="310">
        <f t="shared" ca="1" si="105"/>
        <v>6</v>
      </c>
      <c r="Q213" s="304">
        <f t="shared" ca="1" si="106"/>
        <v>573.59</v>
      </c>
      <c r="R213" s="306">
        <f t="shared" ca="1" si="107"/>
        <v>0.28785809645496191</v>
      </c>
      <c r="S213" s="307">
        <f t="shared" ca="1" si="108"/>
        <v>8.0882456326607937</v>
      </c>
      <c r="T213" s="304">
        <f t="shared" ca="1" si="88"/>
        <v>79.345689656402385</v>
      </c>
      <c r="U213" s="311">
        <f t="shared" ca="1" si="89"/>
        <v>0</v>
      </c>
      <c r="V213" s="306">
        <f t="shared" ca="1" si="90"/>
        <v>1.2050325526557326</v>
      </c>
      <c r="W213" s="304">
        <f t="shared" ca="1" si="91"/>
        <v>87.071694462138865</v>
      </c>
      <c r="Y213" s="314" t="str">
        <f t="shared" ca="1" si="109"/>
        <v/>
      </c>
      <c r="Z213" s="315" t="str">
        <f t="shared" ca="1" si="110"/>
        <v/>
      </c>
      <c r="AA213" s="316" t="str">
        <f t="shared" ca="1" si="111"/>
        <v/>
      </c>
      <c r="AC213" s="310" t="e">
        <f t="shared" ca="1" si="112"/>
        <v>#N/A</v>
      </c>
      <c r="AD213" s="323" t="e">
        <f t="shared" ca="1" si="113"/>
        <v>#N/A</v>
      </c>
      <c r="AE213" s="324">
        <f t="shared" ca="1" si="92"/>
        <v>164.33892889579036</v>
      </c>
      <c r="AG213" s="306">
        <f t="shared" ca="1" si="114"/>
        <v>50.645498327839135</v>
      </c>
      <c r="AH213" s="304">
        <f t="shared" ca="1" si="115"/>
        <v>60.222821808971965</v>
      </c>
    </row>
    <row r="214" spans="1:34" x14ac:dyDescent="0.2">
      <c r="A214" s="347">
        <f t="shared" ca="1" si="93"/>
        <v>0.01</v>
      </c>
      <c r="B214" s="304">
        <f t="shared" ca="1" si="94"/>
        <v>2.0999999999999992</v>
      </c>
      <c r="D214" s="306">
        <f t="shared" ca="1" si="95"/>
        <v>12.99688321023344</v>
      </c>
      <c r="E214" s="307">
        <f t="shared" ca="1" si="96"/>
        <v>48.757302256594691</v>
      </c>
      <c r="F214" s="304">
        <f t="shared" ca="1" si="97"/>
        <v>50.459820615231891</v>
      </c>
      <c r="G214" s="306">
        <f t="shared" ca="1" si="98"/>
        <v>32.392895503384629</v>
      </c>
      <c r="H214" s="307">
        <f t="shared" ca="1" si="99"/>
        <v>145.87262784490602</v>
      </c>
      <c r="I214" s="304">
        <f t="shared" ca="1" si="100"/>
        <v>149.4259791116379</v>
      </c>
      <c r="J214" s="306">
        <f t="shared" ca="1" si="101"/>
        <v>34.534411660885446</v>
      </c>
      <c r="K214" s="307">
        <f t="shared" ca="1" si="102"/>
        <v>165.7952173091266</v>
      </c>
      <c r="L214" s="304">
        <f t="shared" ca="1" si="87"/>
        <v>169.35371171410449</v>
      </c>
      <c r="M214" s="306">
        <f t="shared" ca="1" si="103"/>
        <v>1.3522792320885562</v>
      </c>
      <c r="N214" s="304">
        <f t="shared" ca="1" si="104"/>
        <v>77.479892721866193</v>
      </c>
      <c r="P214" s="310">
        <f t="shared" ca="1" si="105"/>
        <v>6</v>
      </c>
      <c r="Q214" s="304">
        <f t="shared" ca="1" si="106"/>
        <v>572.13000000000011</v>
      </c>
      <c r="R214" s="306">
        <f t="shared" ca="1" si="107"/>
        <v>0.28712539047887409</v>
      </c>
      <c r="S214" s="307">
        <f t="shared" ca="1" si="108"/>
        <v>8.0853743787560042</v>
      </c>
      <c r="T214" s="304">
        <f t="shared" ca="1" si="88"/>
        <v>79.317522655596406</v>
      </c>
      <c r="U214" s="311">
        <f t="shared" ca="1" si="89"/>
        <v>0</v>
      </c>
      <c r="V214" s="306">
        <f t="shared" ca="1" si="90"/>
        <v>1.2048570659857389</v>
      </c>
      <c r="W214" s="304">
        <f t="shared" ca="1" si="91"/>
        <v>87.649461942462025</v>
      </c>
      <c r="Y214" s="314" t="str">
        <f t="shared" ca="1" si="109"/>
        <v/>
      </c>
      <c r="Z214" s="315" t="str">
        <f t="shared" ca="1" si="110"/>
        <v/>
      </c>
      <c r="AA214" s="316" t="str">
        <f t="shared" ca="1" si="111"/>
        <v/>
      </c>
      <c r="AC214" s="310" t="e">
        <f t="shared" ca="1" si="112"/>
        <v>#N/A</v>
      </c>
      <c r="AD214" s="323" t="e">
        <f t="shared" ca="1" si="113"/>
        <v>#N/A</v>
      </c>
      <c r="AE214" s="324">
        <f t="shared" ca="1" si="92"/>
        <v>165.7952173091266</v>
      </c>
      <c r="AG214" s="306">
        <f t="shared" ca="1" si="114"/>
        <v>50.415044557119906</v>
      </c>
      <c r="AH214" s="304">
        <f t="shared" ca="1" si="115"/>
        <v>59.992065031933762</v>
      </c>
    </row>
    <row r="215" spans="1:34" x14ac:dyDescent="0.2">
      <c r="A215" s="347">
        <f t="shared" ca="1" si="93"/>
        <v>0.01</v>
      </c>
      <c r="B215" s="304">
        <f t="shared" ca="1" si="94"/>
        <v>2.109999999999999</v>
      </c>
      <c r="D215" s="306">
        <f t="shared" ca="1" si="95"/>
        <v>12.95516600348356</v>
      </c>
      <c r="E215" s="307">
        <f t="shared" ca="1" si="96"/>
        <v>48.530079814651849</v>
      </c>
      <c r="F215" s="304">
        <f t="shared" ca="1" si="97"/>
        <v>50.229522922224689</v>
      </c>
      <c r="G215" s="306">
        <f t="shared" ca="1" si="98"/>
        <v>32.522447163419464</v>
      </c>
      <c r="H215" s="307">
        <f t="shared" ca="1" si="99"/>
        <v>146.35792864305253</v>
      </c>
      <c r="I215" s="304">
        <f t="shared" ca="1" si="100"/>
        <v>149.92782545672523</v>
      </c>
      <c r="J215" s="306">
        <f t="shared" ca="1" si="101"/>
        <v>34.858988374219464</v>
      </c>
      <c r="K215" s="307">
        <f t="shared" ca="1" si="102"/>
        <v>167.2563700915664</v>
      </c>
      <c r="L215" s="304">
        <f t="shared" ca="1" si="87"/>
        <v>170.8503509117877</v>
      </c>
      <c r="M215" s="306">
        <f t="shared" ca="1" si="103"/>
        <v>1.3521373882659999</v>
      </c>
      <c r="N215" s="304">
        <f t="shared" ca="1" si="104"/>
        <v>77.471765669483716</v>
      </c>
      <c r="P215" s="310">
        <f t="shared" ca="1" si="105"/>
        <v>6</v>
      </c>
      <c r="Q215" s="304">
        <f t="shared" ca="1" si="106"/>
        <v>570.67000000000019</v>
      </c>
      <c r="R215" s="306">
        <f t="shared" ca="1" si="107"/>
        <v>0.28639268450278627</v>
      </c>
      <c r="S215" s="307">
        <f t="shared" ca="1" si="108"/>
        <v>8.0825104519109772</v>
      </c>
      <c r="T215" s="304">
        <f t="shared" ca="1" si="88"/>
        <v>79.289427533246695</v>
      </c>
      <c r="U215" s="311">
        <f t="shared" ca="1" si="89"/>
        <v>0</v>
      </c>
      <c r="V215" s="306">
        <f t="shared" ca="1" si="90"/>
        <v>1.2046810186172847</v>
      </c>
      <c r="W215" s="304">
        <f t="shared" ca="1" si="91"/>
        <v>88.226298028095002</v>
      </c>
      <c r="Y215" s="314" t="str">
        <f t="shared" ca="1" si="109"/>
        <v/>
      </c>
      <c r="Z215" s="315" t="str">
        <f t="shared" ca="1" si="110"/>
        <v/>
      </c>
      <c r="AA215" s="316" t="str">
        <f t="shared" ca="1" si="111"/>
        <v/>
      </c>
      <c r="AC215" s="310" t="e">
        <f t="shared" ca="1" si="112"/>
        <v>#N/A</v>
      </c>
      <c r="AD215" s="323" t="e">
        <f t="shared" ca="1" si="113"/>
        <v>#N/A</v>
      </c>
      <c r="AE215" s="324">
        <f t="shared" ca="1" si="92"/>
        <v>167.2563700915664</v>
      </c>
      <c r="AG215" s="306">
        <f t="shared" ca="1" si="114"/>
        <v>50.184483683815429</v>
      </c>
      <c r="AH215" s="304">
        <f t="shared" ca="1" si="115"/>
        <v>59.761201786424643</v>
      </c>
    </row>
    <row r="216" spans="1:34" x14ac:dyDescent="0.2">
      <c r="A216" s="347">
        <f t="shared" ca="1" si="93"/>
        <v>0.01</v>
      </c>
      <c r="B216" s="304">
        <f t="shared" ca="1" si="94"/>
        <v>2.1199999999999988</v>
      </c>
      <c r="D216" s="306">
        <f t="shared" ca="1" si="95"/>
        <v>12.913339832005674</v>
      </c>
      <c r="E216" s="307">
        <f t="shared" ca="1" si="96"/>
        <v>48.302775467953424</v>
      </c>
      <c r="F216" s="304">
        <f t="shared" ca="1" si="97"/>
        <v>49.999124627581104</v>
      </c>
      <c r="G216" s="306">
        <f t="shared" ca="1" si="98"/>
        <v>32.651580561739522</v>
      </c>
      <c r="H216" s="307">
        <f t="shared" ca="1" si="99"/>
        <v>146.84095639773207</v>
      </c>
      <c r="I216" s="304">
        <f t="shared" ca="1" si="100"/>
        <v>150.42736516000144</v>
      </c>
      <c r="J216" s="306">
        <f t="shared" ca="1" si="101"/>
        <v>35.18485851284526</v>
      </c>
      <c r="K216" s="307">
        <f t="shared" ca="1" si="102"/>
        <v>168.72236451677031</v>
      </c>
      <c r="L216" s="304">
        <f t="shared" ca="1" si="87"/>
        <v>172.35199609142578</v>
      </c>
      <c r="M216" s="306">
        <f t="shared" ca="1" si="103"/>
        <v>1.3519959251777089</v>
      </c>
      <c r="N216" s="304">
        <f t="shared" ca="1" si="104"/>
        <v>77.46366043156776</v>
      </c>
      <c r="P216" s="310">
        <f t="shared" ca="1" si="105"/>
        <v>6</v>
      </c>
      <c r="Q216" s="304">
        <f t="shared" ca="1" si="106"/>
        <v>569.21000000000015</v>
      </c>
      <c r="R216" s="306">
        <f t="shared" ca="1" si="107"/>
        <v>0.28565997852669833</v>
      </c>
      <c r="S216" s="307">
        <f t="shared" ca="1" si="108"/>
        <v>8.0796538521257109</v>
      </c>
      <c r="T216" s="304">
        <f t="shared" ca="1" si="88"/>
        <v>79.261404289353223</v>
      </c>
      <c r="U216" s="311">
        <f t="shared" ca="1" si="89"/>
        <v>0</v>
      </c>
      <c r="V216" s="306">
        <f t="shared" ca="1" si="90"/>
        <v>1.2045044135372041</v>
      </c>
      <c r="W216" s="304">
        <f t="shared" ca="1" si="91"/>
        <v>88.802173970366979</v>
      </c>
      <c r="Y216" s="314" t="str">
        <f t="shared" ca="1" si="109"/>
        <v/>
      </c>
      <c r="Z216" s="315" t="str">
        <f t="shared" ca="1" si="110"/>
        <v/>
      </c>
      <c r="AA216" s="316" t="str">
        <f t="shared" ca="1" si="111"/>
        <v/>
      </c>
      <c r="AC216" s="310" t="e">
        <f t="shared" ca="1" si="112"/>
        <v>#N/A</v>
      </c>
      <c r="AD216" s="323" t="e">
        <f t="shared" ca="1" si="113"/>
        <v>#N/A</v>
      </c>
      <c r="AE216" s="324">
        <f t="shared" ca="1" si="92"/>
        <v>168.72236451677031</v>
      </c>
      <c r="AG216" s="306">
        <f t="shared" ca="1" si="114"/>
        <v>49.953819811463482</v>
      </c>
      <c r="AH216" s="304">
        <f t="shared" ca="1" si="115"/>
        <v>59.53023616789735</v>
      </c>
    </row>
    <row r="217" spans="1:34" x14ac:dyDescent="0.2">
      <c r="A217" s="347">
        <f t="shared" ca="1" si="93"/>
        <v>0.01</v>
      </c>
      <c r="B217" s="304">
        <f t="shared" ca="1" si="94"/>
        <v>2.1299999999999986</v>
      </c>
      <c r="D217" s="306">
        <f t="shared" ca="1" si="95"/>
        <v>12.871406064266537</v>
      </c>
      <c r="E217" s="307">
        <f t="shared" ca="1" si="96"/>
        <v>48.075393115553787</v>
      </c>
      <c r="F217" s="304">
        <f t="shared" ca="1" si="97"/>
        <v>49.768629851406132</v>
      </c>
      <c r="G217" s="306">
        <f t="shared" ca="1" si="98"/>
        <v>32.780294622382186</v>
      </c>
      <c r="H217" s="307">
        <f t="shared" ca="1" si="99"/>
        <v>147.3217103288876</v>
      </c>
      <c r="I217" s="304">
        <f t="shared" ca="1" si="100"/>
        <v>150.924597232389</v>
      </c>
      <c r="J217" s="306">
        <f t="shared" ca="1" si="101"/>
        <v>35.512017888765868</v>
      </c>
      <c r="K217" s="307">
        <f t="shared" ca="1" si="102"/>
        <v>170.1931778504034</v>
      </c>
      <c r="L217" s="304">
        <f t="shared" ca="1" si="87"/>
        <v>173.85862417881683</v>
      </c>
      <c r="M217" s="306">
        <f t="shared" ca="1" si="103"/>
        <v>1.3518548383905946</v>
      </c>
      <c r="N217" s="304">
        <f t="shared" ca="1" si="104"/>
        <v>77.45557675412104</v>
      </c>
      <c r="P217" s="310">
        <f t="shared" ca="1" si="105"/>
        <v>6</v>
      </c>
      <c r="Q217" s="304">
        <f t="shared" ca="1" si="106"/>
        <v>567.75000000000023</v>
      </c>
      <c r="R217" s="306">
        <f t="shared" ca="1" si="107"/>
        <v>0.28492727255061051</v>
      </c>
      <c r="S217" s="307">
        <f t="shared" ca="1" si="108"/>
        <v>8.0768045794002052</v>
      </c>
      <c r="T217" s="304">
        <f t="shared" ca="1" si="88"/>
        <v>79.233452923916019</v>
      </c>
      <c r="U217" s="311">
        <f t="shared" ca="1" si="89"/>
        <v>0</v>
      </c>
      <c r="V217" s="306">
        <f t="shared" ca="1" si="90"/>
        <v>1.2043272537324341</v>
      </c>
      <c r="W217" s="304">
        <f t="shared" ca="1" si="91"/>
        <v>89.377061202681773</v>
      </c>
      <c r="Y217" s="314" t="str">
        <f t="shared" ca="1" si="109"/>
        <v/>
      </c>
      <c r="Z217" s="315" t="str">
        <f t="shared" ca="1" si="110"/>
        <v/>
      </c>
      <c r="AA217" s="316" t="str">
        <f t="shared" ca="1" si="111"/>
        <v/>
      </c>
      <c r="AC217" s="310" t="e">
        <f t="shared" ca="1" si="112"/>
        <v>#N/A</v>
      </c>
      <c r="AD217" s="323" t="e">
        <f t="shared" ca="1" si="113"/>
        <v>#N/A</v>
      </c>
      <c r="AE217" s="324">
        <f t="shared" ca="1" si="92"/>
        <v>170.1931778504034</v>
      </c>
      <c r="AG217" s="306">
        <f t="shared" ca="1" si="114"/>
        <v>49.723057027418939</v>
      </c>
      <c r="AH217" s="304">
        <f t="shared" ca="1" si="115"/>
        <v>59.29917225571905</v>
      </c>
    </row>
    <row r="218" spans="1:34" x14ac:dyDescent="0.2">
      <c r="A218" s="347">
        <f t="shared" ca="1" si="93"/>
        <v>0.01</v>
      </c>
      <c r="B218" s="304">
        <f t="shared" ca="1" si="94"/>
        <v>2.1399999999999983</v>
      </c>
      <c r="D218" s="306">
        <f t="shared" ca="1" si="95"/>
        <v>12.829366060205512</v>
      </c>
      <c r="E218" s="307">
        <f t="shared" ca="1" si="96"/>
        <v>47.847936641434217</v>
      </c>
      <c r="F218" s="304">
        <f t="shared" ca="1" si="97"/>
        <v>49.538042698005903</v>
      </c>
      <c r="G218" s="306">
        <f t="shared" ca="1" si="98"/>
        <v>32.90858828298424</v>
      </c>
      <c r="H218" s="307">
        <f t="shared" ca="1" si="99"/>
        <v>147.80018969530195</v>
      </c>
      <c r="I218" s="304">
        <f t="shared" ca="1" si="100"/>
        <v>151.41952072552007</v>
      </c>
      <c r="J218" s="306">
        <f t="shared" ca="1" si="101"/>
        <v>35.840462303292703</v>
      </c>
      <c r="K218" s="307">
        <f t="shared" ca="1" si="102"/>
        <v>171.66878735052435</v>
      </c>
      <c r="L218" s="304">
        <f t="shared" ca="1" si="87"/>
        <v>175.3702120900619</v>
      </c>
      <c r="M218" s="306">
        <f t="shared" ca="1" si="103"/>
        <v>1.3517141235287395</v>
      </c>
      <c r="N218" s="304">
        <f t="shared" ca="1" si="104"/>
        <v>77.447514386421986</v>
      </c>
      <c r="P218" s="310">
        <f t="shared" ca="1" si="105"/>
        <v>6</v>
      </c>
      <c r="Q218" s="304">
        <f t="shared" ca="1" si="106"/>
        <v>566.29000000000019</v>
      </c>
      <c r="R218" s="306">
        <f t="shared" ca="1" si="107"/>
        <v>0.28419456657452263</v>
      </c>
      <c r="S218" s="307">
        <f t="shared" ca="1" si="108"/>
        <v>8.0739626337344603</v>
      </c>
      <c r="T218" s="304">
        <f t="shared" ca="1" si="88"/>
        <v>79.205573436935055</v>
      </c>
      <c r="U218" s="311">
        <f t="shared" ca="1" si="89"/>
        <v>0</v>
      </c>
      <c r="V218" s="306">
        <f t="shared" ca="1" si="90"/>
        <v>1.2041495421899584</v>
      </c>
      <c r="W218" s="304">
        <f t="shared" ca="1" si="91"/>
        <v>89.95093134129641</v>
      </c>
      <c r="Y218" s="314" t="str">
        <f t="shared" ca="1" si="109"/>
        <v/>
      </c>
      <c r="Z218" s="315" t="str">
        <f t="shared" ca="1" si="110"/>
        <v/>
      </c>
      <c r="AA218" s="316" t="str">
        <f t="shared" ca="1" si="111"/>
        <v/>
      </c>
      <c r="AC218" s="310" t="e">
        <f t="shared" ca="1" si="112"/>
        <v>#N/A</v>
      </c>
      <c r="AD218" s="323" t="e">
        <f t="shared" ca="1" si="113"/>
        <v>#N/A</v>
      </c>
      <c r="AE218" s="324">
        <f t="shared" ca="1" si="92"/>
        <v>171.66878735052435</v>
      </c>
      <c r="AG218" s="306">
        <f t="shared" ca="1" si="114"/>
        <v>49.492199402691284</v>
      </c>
      <c r="AH218" s="304">
        <f t="shared" ca="1" si="115"/>
        <v>59.068014113007017</v>
      </c>
    </row>
    <row r="219" spans="1:34" x14ac:dyDescent="0.2">
      <c r="A219" s="347">
        <f t="shared" ca="1" si="93"/>
        <v>0.01</v>
      </c>
      <c r="B219" s="304">
        <f t="shared" ca="1" si="94"/>
        <v>2.1499999999999981</v>
      </c>
      <c r="D219" s="306">
        <f t="shared" ca="1" si="95"/>
        <v>12.787221171298254</v>
      </c>
      <c r="E219" s="307">
        <f t="shared" ca="1" si="96"/>
        <v>47.620409914328818</v>
      </c>
      <c r="F219" s="304">
        <f t="shared" ca="1" si="97"/>
        <v>49.307367255739834</v>
      </c>
      <c r="G219" s="306">
        <f t="shared" ca="1" si="98"/>
        <v>33.036460494697224</v>
      </c>
      <c r="H219" s="307">
        <f t="shared" ca="1" si="99"/>
        <v>148.27639379444523</v>
      </c>
      <c r="I219" s="304">
        <f t="shared" ca="1" si="100"/>
        <v>151.91213473157134</v>
      </c>
      <c r="J219" s="306">
        <f t="shared" ca="1" si="101"/>
        <v>36.170187547181108</v>
      </c>
      <c r="K219" s="307">
        <f t="shared" ca="1" si="102"/>
        <v>173.14917026797309</v>
      </c>
      <c r="L219" s="304">
        <f t="shared" ca="1" si="87"/>
        <v>176.8867367319715</v>
      </c>
      <c r="M219" s="306">
        <f t="shared" ca="1" si="103"/>
        <v>1.3515737762723345</v>
      </c>
      <c r="N219" s="304">
        <f t="shared" ca="1" si="104"/>
        <v>77.439473080963737</v>
      </c>
      <c r="P219" s="310">
        <f t="shared" ca="1" si="105"/>
        <v>6</v>
      </c>
      <c r="Q219" s="304">
        <f t="shared" ca="1" si="106"/>
        <v>564.83000000000027</v>
      </c>
      <c r="R219" s="306">
        <f t="shared" ca="1" si="107"/>
        <v>0.28346186059843481</v>
      </c>
      <c r="S219" s="307">
        <f t="shared" ca="1" si="108"/>
        <v>8.0711280151284761</v>
      </c>
      <c r="T219" s="304">
        <f t="shared" ca="1" si="88"/>
        <v>79.177765828410358</v>
      </c>
      <c r="U219" s="311">
        <f t="shared" ca="1" si="89"/>
        <v>0</v>
      </c>
      <c r="V219" s="306">
        <f t="shared" ca="1" si="90"/>
        <v>1.2039712818967423</v>
      </c>
      <c r="W219" s="304">
        <f t="shared" ca="1" si="91"/>
        <v>90.523756186078558</v>
      </c>
      <c r="Y219" s="314" t="str">
        <f t="shared" ca="1" si="109"/>
        <v/>
      </c>
      <c r="Z219" s="315" t="str">
        <f t="shared" ca="1" si="110"/>
        <v/>
      </c>
      <c r="AA219" s="316" t="str">
        <f t="shared" ca="1" si="111"/>
        <v/>
      </c>
      <c r="AC219" s="310" t="e">
        <f t="shared" ca="1" si="112"/>
        <v>#N/A</v>
      </c>
      <c r="AD219" s="323" t="e">
        <f t="shared" ca="1" si="113"/>
        <v>#N/A</v>
      </c>
      <c r="AE219" s="324">
        <f t="shared" ca="1" si="92"/>
        <v>173.14917026797309</v>
      </c>
      <c r="AG219" s="306">
        <f t="shared" ca="1" si="114"/>
        <v>49.261250991784443</v>
      </c>
      <c r="AH219" s="304">
        <f t="shared" ca="1" si="115"/>
        <v>58.836765786466685</v>
      </c>
    </row>
    <row r="220" spans="1:34" x14ac:dyDescent="0.2">
      <c r="A220" s="347">
        <f t="shared" ca="1" si="93"/>
        <v>0.01</v>
      </c>
      <c r="B220" s="304">
        <f t="shared" ca="1" si="94"/>
        <v>2.1599999999999979</v>
      </c>
      <c r="D220" s="306">
        <f t="shared" ca="1" si="95"/>
        <v>12.744972740618401</v>
      </c>
      <c r="E220" s="307">
        <f t="shared" ca="1" si="96"/>
        <v>47.392816787553151</v>
      </c>
      <c r="F220" s="304">
        <f t="shared" ca="1" si="97"/>
        <v>49.076607596875377</v>
      </c>
      <c r="G220" s="306">
        <f t="shared" ca="1" si="98"/>
        <v>33.163910222103411</v>
      </c>
      <c r="H220" s="307">
        <f t="shared" ca="1" si="99"/>
        <v>148.75032196232075</v>
      </c>
      <c r="I220" s="304">
        <f t="shared" ca="1" si="100"/>
        <v>152.40243838309746</v>
      </c>
      <c r="J220" s="306">
        <f t="shared" ca="1" si="101"/>
        <v>36.501189400765114</v>
      </c>
      <c r="K220" s="307">
        <f t="shared" ca="1" si="102"/>
        <v>174.63430384675692</v>
      </c>
      <c r="L220" s="304">
        <f t="shared" ca="1" si="87"/>
        <v>178.40817500246996</v>
      </c>
      <c r="M220" s="306">
        <f t="shared" ca="1" si="103"/>
        <v>1.3514337923566409</v>
      </c>
      <c r="N220" s="304">
        <f t="shared" ca="1" si="104"/>
        <v>77.431452593394766</v>
      </c>
      <c r="P220" s="310">
        <f t="shared" ca="1" si="105"/>
        <v>6</v>
      </c>
      <c r="Q220" s="304">
        <f t="shared" ca="1" si="106"/>
        <v>563.37000000000035</v>
      </c>
      <c r="R220" s="306">
        <f t="shared" ca="1" si="107"/>
        <v>0.28272915462234693</v>
      </c>
      <c r="S220" s="307">
        <f t="shared" ca="1" si="108"/>
        <v>8.0683007235822526</v>
      </c>
      <c r="T220" s="304">
        <f t="shared" ca="1" si="88"/>
        <v>79.150030098341901</v>
      </c>
      <c r="U220" s="311">
        <f t="shared" ca="1" si="89"/>
        <v>0</v>
      </c>
      <c r="V220" s="306">
        <f t="shared" ca="1" si="90"/>
        <v>1.203792475839675</v>
      </c>
      <c r="W220" s="304">
        <f t="shared" ca="1" si="91"/>
        <v>91.095507721244573</v>
      </c>
      <c r="Y220" s="314" t="str">
        <f t="shared" ca="1" si="109"/>
        <v/>
      </c>
      <c r="Z220" s="315" t="str">
        <f t="shared" ca="1" si="110"/>
        <v/>
      </c>
      <c r="AA220" s="316" t="str">
        <f t="shared" ca="1" si="111"/>
        <v/>
      </c>
      <c r="AC220" s="310" t="e">
        <f t="shared" ca="1" si="112"/>
        <v>#N/A</v>
      </c>
      <c r="AD220" s="323" t="e">
        <f t="shared" ca="1" si="113"/>
        <v>#N/A</v>
      </c>
      <c r="AE220" s="324">
        <f t="shared" ca="1" si="92"/>
        <v>174.63430384675692</v>
      </c>
      <c r="AG220" s="306">
        <f t="shared" ca="1" si="114"/>
        <v>49.030215832538815</v>
      </c>
      <c r="AH220" s="304">
        <f t="shared" ca="1" si="115"/>
        <v>58.605431306232013</v>
      </c>
    </row>
    <row r="221" spans="1:34" x14ac:dyDescent="0.2">
      <c r="A221" s="347">
        <f t="shared" ca="1" si="93"/>
        <v>0.01</v>
      </c>
      <c r="B221" s="304">
        <f t="shared" ca="1" si="94"/>
        <v>2.1699999999999977</v>
      </c>
      <c r="D221" s="306">
        <f t="shared" ca="1" si="95"/>
        <v>12.702622102897299</v>
      </c>
      <c r="E221" s="307">
        <f t="shared" ca="1" si="96"/>
        <v>47.165161098835675</v>
      </c>
      <c r="F221" s="304">
        <f t="shared" ca="1" si="97"/>
        <v>48.845767777445545</v>
      </c>
      <c r="G221" s="306">
        <f t="shared" ca="1" si="98"/>
        <v>33.290936443132381</v>
      </c>
      <c r="H221" s="307">
        <f t="shared" ca="1" si="99"/>
        <v>149.2219735733091</v>
      </c>
      <c r="I221" s="304">
        <f t="shared" ca="1" si="100"/>
        <v>152.89043085286286</v>
      </c>
      <c r="J221" s="306">
        <f t="shared" ca="1" si="101"/>
        <v>36.833463634091295</v>
      </c>
      <c r="K221" s="307">
        <f t="shared" ca="1" si="102"/>
        <v>176.12416532443507</v>
      </c>
      <c r="L221" s="304">
        <f t="shared" ca="1" si="87"/>
        <v>179.93450379099852</v>
      </c>
      <c r="M221" s="306">
        <f t="shared" ca="1" si="103"/>
        <v>1.3512941675709742</v>
      </c>
      <c r="N221" s="304">
        <f t="shared" ca="1" si="104"/>
        <v>77.423452682460649</v>
      </c>
      <c r="P221" s="310">
        <f t="shared" ca="1" si="105"/>
        <v>6</v>
      </c>
      <c r="Q221" s="304">
        <f t="shared" ca="1" si="106"/>
        <v>561.91000000000031</v>
      </c>
      <c r="R221" s="306">
        <f t="shared" ca="1" si="107"/>
        <v>0.28199644864625906</v>
      </c>
      <c r="S221" s="307">
        <f t="shared" ca="1" si="108"/>
        <v>8.0654807590957898</v>
      </c>
      <c r="T221" s="304">
        <f t="shared" ca="1" si="88"/>
        <v>79.122366246729698</v>
      </c>
      <c r="U221" s="311">
        <f t="shared" ca="1" si="89"/>
        <v>0</v>
      </c>
      <c r="V221" s="306">
        <f t="shared" ca="1" si="90"/>
        <v>1.2036131270055093</v>
      </c>
      <c r="W221" s="304">
        <f t="shared" ca="1" si="91"/>
        <v>91.666158116077526</v>
      </c>
      <c r="Y221" s="314" t="str">
        <f t="shared" ca="1" si="109"/>
        <v/>
      </c>
      <c r="Z221" s="315" t="str">
        <f t="shared" ca="1" si="110"/>
        <v/>
      </c>
      <c r="AA221" s="316" t="str">
        <f t="shared" ca="1" si="111"/>
        <v/>
      </c>
      <c r="AC221" s="310" t="e">
        <f t="shared" ca="1" si="112"/>
        <v>#N/A</v>
      </c>
      <c r="AD221" s="323" t="e">
        <f t="shared" ca="1" si="113"/>
        <v>#N/A</v>
      </c>
      <c r="AE221" s="324">
        <f t="shared" ca="1" si="92"/>
        <v>176.12416532443507</v>
      </c>
      <c r="AG221" s="306">
        <f t="shared" ca="1" si="114"/>
        <v>48.799097945975873</v>
      </c>
      <c r="AH221" s="304">
        <f t="shared" ca="1" si="115"/>
        <v>58.374014685708346</v>
      </c>
    </row>
    <row r="222" spans="1:34" x14ac:dyDescent="0.2">
      <c r="A222" s="347">
        <f t="shared" ca="1" si="93"/>
        <v>0.01</v>
      </c>
      <c r="B222" s="304">
        <f t="shared" ca="1" si="94"/>
        <v>2.1799999999999975</v>
      </c>
      <c r="D222" s="306">
        <f t="shared" ca="1" si="95"/>
        <v>12.660170584581909</v>
      </c>
      <c r="E222" s="307">
        <f t="shared" ca="1" si="96"/>
        <v>46.937446670151765</v>
      </c>
      <c r="F222" s="304">
        <f t="shared" ca="1" si="97"/>
        <v>48.614851837108937</v>
      </c>
      <c r="G222" s="306">
        <f t="shared" ca="1" si="98"/>
        <v>33.417538148978203</v>
      </c>
      <c r="H222" s="307">
        <f t="shared" ca="1" si="99"/>
        <v>149.69134804001061</v>
      </c>
      <c r="I222" s="304">
        <f t="shared" ca="1" si="100"/>
        <v>153.37611135367203</v>
      </c>
      <c r="J222" s="306">
        <f t="shared" ca="1" si="101"/>
        <v>37.167006007051846</v>
      </c>
      <c r="K222" s="307">
        <f t="shared" ca="1" si="102"/>
        <v>177.61873193250167</v>
      </c>
      <c r="L222" s="304">
        <f t="shared" ca="1" si="87"/>
        <v>181.46569997891643</v>
      </c>
      <c r="M222" s="306">
        <f t="shared" ca="1" si="103"/>
        <v>1.3511548977577137</v>
      </c>
      <c r="N222" s="304">
        <f t="shared" ca="1" si="104"/>
        <v>77.415473109947257</v>
      </c>
      <c r="P222" s="310">
        <f t="shared" ca="1" si="105"/>
        <v>6</v>
      </c>
      <c r="Q222" s="304">
        <f t="shared" ca="1" si="106"/>
        <v>560.45000000000039</v>
      </c>
      <c r="R222" s="306">
        <f t="shared" ca="1" si="107"/>
        <v>0.28126374267017124</v>
      </c>
      <c r="S222" s="307">
        <f t="shared" ca="1" si="108"/>
        <v>8.0626681216690876</v>
      </c>
      <c r="T222" s="304">
        <f t="shared" ca="1" si="88"/>
        <v>79.094774273573748</v>
      </c>
      <c r="U222" s="311">
        <f t="shared" ca="1" si="89"/>
        <v>0</v>
      </c>
      <c r="V222" s="306">
        <f t="shared" ca="1" si="90"/>
        <v>1.2034332383808035</v>
      </c>
      <c r="W222" s="304">
        <f t="shared" ca="1" si="91"/>
        <v>92.235679725625374</v>
      </c>
      <c r="Y222" s="314" t="str">
        <f t="shared" ca="1" si="109"/>
        <v/>
      </c>
      <c r="Z222" s="315" t="str">
        <f t="shared" ca="1" si="110"/>
        <v/>
      </c>
      <c r="AA222" s="316" t="str">
        <f t="shared" ca="1" si="111"/>
        <v/>
      </c>
      <c r="AC222" s="310" t="e">
        <f t="shared" ca="1" si="112"/>
        <v>#N/A</v>
      </c>
      <c r="AD222" s="323" t="e">
        <f t="shared" ca="1" si="113"/>
        <v>#N/A</v>
      </c>
      <c r="AE222" s="324">
        <f t="shared" ca="1" si="92"/>
        <v>177.61873193250167</v>
      </c>
      <c r="AG222" s="306">
        <f t="shared" ca="1" si="114"/>
        <v>48.567901336144871</v>
      </c>
      <c r="AH222" s="304">
        <f t="shared" ca="1" si="115"/>
        <v>58.142519921417509</v>
      </c>
    </row>
    <row r="223" spans="1:34" x14ac:dyDescent="0.2">
      <c r="A223" s="347">
        <f t="shared" ca="1" si="93"/>
        <v>0.01</v>
      </c>
      <c r="B223" s="304">
        <f t="shared" ca="1" si="94"/>
        <v>2.1899999999999973</v>
      </c>
      <c r="D223" s="306">
        <f t="shared" ca="1" si="95"/>
        <v>12.61761950389077</v>
      </c>
      <c r="E223" s="307">
        <f t="shared" ca="1" si="96"/>
        <v>46.709677307560469</v>
      </c>
      <c r="F223" s="304">
        <f t="shared" ca="1" si="97"/>
        <v>48.383863799012516</v>
      </c>
      <c r="G223" s="306">
        <f t="shared" ca="1" si="98"/>
        <v>33.543714344017111</v>
      </c>
      <c r="H223" s="307">
        <f t="shared" ca="1" si="99"/>
        <v>150.15844481308622</v>
      </c>
      <c r="I223" s="304">
        <f t="shared" ca="1" si="100"/>
        <v>153.85947913819831</v>
      </c>
      <c r="J223" s="306">
        <f t="shared" ca="1" si="101"/>
        <v>37.501812269516826</v>
      </c>
      <c r="K223" s="307">
        <f t="shared" ca="1" si="102"/>
        <v>179.11798089676716</v>
      </c>
      <c r="L223" s="304">
        <f t="shared" ca="1" si="87"/>
        <v>183.00174043990054</v>
      </c>
      <c r="M223" s="306">
        <f t="shared" ca="1" si="103"/>
        <v>1.3510159788113316</v>
      </c>
      <c r="N223" s="304">
        <f t="shared" ca="1" si="104"/>
        <v>77.407513640625154</v>
      </c>
      <c r="P223" s="310">
        <f t="shared" ca="1" si="105"/>
        <v>6</v>
      </c>
      <c r="Q223" s="304">
        <f t="shared" ca="1" si="106"/>
        <v>558.99000000000035</v>
      </c>
      <c r="R223" s="306">
        <f t="shared" ca="1" si="107"/>
        <v>0.28053103669408336</v>
      </c>
      <c r="S223" s="307">
        <f t="shared" ca="1" si="108"/>
        <v>8.0598628113021462</v>
      </c>
      <c r="T223" s="304">
        <f t="shared" ca="1" si="88"/>
        <v>79.067254178874052</v>
      </c>
      <c r="U223" s="311">
        <f t="shared" ca="1" si="89"/>
        <v>0</v>
      </c>
      <c r="V223" s="306">
        <f t="shared" ca="1" si="90"/>
        <v>1.2032528129518583</v>
      </c>
      <c r="W223" s="304">
        <f t="shared" ca="1" si="91"/>
        <v>92.804045091378867</v>
      </c>
      <c r="Y223" s="314" t="str">
        <f t="shared" ca="1" si="109"/>
        <v/>
      </c>
      <c r="Z223" s="315" t="str">
        <f t="shared" ca="1" si="110"/>
        <v/>
      </c>
      <c r="AA223" s="316" t="str">
        <f t="shared" ca="1" si="111"/>
        <v/>
      </c>
      <c r="AC223" s="310" t="e">
        <f t="shared" ca="1" si="112"/>
        <v>#N/A</v>
      </c>
      <c r="AD223" s="323" t="e">
        <f t="shared" ca="1" si="113"/>
        <v>#N/A</v>
      </c>
      <c r="AE223" s="324">
        <f t="shared" ca="1" si="92"/>
        <v>179.11798089676716</v>
      </c>
      <c r="AG223" s="306">
        <f t="shared" ca="1" si="114"/>
        <v>48.336629989971954</v>
      </c>
      <c r="AH223" s="304">
        <f t="shared" ca="1" si="115"/>
        <v>57.910950992845308</v>
      </c>
    </row>
    <row r="224" spans="1:34" x14ac:dyDescent="0.2">
      <c r="A224" s="347">
        <f t="shared" ca="1" si="93"/>
        <v>0.01</v>
      </c>
      <c r="B224" s="304">
        <f t="shared" ca="1" si="94"/>
        <v>2.1999999999999971</v>
      </c>
      <c r="D224" s="306">
        <f t="shared" ca="1" si="95"/>
        <v>12.574970170868339</v>
      </c>
      <c r="E224" s="307">
        <f t="shared" ca="1" si="96"/>
        <v>46.481856801044067</v>
      </c>
      <c r="F224" s="304">
        <f t="shared" ca="1" si="97"/>
        <v>48.152807669657179</v>
      </c>
      <c r="G224" s="306">
        <f t="shared" ca="1" si="98"/>
        <v>33.669464045725796</v>
      </c>
      <c r="H224" s="307">
        <f t="shared" ca="1" si="99"/>
        <v>150.62326338109665</v>
      </c>
      <c r="I224" s="304">
        <f t="shared" ca="1" si="100"/>
        <v>154.34053349881111</v>
      </c>
      <c r="J224" s="306">
        <f t="shared" ca="1" si="101"/>
        <v>37.83787816146554</v>
      </c>
      <c r="K224" s="307">
        <f t="shared" ca="1" si="102"/>
        <v>180.62188943773808</v>
      </c>
      <c r="L224" s="304">
        <f t="shared" ca="1" si="87"/>
        <v>184.54260204034293</v>
      </c>
      <c r="M224" s="306">
        <f t="shared" ca="1" si="103"/>
        <v>1.3508774066774454</v>
      </c>
      <c r="N224" s="304">
        <f t="shared" ca="1" si="104"/>
        <v>77.399574042195354</v>
      </c>
      <c r="P224" s="310">
        <f t="shared" ca="1" si="105"/>
        <v>6</v>
      </c>
      <c r="Q224" s="304">
        <f t="shared" ca="1" si="106"/>
        <v>557.53000000000043</v>
      </c>
      <c r="R224" s="306">
        <f t="shared" ca="1" si="107"/>
        <v>0.27979833071799548</v>
      </c>
      <c r="S224" s="307">
        <f t="shared" ca="1" si="108"/>
        <v>8.0570648279949655</v>
      </c>
      <c r="T224" s="304">
        <f t="shared" ca="1" si="88"/>
        <v>79.039805962630609</v>
      </c>
      <c r="U224" s="311">
        <f t="shared" ca="1" si="89"/>
        <v>0</v>
      </c>
      <c r="V224" s="306">
        <f t="shared" ca="1" si="90"/>
        <v>1.2030718537046636</v>
      </c>
      <c r="W224" s="304">
        <f t="shared" ca="1" si="91"/>
        <v>93.371226941930601</v>
      </c>
      <c r="Y224" s="314" t="str">
        <f t="shared" ca="1" si="109"/>
        <v/>
      </c>
      <c r="Z224" s="315" t="str">
        <f t="shared" ca="1" si="110"/>
        <v/>
      </c>
      <c r="AA224" s="316" t="str">
        <f t="shared" ca="1" si="111"/>
        <v/>
      </c>
      <c r="AC224" s="310" t="e">
        <f t="shared" ca="1" si="112"/>
        <v>#N/A</v>
      </c>
      <c r="AD224" s="323" t="e">
        <f t="shared" ca="1" si="113"/>
        <v>#N/A</v>
      </c>
      <c r="AE224" s="324">
        <f t="shared" ca="1" si="92"/>
        <v>180.62188943773808</v>
      </c>
      <c r="AG224" s="306">
        <f t="shared" ca="1" si="114"/>
        <v>48.105287877111728</v>
      </c>
      <c r="AH224" s="304">
        <f t="shared" ca="1" si="115"/>
        <v>57.679311862291492</v>
      </c>
    </row>
    <row r="225" spans="1:34" x14ac:dyDescent="0.2">
      <c r="A225" s="347">
        <f t="shared" ca="1" si="93"/>
        <v>0.01</v>
      </c>
      <c r="B225" s="304">
        <f t="shared" ca="1" si="94"/>
        <v>2.2099999999999969</v>
      </c>
      <c r="D225" s="306">
        <f t="shared" ca="1" si="95"/>
        <v>12.532223887437537</v>
      </c>
      <c r="E225" s="307">
        <f t="shared" ca="1" si="96"/>
        <v>46.253988924350082</v>
      </c>
      <c r="F225" s="304">
        <f t="shared" ca="1" si="97"/>
        <v>47.921687438765758</v>
      </c>
      <c r="G225" s="306">
        <f t="shared" ca="1" si="98"/>
        <v>33.794786284600171</v>
      </c>
      <c r="H225" s="307">
        <f t="shared" ca="1" si="99"/>
        <v>151.08580327034014</v>
      </c>
      <c r="I225" s="304">
        <f t="shared" ca="1" si="100"/>
        <v>154.81927376740185</v>
      </c>
      <c r="J225" s="306">
        <f t="shared" ca="1" si="101"/>
        <v>38.17519941311717</v>
      </c>
      <c r="K225" s="307">
        <f t="shared" ca="1" si="102"/>
        <v>182.13043477099527</v>
      </c>
      <c r="L225" s="304">
        <f t="shared" ca="1" si="87"/>
        <v>186.08826163974723</v>
      </c>
      <c r="M225" s="306">
        <f t="shared" ca="1" si="103"/>
        <v>1.3507391773518909</v>
      </c>
      <c r="N225" s="304">
        <f t="shared" ca="1" si="104"/>
        <v>77.391654085236141</v>
      </c>
      <c r="P225" s="310">
        <f t="shared" ca="1" si="105"/>
        <v>6</v>
      </c>
      <c r="Q225" s="304">
        <f t="shared" ca="1" si="106"/>
        <v>556.07000000000039</v>
      </c>
      <c r="R225" s="306">
        <f t="shared" ca="1" si="107"/>
        <v>0.2790656247419076</v>
      </c>
      <c r="S225" s="307">
        <f t="shared" ca="1" si="108"/>
        <v>8.0542741717475472</v>
      </c>
      <c r="T225" s="304">
        <f t="shared" ca="1" si="88"/>
        <v>79.012429624843449</v>
      </c>
      <c r="U225" s="311">
        <f t="shared" ca="1" si="89"/>
        <v>0</v>
      </c>
      <c r="V225" s="306">
        <f t="shared" ca="1" si="90"/>
        <v>1.2028903636248349</v>
      </c>
      <c r="W225" s="304">
        <f t="shared" ca="1" si="91"/>
        <v>93.93719819361354</v>
      </c>
      <c r="Y225" s="314" t="str">
        <f t="shared" ca="1" si="109"/>
        <v/>
      </c>
      <c r="Z225" s="315" t="str">
        <f t="shared" ca="1" si="110"/>
        <v/>
      </c>
      <c r="AA225" s="316" t="str">
        <f t="shared" ca="1" si="111"/>
        <v/>
      </c>
      <c r="AC225" s="310" t="e">
        <f t="shared" ca="1" si="112"/>
        <v>#N/A</v>
      </c>
      <c r="AD225" s="323" t="e">
        <f t="shared" ca="1" si="113"/>
        <v>#N/A</v>
      </c>
      <c r="AE225" s="324">
        <f t="shared" ca="1" si="92"/>
        <v>182.13043477099527</v>
      </c>
      <c r="AG225" s="306">
        <f t="shared" ca="1" si="114"/>
        <v>47.873878949800911</v>
      </c>
      <c r="AH225" s="304">
        <f t="shared" ca="1" si="115"/>
        <v>57.447606474721901</v>
      </c>
    </row>
    <row r="226" spans="1:34" x14ac:dyDescent="0.2">
      <c r="A226" s="347">
        <f t="shared" ca="1" si="93"/>
        <v>0.01</v>
      </c>
      <c r="B226" s="304">
        <f t="shared" ca="1" si="94"/>
        <v>2.2199999999999966</v>
      </c>
      <c r="D226" s="306">
        <f t="shared" ca="1" si="95"/>
        <v>12.489381947450738</v>
      </c>
      <c r="E226" s="307">
        <f t="shared" ca="1" si="96"/>
        <v>46.026077434836303</v>
      </c>
      <c r="F226" s="304">
        <f t="shared" ca="1" si="97"/>
        <v>47.690507079154187</v>
      </c>
      <c r="G226" s="306">
        <f t="shared" ca="1" si="98"/>
        <v>33.919680104074679</v>
      </c>
      <c r="H226" s="307">
        <f t="shared" ca="1" si="99"/>
        <v>151.54606404468851</v>
      </c>
      <c r="I226" s="304">
        <f t="shared" ca="1" si="100"/>
        <v>155.29569931520831</v>
      </c>
      <c r="J226" s="306">
        <f t="shared" ca="1" si="101"/>
        <v>38.513771745060545</v>
      </c>
      <c r="K226" s="307">
        <f t="shared" ca="1" si="102"/>
        <v>183.64359410757041</v>
      </c>
      <c r="L226" s="304">
        <f t="shared" ca="1" si="87"/>
        <v>187.63869609112268</v>
      </c>
      <c r="M226" s="306">
        <f t="shared" ca="1" si="103"/>
        <v>1.3506012868798152</v>
      </c>
      <c r="N226" s="304">
        <f t="shared" ca="1" si="104"/>
        <v>77.38375354315113</v>
      </c>
      <c r="P226" s="310">
        <f t="shared" ca="1" si="105"/>
        <v>6</v>
      </c>
      <c r="Q226" s="304">
        <f t="shared" ca="1" si="106"/>
        <v>554.61000000000047</v>
      </c>
      <c r="R226" s="306">
        <f t="shared" ca="1" si="107"/>
        <v>0.27833291876581978</v>
      </c>
      <c r="S226" s="307">
        <f t="shared" ca="1" si="108"/>
        <v>8.0514908425598897</v>
      </c>
      <c r="T226" s="304">
        <f t="shared" ca="1" si="88"/>
        <v>78.985125165512528</v>
      </c>
      <c r="U226" s="311">
        <f t="shared" ca="1" si="89"/>
        <v>0</v>
      </c>
      <c r="V226" s="306">
        <f t="shared" ca="1" si="90"/>
        <v>1.202708345697558</v>
      </c>
      <c r="W226" s="304">
        <f t="shared" ca="1" si="91"/>
        <v>94.501931951120511</v>
      </c>
      <c r="Y226" s="314" t="str">
        <f t="shared" ca="1" si="109"/>
        <v/>
      </c>
      <c r="Z226" s="315" t="str">
        <f t="shared" ca="1" si="110"/>
        <v/>
      </c>
      <c r="AA226" s="316" t="str">
        <f t="shared" ca="1" si="111"/>
        <v/>
      </c>
      <c r="AC226" s="310" t="e">
        <f t="shared" ca="1" si="112"/>
        <v>#N/A</v>
      </c>
      <c r="AD226" s="323" t="e">
        <f t="shared" ca="1" si="113"/>
        <v>#N/A</v>
      </c>
      <c r="AE226" s="324">
        <f t="shared" ca="1" si="92"/>
        <v>183.64359410757041</v>
      </c>
      <c r="AG226" s="306">
        <f t="shared" ca="1" si="114"/>
        <v>47.642407142714653</v>
      </c>
      <c r="AH226" s="304">
        <f t="shared" ca="1" si="115"/>
        <v>57.215838757623267</v>
      </c>
    </row>
    <row r="227" spans="1:34" x14ac:dyDescent="0.2">
      <c r="A227" s="347">
        <f t="shared" ca="1" si="93"/>
        <v>0.01</v>
      </c>
      <c r="B227" s="304">
        <f t="shared" ca="1" si="94"/>
        <v>2.2299999999999964</v>
      </c>
      <c r="D227" s="306">
        <f t="shared" ca="1" si="95"/>
        <v>12.44644563673913</v>
      </c>
      <c r="E227" s="307">
        <f t="shared" ca="1" si="96"/>
        <v>45.798126073318016</v>
      </c>
      <c r="F227" s="304">
        <f t="shared" ca="1" si="97"/>
        <v>47.459270546604841</v>
      </c>
      <c r="G227" s="306">
        <f t="shared" ca="1" si="98"/>
        <v>34.044144560442071</v>
      </c>
      <c r="H227" s="307">
        <f t="shared" ca="1" si="99"/>
        <v>152.0040453054217</v>
      </c>
      <c r="I227" s="304">
        <f t="shared" ca="1" si="100"/>
        <v>155.76980955263755</v>
      </c>
      <c r="J227" s="306">
        <f t="shared" ca="1" si="101"/>
        <v>38.853590868383129</v>
      </c>
      <c r="K227" s="307">
        <f t="shared" ca="1" si="102"/>
        <v>185.16134465432097</v>
      </c>
      <c r="L227" s="304">
        <f t="shared" ca="1" si="87"/>
        <v>189.19388224137677</v>
      </c>
      <c r="M227" s="306">
        <f t="shared" ca="1" si="103"/>
        <v>1.3504637313547903</v>
      </c>
      <c r="N227" s="304">
        <f t="shared" ca="1" si="104"/>
        <v>77.375872192118507</v>
      </c>
      <c r="P227" s="310">
        <f t="shared" ca="1" si="105"/>
        <v>6</v>
      </c>
      <c r="Q227" s="304">
        <f t="shared" ca="1" si="106"/>
        <v>553.15000000000055</v>
      </c>
      <c r="R227" s="306">
        <f t="shared" ca="1" si="107"/>
        <v>0.2776002127897319</v>
      </c>
      <c r="S227" s="307">
        <f t="shared" ca="1" si="108"/>
        <v>8.0487148404319928</v>
      </c>
      <c r="T227" s="304">
        <f t="shared" ca="1" si="88"/>
        <v>78.957892584637847</v>
      </c>
      <c r="U227" s="311">
        <f t="shared" ca="1" si="89"/>
        <v>0</v>
      </c>
      <c r="V227" s="306">
        <f t="shared" ca="1" si="90"/>
        <v>1.2025258029075292</v>
      </c>
      <c r="W227" s="304">
        <f t="shared" ca="1" si="91"/>
        <v>95.065401508103818</v>
      </c>
      <c r="Y227" s="314" t="str">
        <f t="shared" ca="1" si="109"/>
        <v/>
      </c>
      <c r="Z227" s="315" t="str">
        <f t="shared" ca="1" si="110"/>
        <v/>
      </c>
      <c r="AA227" s="316" t="str">
        <f t="shared" ca="1" si="111"/>
        <v/>
      </c>
      <c r="AC227" s="310" t="e">
        <f t="shared" ca="1" si="112"/>
        <v>#N/A</v>
      </c>
      <c r="AD227" s="323" t="e">
        <f t="shared" ca="1" si="113"/>
        <v>#N/A</v>
      </c>
      <c r="AE227" s="324">
        <f t="shared" ca="1" si="92"/>
        <v>185.16134465432097</v>
      </c>
      <c r="AG227" s="306">
        <f t="shared" ca="1" si="114"/>
        <v>47.410876372824831</v>
      </c>
      <c r="AH227" s="304">
        <f t="shared" ca="1" si="115"/>
        <v>56.984012620860021</v>
      </c>
    </row>
    <row r="228" spans="1:34" x14ac:dyDescent="0.2">
      <c r="A228" s="347">
        <f t="shared" ca="1" si="93"/>
        <v>0.01</v>
      </c>
      <c r="B228" s="304">
        <f t="shared" ca="1" si="94"/>
        <v>2.2399999999999962</v>
      </c>
      <c r="D228" s="306">
        <f t="shared" ca="1" si="95"/>
        <v>12.403416233160611</v>
      </c>
      <c r="E228" s="307">
        <f t="shared" ca="1" si="96"/>
        <v>45.570138563918306</v>
      </c>
      <c r="F228" s="304">
        <f t="shared" ca="1" si="97"/>
        <v>47.227981779743104</v>
      </c>
      <c r="G228" s="306">
        <f t="shared" ca="1" si="98"/>
        <v>34.168178722773675</v>
      </c>
      <c r="H228" s="307">
        <f t="shared" ca="1" si="99"/>
        <v>152.45974669106087</v>
      </c>
      <c r="I228" s="304">
        <f t="shared" ca="1" si="100"/>
        <v>156.24160392908749</v>
      </c>
      <c r="J228" s="306">
        <f t="shared" ca="1" si="101"/>
        <v>39.194652484799207</v>
      </c>
      <c r="K228" s="307">
        <f t="shared" ca="1" si="102"/>
        <v>186.68366361430338</v>
      </c>
      <c r="L228" s="304">
        <f t="shared" ca="1" si="87"/>
        <v>190.75379693170606</v>
      </c>
      <c r="M228" s="306">
        <f t="shared" ca="1" si="103"/>
        <v>1.350326506917946</v>
      </c>
      <c r="N228" s="304">
        <f t="shared" ca="1" si="104"/>
        <v>77.368009811041262</v>
      </c>
      <c r="P228" s="310">
        <f t="shared" ca="1" si="105"/>
        <v>6</v>
      </c>
      <c r="Q228" s="304">
        <f t="shared" ca="1" si="106"/>
        <v>551.69000000000051</v>
      </c>
      <c r="R228" s="306">
        <f t="shared" ca="1" si="107"/>
        <v>0.27686750681364403</v>
      </c>
      <c r="S228" s="307">
        <f t="shared" ca="1" si="108"/>
        <v>8.0459461653638567</v>
      </c>
      <c r="T228" s="304">
        <f t="shared" ca="1" si="88"/>
        <v>78.930731882219433</v>
      </c>
      <c r="U228" s="311">
        <f t="shared" ca="1" si="89"/>
        <v>0</v>
      </c>
      <c r="V228" s="306">
        <f t="shared" ca="1" si="90"/>
        <v>1.2023427382388998</v>
      </c>
      <c r="W228" s="304">
        <f t="shared" ca="1" si="91"/>
        <v>95.62758034775581</v>
      </c>
      <c r="Y228" s="314" t="str">
        <f t="shared" ca="1" si="109"/>
        <v/>
      </c>
      <c r="Z228" s="315" t="str">
        <f t="shared" ca="1" si="110"/>
        <v/>
      </c>
      <c r="AA228" s="316" t="str">
        <f t="shared" ca="1" si="111"/>
        <v/>
      </c>
      <c r="AC228" s="310" t="e">
        <f t="shared" ca="1" si="112"/>
        <v>#N/A</v>
      </c>
      <c r="AD228" s="323" t="e">
        <f t="shared" ca="1" si="113"/>
        <v>#N/A</v>
      </c>
      <c r="AE228" s="324">
        <f t="shared" ca="1" si="92"/>
        <v>186.68366361430338</v>
      </c>
      <c r="AG228" s="306">
        <f t="shared" ca="1" si="114"/>
        <v>47.179290539260982</v>
      </c>
      <c r="AH228" s="304">
        <f t="shared" ca="1" si="115"/>
        <v>56.752131956533795</v>
      </c>
    </row>
    <row r="229" spans="1:34" x14ac:dyDescent="0.2">
      <c r="A229" s="347">
        <f t="shared" ca="1" si="93"/>
        <v>0.01</v>
      </c>
      <c r="B229" s="304">
        <f t="shared" ca="1" si="94"/>
        <v>2.249999999999996</v>
      </c>
      <c r="D229" s="306">
        <f t="shared" ca="1" si="95"/>
        <v>12.360295006646158</v>
      </c>
      <c r="E229" s="307">
        <f t="shared" ca="1" si="96"/>
        <v>45.342118613920782</v>
      </c>
      <c r="F229" s="304">
        <f t="shared" ca="1" si="97"/>
        <v>46.99664469991643</v>
      </c>
      <c r="G229" s="306">
        <f t="shared" ca="1" si="98"/>
        <v>34.291781672840138</v>
      </c>
      <c r="H229" s="307">
        <f t="shared" ca="1" si="99"/>
        <v>152.91316787720007</v>
      </c>
      <c r="I229" s="304">
        <f t="shared" ca="1" si="100"/>
        <v>156.71108193276729</v>
      </c>
      <c r="J229" s="306">
        <f t="shared" ca="1" si="101"/>
        <v>39.536952286777279</v>
      </c>
      <c r="K229" s="307">
        <f t="shared" ca="1" si="102"/>
        <v>188.21052818714469</v>
      </c>
      <c r="L229" s="304">
        <f t="shared" ca="1" si="87"/>
        <v>192.31841699798511</v>
      </c>
      <c r="M229" s="306">
        <f t="shared" ca="1" si="103"/>
        <v>1.3501896097571211</v>
      </c>
      <c r="N229" s="304">
        <f t="shared" ca="1" si="104"/>
        <v>77.36016618149867</v>
      </c>
      <c r="P229" s="310">
        <f t="shared" ca="1" si="105"/>
        <v>6</v>
      </c>
      <c r="Q229" s="304">
        <f t="shared" ca="1" si="106"/>
        <v>550.23000000000059</v>
      </c>
      <c r="R229" s="306">
        <f t="shared" ca="1" si="107"/>
        <v>0.2761348008375562</v>
      </c>
      <c r="S229" s="307">
        <f t="shared" ca="1" si="108"/>
        <v>8.0431848173554812</v>
      </c>
      <c r="T229" s="304">
        <f t="shared" ca="1" si="88"/>
        <v>78.903643058257273</v>
      </c>
      <c r="U229" s="311">
        <f t="shared" ca="1" si="89"/>
        <v>0</v>
      </c>
      <c r="V229" s="306">
        <f t="shared" ca="1" si="90"/>
        <v>1.2021591546752157</v>
      </c>
      <c r="W229" s="304">
        <f t="shared" ca="1" si="91"/>
        <v>96.18844214336977</v>
      </c>
      <c r="Y229" s="314" t="str">
        <f t="shared" ca="1" si="109"/>
        <v/>
      </c>
      <c r="Z229" s="315" t="str">
        <f t="shared" ca="1" si="110"/>
        <v/>
      </c>
      <c r="AA229" s="316" t="str">
        <f t="shared" ca="1" si="111"/>
        <v/>
      </c>
      <c r="AC229" s="310" t="e">
        <f t="shared" ca="1" si="112"/>
        <v>#N/A</v>
      </c>
      <c r="AD229" s="323" t="e">
        <f t="shared" ca="1" si="113"/>
        <v>#N/A</v>
      </c>
      <c r="AE229" s="324">
        <f t="shared" ca="1" si="92"/>
        <v>188.21052818714469</v>
      </c>
      <c r="AG229" s="306">
        <f t="shared" ca="1" si="114"/>
        <v>46.947653523173429</v>
      </c>
      <c r="AH229" s="304">
        <f t="shared" ca="1" si="115"/>
        <v>56.520200638845132</v>
      </c>
    </row>
    <row r="230" spans="1:34" x14ac:dyDescent="0.2">
      <c r="A230" s="347">
        <f t="shared" ca="1" si="93"/>
        <v>0.01</v>
      </c>
      <c r="B230" s="304">
        <f t="shared" ca="1" si="94"/>
        <v>2.2599999999999958</v>
      </c>
      <c r="D230" s="306">
        <f t="shared" ca="1" si="95"/>
        <v>12.317083219244862</v>
      </c>
      <c r="E230" s="307">
        <f t="shared" ca="1" si="96"/>
        <v>45.114069913624903</v>
      </c>
      <c r="F230" s="304">
        <f t="shared" ca="1" si="97"/>
        <v>46.765263211076217</v>
      </c>
      <c r="G230" s="306">
        <f t="shared" ca="1" si="98"/>
        <v>34.414952505032588</v>
      </c>
      <c r="H230" s="307">
        <f t="shared" ca="1" si="99"/>
        <v>153.36430857633633</v>
      </c>
      <c r="I230" s="304">
        <f t="shared" ca="1" si="100"/>
        <v>157.17824309051605</v>
      </c>
      <c r="J230" s="306">
        <f t="shared" ca="1" si="101"/>
        <v>39.880485957666643</v>
      </c>
      <c r="K230" s="307">
        <f t="shared" ca="1" si="102"/>
        <v>189.74191556941238</v>
      </c>
      <c r="L230" s="304">
        <f t="shared" ca="1" si="87"/>
        <v>193.88771927115357</v>
      </c>
      <c r="M230" s="306">
        <f t="shared" ca="1" si="103"/>
        <v>1.3500530361060346</v>
      </c>
      <c r="N230" s="304">
        <f t="shared" ca="1" si="104"/>
        <v>77.352341087698719</v>
      </c>
      <c r="P230" s="310">
        <f t="shared" ca="1" si="105"/>
        <v>6</v>
      </c>
      <c r="Q230" s="304">
        <f t="shared" ca="1" si="106"/>
        <v>548.77000000000055</v>
      </c>
      <c r="R230" s="306">
        <f t="shared" ca="1" si="107"/>
        <v>0.27540209486146833</v>
      </c>
      <c r="S230" s="307">
        <f t="shared" ca="1" si="108"/>
        <v>8.0404307964068664</v>
      </c>
      <c r="T230" s="304">
        <f t="shared" ca="1" si="88"/>
        <v>78.876626112751367</v>
      </c>
      <c r="U230" s="311">
        <f t="shared" ca="1" si="89"/>
        <v>0</v>
      </c>
      <c r="V230" s="306">
        <f t="shared" ca="1" si="90"/>
        <v>1.2019750551993649</v>
      </c>
      <c r="W230" s="304">
        <f t="shared" ca="1" si="91"/>
        <v>96.747960758881931</v>
      </c>
      <c r="Y230" s="314" t="str">
        <f t="shared" ca="1" si="109"/>
        <v/>
      </c>
      <c r="Z230" s="315" t="str">
        <f t="shared" ca="1" si="110"/>
        <v/>
      </c>
      <c r="AA230" s="316" t="str">
        <f t="shared" ca="1" si="111"/>
        <v/>
      </c>
      <c r="AC230" s="310" t="e">
        <f t="shared" ca="1" si="112"/>
        <v>#N/A</v>
      </c>
      <c r="AD230" s="323" t="e">
        <f t="shared" ca="1" si="113"/>
        <v>#N/A</v>
      </c>
      <c r="AE230" s="324">
        <f t="shared" ca="1" si="92"/>
        <v>189.74191556941238</v>
      </c>
      <c r="AG230" s="306">
        <f t="shared" ca="1" si="114"/>
        <v>46.715969187598702</v>
      </c>
      <c r="AH230" s="304">
        <f t="shared" ca="1" si="115"/>
        <v>56.288222523957529</v>
      </c>
    </row>
    <row r="231" spans="1:34" x14ac:dyDescent="0.2">
      <c r="A231" s="347">
        <f t="shared" ca="1" si="93"/>
        <v>0.01</v>
      </c>
      <c r="B231" s="304">
        <f t="shared" ca="1" si="94"/>
        <v>2.2699999999999956</v>
      </c>
      <c r="D231" s="306">
        <f t="shared" ca="1" si="95"/>
        <v>12.273782125167497</v>
      </c>
      <c r="E231" s="307">
        <f t="shared" ca="1" si="96"/>
        <v>44.885996136204049</v>
      </c>
      <c r="F231" s="304">
        <f t="shared" ca="1" si="97"/>
        <v>46.53384119966249</v>
      </c>
      <c r="G231" s="306">
        <f t="shared" ca="1" si="98"/>
        <v>34.537690326284263</v>
      </c>
      <c r="H231" s="307">
        <f t="shared" ca="1" si="99"/>
        <v>153.81316853769837</v>
      </c>
      <c r="I231" s="304">
        <f t="shared" ca="1" si="100"/>
        <v>157.64308696762035</v>
      </c>
      <c r="J231" s="306">
        <f t="shared" ca="1" si="101"/>
        <v>40.225249171823229</v>
      </c>
      <c r="K231" s="307">
        <f t="shared" ca="1" si="102"/>
        <v>191.27780295498255</v>
      </c>
      <c r="L231" s="304">
        <f t="shared" ca="1" si="87"/>
        <v>195.4616805776017</v>
      </c>
      <c r="M231" s="306">
        <f t="shared" ca="1" si="103"/>
        <v>1.3499167822434721</v>
      </c>
      <c r="N231" s="304">
        <f t="shared" ca="1" si="104"/>
        <v>77.344534316431535</v>
      </c>
      <c r="P231" s="310">
        <f t="shared" ca="1" si="105"/>
        <v>6</v>
      </c>
      <c r="Q231" s="304">
        <f t="shared" ca="1" si="106"/>
        <v>547.31000000000063</v>
      </c>
      <c r="R231" s="306">
        <f t="shared" ca="1" si="107"/>
        <v>0.27466938888538045</v>
      </c>
      <c r="S231" s="307">
        <f t="shared" ca="1" si="108"/>
        <v>8.0376841025180124</v>
      </c>
      <c r="T231" s="304">
        <f t="shared" ca="1" si="88"/>
        <v>78.849681045701701</v>
      </c>
      <c r="U231" s="311">
        <f t="shared" ca="1" si="89"/>
        <v>0</v>
      </c>
      <c r="V231" s="306">
        <f t="shared" ca="1" si="90"/>
        <v>1.2017904427935155</v>
      </c>
      <c r="W231" s="304">
        <f t="shared" ca="1" si="91"/>
        <v>97.306110249393583</v>
      </c>
      <c r="Y231" s="314" t="str">
        <f t="shared" ca="1" si="109"/>
        <v/>
      </c>
      <c r="Z231" s="315" t="str">
        <f t="shared" ca="1" si="110"/>
        <v/>
      </c>
      <c r="AA231" s="316" t="str">
        <f t="shared" ca="1" si="111"/>
        <v/>
      </c>
      <c r="AC231" s="310" t="e">
        <f t="shared" ca="1" si="112"/>
        <v>#N/A</v>
      </c>
      <c r="AD231" s="323" t="e">
        <f t="shared" ca="1" si="113"/>
        <v>#N/A</v>
      </c>
      <c r="AE231" s="324">
        <f t="shared" ca="1" si="92"/>
        <v>191.27780295498255</v>
      </c>
      <c r="AG231" s="306">
        <f t="shared" ca="1" si="114"/>
        <v>46.484241377327436</v>
      </c>
      <c r="AH231" s="304">
        <f t="shared" ca="1" si="115"/>
        <v>56.056201449863956</v>
      </c>
    </row>
    <row r="232" spans="1:34" x14ac:dyDescent="0.2">
      <c r="A232" s="347">
        <f t="shared" ca="1" si="93"/>
        <v>0.01</v>
      </c>
      <c r="B232" s="304">
        <f t="shared" ca="1" si="94"/>
        <v>2.2799999999999954</v>
      </c>
      <c r="D232" s="306">
        <f t="shared" ca="1" si="95"/>
        <v>12.230392970828907</v>
      </c>
      <c r="E232" s="307">
        <f t="shared" ca="1" si="96"/>
        <v>44.65790093756614</v>
      </c>
      <c r="F232" s="304">
        <f t="shared" ca="1" si="97"/>
        <v>46.302382534491372</v>
      </c>
      <c r="G232" s="306">
        <f t="shared" ca="1" si="98"/>
        <v>34.659994255992551</v>
      </c>
      <c r="H232" s="307">
        <f t="shared" ca="1" si="99"/>
        <v>154.25974754707403</v>
      </c>
      <c r="I232" s="304">
        <f t="shared" ca="1" si="100"/>
        <v>158.10561316763059</v>
      </c>
      <c r="J232" s="306">
        <f t="shared" ca="1" si="101"/>
        <v>40.571237594734612</v>
      </c>
      <c r="K232" s="307">
        <f t="shared" ca="1" si="102"/>
        <v>192.81816753540642</v>
      </c>
      <c r="L232" s="304">
        <f t="shared" ca="1" si="87"/>
        <v>197.04027773955372</v>
      </c>
      <c r="M232" s="306">
        <f t="shared" ca="1" si="103"/>
        <v>1.3497808444924928</v>
      </c>
      <c r="N232" s="304">
        <f t="shared" ca="1" si="104"/>
        <v>77.336745657023926</v>
      </c>
      <c r="P232" s="310">
        <f t="shared" ca="1" si="105"/>
        <v>6</v>
      </c>
      <c r="Q232" s="304">
        <f t="shared" ca="1" si="106"/>
        <v>545.8500000000007</v>
      </c>
      <c r="R232" s="306">
        <f t="shared" ca="1" si="107"/>
        <v>0.27393668290929263</v>
      </c>
      <c r="S232" s="307">
        <f t="shared" ca="1" si="108"/>
        <v>8.034944735688919</v>
      </c>
      <c r="T232" s="304">
        <f t="shared" ca="1" si="88"/>
        <v>78.822807857108302</v>
      </c>
      <c r="U232" s="311">
        <f t="shared" ca="1" si="89"/>
        <v>0</v>
      </c>
      <c r="V232" s="306">
        <f t="shared" ca="1" si="90"/>
        <v>1.2016053204390638</v>
      </c>
      <c r="W232" s="304">
        <f t="shared" ca="1" si="91"/>
        <v>97.862864861675078</v>
      </c>
      <c r="Y232" s="314" t="str">
        <f t="shared" ca="1" si="109"/>
        <v/>
      </c>
      <c r="Z232" s="315" t="str">
        <f t="shared" ca="1" si="110"/>
        <v/>
      </c>
      <c r="AA232" s="316" t="str">
        <f t="shared" ca="1" si="111"/>
        <v/>
      </c>
      <c r="AC232" s="310" t="e">
        <f t="shared" ca="1" si="112"/>
        <v>#N/A</v>
      </c>
      <c r="AD232" s="323" t="e">
        <f t="shared" ca="1" si="113"/>
        <v>#N/A</v>
      </c>
      <c r="AE232" s="324">
        <f t="shared" ca="1" si="92"/>
        <v>192.81816753540642</v>
      </c>
      <c r="AG232" s="306">
        <f t="shared" ca="1" si="114"/>
        <v>46.252473918774442</v>
      </c>
      <c r="AH232" s="304">
        <f t="shared" ca="1" si="115"/>
        <v>55.824141236255663</v>
      </c>
    </row>
    <row r="233" spans="1:34" x14ac:dyDescent="0.2">
      <c r="A233" s="347">
        <f t="shared" ca="1" si="93"/>
        <v>0.01</v>
      </c>
      <c r="B233" s="304">
        <f t="shared" ca="1" si="94"/>
        <v>2.2899999999999952</v>
      </c>
      <c r="D233" s="306">
        <f t="shared" ca="1" si="95"/>
        <v>12.186916994889021</v>
      </c>
      <c r="E233" s="307">
        <f t="shared" ca="1" si="96"/>
        <v>44.429787956216771</v>
      </c>
      <c r="F233" s="304">
        <f t="shared" ca="1" si="97"/>
        <v>46.070891066645324</v>
      </c>
      <c r="G233" s="306">
        <f t="shared" ca="1" si="98"/>
        <v>34.781863425941438</v>
      </c>
      <c r="H233" s="307">
        <f t="shared" ca="1" si="99"/>
        <v>154.70404542663618</v>
      </c>
      <c r="I233" s="304">
        <f t="shared" ca="1" si="100"/>
        <v>158.56582133217597</v>
      </c>
      <c r="J233" s="306">
        <f t="shared" ca="1" si="101"/>
        <v>40.918446883144284</v>
      </c>
      <c r="K233" s="307">
        <f t="shared" ca="1" si="102"/>
        <v>194.36298650027496</v>
      </c>
      <c r="L233" s="304">
        <f t="shared" ca="1" si="87"/>
        <v>198.62348757544956</v>
      </c>
      <c r="M233" s="306">
        <f t="shared" ca="1" si="103"/>
        <v>1.3496452192196504</v>
      </c>
      <c r="N233" s="304">
        <f t="shared" ca="1" si="104"/>
        <v>77.328974901294742</v>
      </c>
      <c r="P233" s="310">
        <f t="shared" ca="1" si="105"/>
        <v>6</v>
      </c>
      <c r="Q233" s="304">
        <f t="shared" ca="1" si="106"/>
        <v>544.39000000000067</v>
      </c>
      <c r="R233" s="306">
        <f t="shared" ca="1" si="107"/>
        <v>0.27320397693320475</v>
      </c>
      <c r="S233" s="307">
        <f t="shared" ca="1" si="108"/>
        <v>8.0322126959195863</v>
      </c>
      <c r="T233" s="304">
        <f t="shared" ca="1" si="88"/>
        <v>78.796006546971142</v>
      </c>
      <c r="U233" s="311">
        <f t="shared" ca="1" si="89"/>
        <v>0</v>
      </c>
      <c r="V233" s="306">
        <f t="shared" ca="1" si="90"/>
        <v>1.2014196911165753</v>
      </c>
      <c r="W233" s="304">
        <f t="shared" ca="1" si="91"/>
        <v>98.418199034650144</v>
      </c>
      <c r="Y233" s="314" t="str">
        <f t="shared" ca="1" si="109"/>
        <v/>
      </c>
      <c r="Z233" s="315" t="str">
        <f t="shared" ca="1" si="110"/>
        <v/>
      </c>
      <c r="AA233" s="316" t="str">
        <f t="shared" ca="1" si="111"/>
        <v/>
      </c>
      <c r="AC233" s="310" t="e">
        <f t="shared" ca="1" si="112"/>
        <v>#N/A</v>
      </c>
      <c r="AD233" s="323" t="e">
        <f t="shared" ca="1" si="113"/>
        <v>#N/A</v>
      </c>
      <c r="AE233" s="324">
        <f t="shared" ca="1" si="92"/>
        <v>194.36298650027496</v>
      </c>
      <c r="AG233" s="306">
        <f t="shared" ca="1" si="114"/>
        <v>46.020670619851231</v>
      </c>
      <c r="AH233" s="304">
        <f t="shared" ca="1" si="115"/>
        <v>55.592045684393312</v>
      </c>
    </row>
    <row r="234" spans="1:34" x14ac:dyDescent="0.2">
      <c r="A234" s="347">
        <f t="shared" ca="1" si="93"/>
        <v>0.01</v>
      </c>
      <c r="B234" s="304">
        <f t="shared" ca="1" si="94"/>
        <v>2.2999999999999949</v>
      </c>
      <c r="D234" s="306">
        <f t="shared" ca="1" si="95"/>
        <v>12.143355428292756</v>
      </c>
      <c r="E234" s="307">
        <f t="shared" ca="1" si="96"/>
        <v>44.201660813125116</v>
      </c>
      <c r="F234" s="304">
        <f t="shared" ca="1" si="97"/>
        <v>45.839370629366279</v>
      </c>
      <c r="G234" s="306">
        <f t="shared" ca="1" si="98"/>
        <v>34.903296980224368</v>
      </c>
      <c r="H234" s="307">
        <f t="shared" ca="1" si="99"/>
        <v>155.14606203476743</v>
      </c>
      <c r="I234" s="304">
        <f t="shared" ca="1" si="100"/>
        <v>159.02371114077812</v>
      </c>
      <c r="J234" s="306">
        <f t="shared" ca="1" si="101"/>
        <v>41.266872685175116</v>
      </c>
      <c r="K234" s="307">
        <f t="shared" ca="1" si="102"/>
        <v>195.91223703758197</v>
      </c>
      <c r="L234" s="304">
        <f t="shared" ca="1" si="87"/>
        <v>200.21128690032478</v>
      </c>
      <c r="M234" s="306">
        <f t="shared" ca="1" si="103"/>
        <v>1.3495099028342339</v>
      </c>
      <c r="N234" s="304">
        <f t="shared" ca="1" si="104"/>
        <v>77.32122184351141</v>
      </c>
      <c r="P234" s="310">
        <f t="shared" ca="1" si="105"/>
        <v>6</v>
      </c>
      <c r="Q234" s="304">
        <f t="shared" ca="1" si="106"/>
        <v>542.93000000000075</v>
      </c>
      <c r="R234" s="306">
        <f t="shared" ca="1" si="107"/>
        <v>0.27247127095711693</v>
      </c>
      <c r="S234" s="307">
        <f t="shared" ca="1" si="108"/>
        <v>8.0294879832100143</v>
      </c>
      <c r="T234" s="304">
        <f t="shared" ca="1" si="88"/>
        <v>78.769277115290251</v>
      </c>
      <c r="U234" s="311">
        <f t="shared" ca="1" si="89"/>
        <v>0</v>
      </c>
      <c r="V234" s="306">
        <f t="shared" ca="1" si="90"/>
        <v>1.2012335578057316</v>
      </c>
      <c r="W234" s="304">
        <f t="shared" ca="1" si="91"/>
        <v>98.97208739986155</v>
      </c>
      <c r="Y234" s="314" t="str">
        <f t="shared" ca="1" si="109"/>
        <v/>
      </c>
      <c r="Z234" s="315" t="str">
        <f t="shared" ca="1" si="110"/>
        <v/>
      </c>
      <c r="AA234" s="316" t="str">
        <f t="shared" ca="1" si="111"/>
        <v/>
      </c>
      <c r="AC234" s="310" t="e">
        <f t="shared" ca="1" si="112"/>
        <v>#N/A</v>
      </c>
      <c r="AD234" s="323" t="e">
        <f t="shared" ca="1" si="113"/>
        <v>#N/A</v>
      </c>
      <c r="AE234" s="324">
        <f t="shared" ca="1" si="92"/>
        <v>195.91223703758197</v>
      </c>
      <c r="AG234" s="306">
        <f t="shared" ca="1" si="114"/>
        <v>45.788835269840817</v>
      </c>
      <c r="AH234" s="304">
        <f t="shared" ca="1" si="115"/>
        <v>55.359918576980611</v>
      </c>
    </row>
    <row r="235" spans="1:34" x14ac:dyDescent="0.2">
      <c r="A235" s="347">
        <f t="shared" ca="1" si="93"/>
        <v>0.01</v>
      </c>
      <c r="B235" s="304">
        <f t="shared" ca="1" si="94"/>
        <v>2.3099999999999947</v>
      </c>
      <c r="D235" s="306">
        <f t="shared" ca="1" si="95"/>
        <v>12.099709494308575</v>
      </c>
      <c r="E235" s="307">
        <f t="shared" ca="1" si="96"/>
        <v>43.973523111592165</v>
      </c>
      <c r="F235" s="304">
        <f t="shared" ca="1" si="97"/>
        <v>45.60782503795145</v>
      </c>
      <c r="G235" s="306">
        <f t="shared" ca="1" si="98"/>
        <v>35.024294075167454</v>
      </c>
      <c r="H235" s="307">
        <f t="shared" ca="1" si="99"/>
        <v>155.58579726588334</v>
      </c>
      <c r="I235" s="304">
        <f t="shared" ca="1" si="100"/>
        <v>159.47928231066368</v>
      </c>
      <c r="J235" s="306">
        <f t="shared" ca="1" si="101"/>
        <v>41.616510640452077</v>
      </c>
      <c r="K235" s="307">
        <f t="shared" ca="1" si="102"/>
        <v>197.46589633408522</v>
      </c>
      <c r="L235" s="304">
        <f t="shared" ca="1" si="87"/>
        <v>201.8036525261883</v>
      </c>
      <c r="M235" s="306">
        <f t="shared" ca="1" si="103"/>
        <v>1.3493748917875212</v>
      </c>
      <c r="N235" s="304">
        <f t="shared" ca="1" si="104"/>
        <v>77.313486280347135</v>
      </c>
      <c r="P235" s="310">
        <f t="shared" ca="1" si="105"/>
        <v>6</v>
      </c>
      <c r="Q235" s="304">
        <f t="shared" ca="1" si="106"/>
        <v>541.47000000000071</v>
      </c>
      <c r="R235" s="306">
        <f t="shared" ca="1" si="107"/>
        <v>0.271738564981029</v>
      </c>
      <c r="S235" s="307">
        <f t="shared" ca="1" si="108"/>
        <v>8.0267705975602048</v>
      </c>
      <c r="T235" s="304">
        <f t="shared" ca="1" si="88"/>
        <v>78.742619562065613</v>
      </c>
      <c r="U235" s="311">
        <f t="shared" ca="1" si="89"/>
        <v>0</v>
      </c>
      <c r="V235" s="306">
        <f t="shared" ca="1" si="90"/>
        <v>1.2010469234852716</v>
      </c>
      <c r="W235" s="304">
        <f t="shared" ca="1" si="91"/>
        <v>99.524504781917756</v>
      </c>
      <c r="Y235" s="314" t="str">
        <f t="shared" ca="1" si="109"/>
        <v/>
      </c>
      <c r="Z235" s="315" t="str">
        <f t="shared" ca="1" si="110"/>
        <v/>
      </c>
      <c r="AA235" s="316" t="str">
        <f t="shared" ca="1" si="111"/>
        <v/>
      </c>
      <c r="AC235" s="310" t="e">
        <f t="shared" ca="1" si="112"/>
        <v>#N/A</v>
      </c>
      <c r="AD235" s="323" t="e">
        <f t="shared" ca="1" si="113"/>
        <v>#N/A</v>
      </c>
      <c r="AE235" s="324">
        <f t="shared" ca="1" si="92"/>
        <v>197.46589633408522</v>
      </c>
      <c r="AG235" s="306">
        <f t="shared" ca="1" si="114"/>
        <v>45.556971639274757</v>
      </c>
      <c r="AH235" s="304">
        <f t="shared" ca="1" si="115"/>
        <v>55.127763678040033</v>
      </c>
    </row>
    <row r="236" spans="1:34" x14ac:dyDescent="0.2">
      <c r="A236" s="347">
        <f t="shared" ca="1" si="93"/>
        <v>0.01</v>
      </c>
      <c r="B236" s="304">
        <f t="shared" ca="1" si="94"/>
        <v>2.3199999999999945</v>
      </c>
      <c r="D236" s="306">
        <f t="shared" ca="1" si="95"/>
        <v>12.055980408566164</v>
      </c>
      <c r="E236" s="307">
        <f t="shared" ca="1" si="96"/>
        <v>43.74537843712185</v>
      </c>
      <c r="F236" s="304">
        <f t="shared" ca="1" si="97"/>
        <v>45.37625808965231</v>
      </c>
      <c r="G236" s="306">
        <f t="shared" ca="1" si="98"/>
        <v>35.144853879253112</v>
      </c>
      <c r="H236" s="307">
        <f t="shared" ca="1" si="99"/>
        <v>156.02325105025457</v>
      </c>
      <c r="I236" s="304">
        <f t="shared" ca="1" si="100"/>
        <v>159.93253459657549</v>
      </c>
      <c r="J236" s="306">
        <f t="shared" ca="1" si="101"/>
        <v>41.967356380224182</v>
      </c>
      <c r="K236" s="307">
        <f t="shared" ca="1" si="102"/>
        <v>199.0239415756659</v>
      </c>
      <c r="L236" s="304">
        <f t="shared" ca="1" si="87"/>
        <v>203.40056126239872</v>
      </c>
      <c r="M236" s="306">
        <f t="shared" ca="1" si="103"/>
        <v>1.3492401825720506</v>
      </c>
      <c r="N236" s="304">
        <f t="shared" ca="1" si="104"/>
        <v>77.305768010839145</v>
      </c>
      <c r="P236" s="310">
        <f t="shared" ca="1" si="105"/>
        <v>6</v>
      </c>
      <c r="Q236" s="304">
        <f t="shared" ca="1" si="106"/>
        <v>540.01000000000079</v>
      </c>
      <c r="R236" s="306">
        <f t="shared" ca="1" si="107"/>
        <v>0.27100585900494117</v>
      </c>
      <c r="S236" s="307">
        <f t="shared" ca="1" si="108"/>
        <v>8.024060538970156</v>
      </c>
      <c r="T236" s="304">
        <f t="shared" ca="1" si="88"/>
        <v>78.716033887297229</v>
      </c>
      <c r="U236" s="311">
        <f t="shared" ca="1" si="89"/>
        <v>0</v>
      </c>
      <c r="V236" s="306">
        <f t="shared" ca="1" si="90"/>
        <v>1.2008597911329402</v>
      </c>
      <c r="W236" s="304">
        <f t="shared" ca="1" si="91"/>
        <v>100.07542619892126</v>
      </c>
      <c r="Y236" s="314" t="str">
        <f t="shared" ca="1" si="109"/>
        <v/>
      </c>
      <c r="Z236" s="315" t="str">
        <f t="shared" ca="1" si="110"/>
        <v/>
      </c>
      <c r="AA236" s="316" t="str">
        <f t="shared" ca="1" si="111"/>
        <v/>
      </c>
      <c r="AC236" s="310" t="e">
        <f t="shared" ca="1" si="112"/>
        <v>#N/A</v>
      </c>
      <c r="AD236" s="323" t="e">
        <f t="shared" ca="1" si="113"/>
        <v>#N/A</v>
      </c>
      <c r="AE236" s="324">
        <f t="shared" ca="1" si="92"/>
        <v>199.0239415756659</v>
      </c>
      <c r="AG236" s="306">
        <f t="shared" ca="1" si="114"/>
        <v>45.325083479812797</v>
      </c>
      <c r="AH236" s="304">
        <f t="shared" ca="1" si="115"/>
        <v>54.895584732791278</v>
      </c>
    </row>
    <row r="237" spans="1:34" x14ac:dyDescent="0.2">
      <c r="A237" s="347">
        <f t="shared" ca="1" si="93"/>
        <v>0.01</v>
      </c>
      <c r="B237" s="304">
        <f t="shared" ca="1" si="94"/>
        <v>2.3299999999999943</v>
      </c>
      <c r="D237" s="306">
        <f t="shared" ca="1" si="95"/>
        <v>12.012169379092809</v>
      </c>
      <c r="E237" s="307">
        <f t="shared" ca="1" si="96"/>
        <v>43.517230357294288</v>
      </c>
      <c r="F237" s="304">
        <f t="shared" ca="1" si="97"/>
        <v>45.144673563575921</v>
      </c>
      <c r="G237" s="306">
        <f t="shared" ca="1" si="98"/>
        <v>35.26497557304404</v>
      </c>
      <c r="H237" s="307">
        <f t="shared" ca="1" si="99"/>
        <v>156.45842335382753</v>
      </c>
      <c r="I237" s="304">
        <f t="shared" ca="1" si="100"/>
        <v>160.38346779058281</v>
      </c>
      <c r="J237" s="306">
        <f t="shared" ca="1" si="101"/>
        <v>42.319405527485671</v>
      </c>
      <c r="K237" s="307">
        <f t="shared" ca="1" si="102"/>
        <v>200.5863499476863</v>
      </c>
      <c r="L237" s="304">
        <f t="shared" ca="1" si="87"/>
        <v>205.00198991603827</v>
      </c>
      <c r="M237" s="306">
        <f t="shared" ca="1" si="103"/>
        <v>1.3491057717209067</v>
      </c>
      <c r="N237" s="304">
        <f t="shared" ca="1" si="104"/>
        <v>77.298066836347843</v>
      </c>
      <c r="P237" s="310">
        <f t="shared" ca="1" si="105"/>
        <v>6</v>
      </c>
      <c r="Q237" s="304">
        <f t="shared" ca="1" si="106"/>
        <v>538.55000000000086</v>
      </c>
      <c r="R237" s="306">
        <f t="shared" ca="1" si="107"/>
        <v>0.27027315302885335</v>
      </c>
      <c r="S237" s="307">
        <f t="shared" ca="1" si="108"/>
        <v>8.0213578074398679</v>
      </c>
      <c r="T237" s="304">
        <f t="shared" ca="1" si="88"/>
        <v>78.689520090985113</v>
      </c>
      <c r="U237" s="311">
        <f t="shared" ca="1" si="89"/>
        <v>0</v>
      </c>
      <c r="V237" s="306">
        <f t="shared" ca="1" si="90"/>
        <v>1.2006721637254305</v>
      </c>
      <c r="W237" s="304">
        <f t="shared" ca="1" si="91"/>
        <v>100.62482686287798</v>
      </c>
      <c r="Y237" s="314" t="str">
        <f t="shared" ca="1" si="109"/>
        <v/>
      </c>
      <c r="Z237" s="315" t="str">
        <f t="shared" ca="1" si="110"/>
        <v/>
      </c>
      <c r="AA237" s="316" t="str">
        <f t="shared" ca="1" si="111"/>
        <v/>
      </c>
      <c r="AC237" s="310" t="e">
        <f t="shared" ca="1" si="112"/>
        <v>#N/A</v>
      </c>
      <c r="AD237" s="323" t="e">
        <f t="shared" ca="1" si="113"/>
        <v>#N/A</v>
      </c>
      <c r="AE237" s="324">
        <f t="shared" ca="1" si="92"/>
        <v>200.5863499476863</v>
      </c>
      <c r="AG237" s="306">
        <f t="shared" ca="1" si="114"/>
        <v>45.093174524124393</v>
      </c>
      <c r="AH237" s="304">
        <f t="shared" ca="1" si="115"/>
        <v>54.663385467531597</v>
      </c>
    </row>
    <row r="238" spans="1:34" x14ac:dyDescent="0.2">
      <c r="A238" s="347">
        <f t="shared" ca="1" si="93"/>
        <v>0.01</v>
      </c>
      <c r="B238" s="304">
        <f t="shared" ca="1" si="94"/>
        <v>2.3399999999999941</v>
      </c>
      <c r="D238" s="306">
        <f t="shared" ca="1" si="95"/>
        <v>11.968277606348817</v>
      </c>
      <c r="E238" s="307">
        <f t="shared" ca="1" si="96"/>
        <v>43.289082421642</v>
      </c>
      <c r="F238" s="304">
        <f t="shared" ca="1" si="97"/>
        <v>44.913075220589661</v>
      </c>
      <c r="G238" s="306">
        <f t="shared" ca="1" si="98"/>
        <v>35.384658349107525</v>
      </c>
      <c r="H238" s="307">
        <f t="shared" ca="1" si="99"/>
        <v>156.89131417804396</v>
      </c>
      <c r="I238" s="304">
        <f t="shared" ca="1" si="100"/>
        <v>160.83208172189018</v>
      </c>
      <c r="J238" s="306">
        <f t="shared" ca="1" si="101"/>
        <v>42.672653697096429</v>
      </c>
      <c r="K238" s="307">
        <f t="shared" ca="1" si="102"/>
        <v>202.15309863534566</v>
      </c>
      <c r="L238" s="304">
        <f t="shared" ca="1" si="87"/>
        <v>206.60791529228524</v>
      </c>
      <c r="M238" s="306">
        <f t="shared" ca="1" si="103"/>
        <v>1.3489716558070219</v>
      </c>
      <c r="N238" s="304">
        <f t="shared" ca="1" si="104"/>
        <v>77.290382560516704</v>
      </c>
      <c r="P238" s="310">
        <f t="shared" ca="1" si="105"/>
        <v>6</v>
      </c>
      <c r="Q238" s="304">
        <f t="shared" ca="1" si="106"/>
        <v>537.09000000000083</v>
      </c>
      <c r="R238" s="306">
        <f t="shared" ca="1" si="107"/>
        <v>0.26954044705276542</v>
      </c>
      <c r="S238" s="307">
        <f t="shared" ca="1" si="108"/>
        <v>8.0186624029693405</v>
      </c>
      <c r="T238" s="304">
        <f t="shared" ca="1" si="88"/>
        <v>78.663078173129236</v>
      </c>
      <c r="U238" s="311">
        <f t="shared" ca="1" si="89"/>
        <v>0</v>
      </c>
      <c r="V238" s="306">
        <f t="shared" ca="1" si="90"/>
        <v>1.2004840442383315</v>
      </c>
      <c r="W238" s="304">
        <f t="shared" ca="1" si="91"/>
        <v>101.17268218008824</v>
      </c>
      <c r="Y238" s="314" t="str">
        <f t="shared" ca="1" si="109"/>
        <v/>
      </c>
      <c r="Z238" s="315" t="str">
        <f t="shared" ca="1" si="110"/>
        <v/>
      </c>
      <c r="AA238" s="316" t="str">
        <f t="shared" ca="1" si="111"/>
        <v/>
      </c>
      <c r="AC238" s="310" t="e">
        <f t="shared" ca="1" si="112"/>
        <v>#N/A</v>
      </c>
      <c r="AD238" s="323" t="e">
        <f t="shared" ca="1" si="113"/>
        <v>#N/A</v>
      </c>
      <c r="AE238" s="324">
        <f t="shared" ca="1" si="92"/>
        <v>202.15309863534566</v>
      </c>
      <c r="AG238" s="306">
        <f t="shared" ca="1" si="114"/>
        <v>44.861248485772954</v>
      </c>
      <c r="AH238" s="304">
        <f t="shared" ca="1" si="115"/>
        <v>54.431169589518845</v>
      </c>
    </row>
    <row r="239" spans="1:34" x14ac:dyDescent="0.2">
      <c r="A239" s="347">
        <f t="shared" ca="1" si="93"/>
        <v>0.01</v>
      </c>
      <c r="B239" s="304">
        <f t="shared" ca="1" si="94"/>
        <v>2.3499999999999939</v>
      </c>
      <c r="D239" s="306">
        <f t="shared" ca="1" si="95"/>
        <v>11.924306283261947</v>
      </c>
      <c r="E239" s="307">
        <f t="shared" ca="1" si="96"/>
        <v>43.060938161528377</v>
      </c>
      <c r="F239" s="304">
        <f t="shared" ca="1" si="97"/>
        <v>44.68146680322851</v>
      </c>
      <c r="G239" s="306">
        <f t="shared" ca="1" si="98"/>
        <v>35.503901411940141</v>
      </c>
      <c r="H239" s="307">
        <f t="shared" ca="1" si="99"/>
        <v>157.32192355965924</v>
      </c>
      <c r="I239" s="304">
        <f t="shared" ca="1" si="100"/>
        <v>161.27837625664523</v>
      </c>
      <c r="J239" s="306">
        <f t="shared" ca="1" si="101"/>
        <v>43.027096495901667</v>
      </c>
      <c r="K239" s="307">
        <f t="shared" ca="1" si="102"/>
        <v>203.72416482403418</v>
      </c>
      <c r="L239" s="304">
        <f t="shared" ca="1" si="87"/>
        <v>208.2183141947842</v>
      </c>
      <c r="M239" s="306">
        <f t="shared" ca="1" si="103"/>
        <v>1.348837831442492</v>
      </c>
      <c r="N239" s="304">
        <f t="shared" ca="1" si="104"/>
        <v>77.282714989233128</v>
      </c>
      <c r="P239" s="310">
        <f t="shared" ca="1" si="105"/>
        <v>6</v>
      </c>
      <c r="Q239" s="304">
        <f t="shared" ca="1" si="106"/>
        <v>535.6300000000009</v>
      </c>
      <c r="R239" s="306">
        <f t="shared" ca="1" si="107"/>
        <v>0.2688077410766776</v>
      </c>
      <c r="S239" s="307">
        <f t="shared" ca="1" si="108"/>
        <v>8.0159743255585738</v>
      </c>
      <c r="T239" s="304">
        <f t="shared" ca="1" si="88"/>
        <v>78.636708133729613</v>
      </c>
      <c r="U239" s="311">
        <f t="shared" ca="1" si="89"/>
        <v>0</v>
      </c>
      <c r="V239" s="306">
        <f t="shared" ca="1" si="90"/>
        <v>1.2002954356460731</v>
      </c>
      <c r="W239" s="304">
        <f t="shared" ca="1" si="91"/>
        <v>101.71896775151934</v>
      </c>
      <c r="Y239" s="314" t="str">
        <f t="shared" ca="1" si="109"/>
        <v/>
      </c>
      <c r="Z239" s="315" t="str">
        <f t="shared" ca="1" si="110"/>
        <v/>
      </c>
      <c r="AA239" s="316" t="str">
        <f t="shared" ca="1" si="111"/>
        <v/>
      </c>
      <c r="AC239" s="310" t="e">
        <f t="shared" ca="1" si="112"/>
        <v>#N/A</v>
      </c>
      <c r="AD239" s="323" t="e">
        <f t="shared" ca="1" si="113"/>
        <v>#N/A</v>
      </c>
      <c r="AE239" s="324">
        <f t="shared" ca="1" si="92"/>
        <v>203.72416482403418</v>
      </c>
      <c r="AG239" s="306">
        <f t="shared" ca="1" si="114"/>
        <v>44.629309059102148</v>
      </c>
      <c r="AH239" s="304">
        <f t="shared" ca="1" si="115"/>
        <v>54.198940786856689</v>
      </c>
    </row>
    <row r="240" spans="1:34" x14ac:dyDescent="0.2">
      <c r="A240" s="347">
        <f t="shared" ca="1" si="93"/>
        <v>0.01</v>
      </c>
      <c r="B240" s="304">
        <f t="shared" ca="1" si="94"/>
        <v>2.3599999999999937</v>
      </c>
      <c r="D240" s="306">
        <f t="shared" ca="1" si="95"/>
        <v>11.880256595260796</v>
      </c>
      <c r="E240" s="307">
        <f t="shared" ca="1" si="96"/>
        <v>42.832801090028759</v>
      </c>
      <c r="F240" s="304">
        <f t="shared" ca="1" si="97"/>
        <v>44.449852035605325</v>
      </c>
      <c r="G240" s="306">
        <f t="shared" ca="1" si="98"/>
        <v>35.622703977892748</v>
      </c>
      <c r="H240" s="307">
        <f t="shared" ca="1" si="99"/>
        <v>157.75025157055953</v>
      </c>
      <c r="I240" s="304">
        <f t="shared" ca="1" si="100"/>
        <v>161.72235129774546</v>
      </c>
      <c r="J240" s="306">
        <f t="shared" ca="1" si="101"/>
        <v>43.382729522850831</v>
      </c>
      <c r="K240" s="307">
        <f t="shared" ca="1" si="102"/>
        <v>205.29952569968526</v>
      </c>
      <c r="L240" s="304">
        <f t="shared" ca="1" si="87"/>
        <v>209.83316342601464</v>
      </c>
      <c r="M240" s="306">
        <f t="shared" ca="1" si="103"/>
        <v>1.3487042952779051</v>
      </c>
      <c r="N240" s="304">
        <f t="shared" ca="1" si="104"/>
        <v>77.275063930589923</v>
      </c>
      <c r="P240" s="310">
        <f t="shared" ca="1" si="105"/>
        <v>6</v>
      </c>
      <c r="Q240" s="304">
        <f t="shared" ca="1" si="106"/>
        <v>534.17000000000087</v>
      </c>
      <c r="R240" s="306">
        <f t="shared" ca="1" si="107"/>
        <v>0.26807503510058972</v>
      </c>
      <c r="S240" s="307">
        <f t="shared" ca="1" si="108"/>
        <v>8.0132935752075678</v>
      </c>
      <c r="T240" s="304">
        <f t="shared" ca="1" si="88"/>
        <v>78.610409972786243</v>
      </c>
      <c r="U240" s="311">
        <f t="shared" ca="1" si="89"/>
        <v>0</v>
      </c>
      <c r="V240" s="306">
        <f t="shared" ca="1" si="90"/>
        <v>1.2001063409218722</v>
      </c>
      <c r="W240" s="304">
        <f t="shared" ca="1" si="91"/>
        <v>102.2636593731599</v>
      </c>
      <c r="Y240" s="314" t="str">
        <f t="shared" ca="1" si="109"/>
        <v/>
      </c>
      <c r="Z240" s="315" t="str">
        <f t="shared" ca="1" si="110"/>
        <v/>
      </c>
      <c r="AA240" s="316" t="str">
        <f t="shared" ca="1" si="111"/>
        <v/>
      </c>
      <c r="AC240" s="310" t="e">
        <f t="shared" ca="1" si="112"/>
        <v>#N/A</v>
      </c>
      <c r="AD240" s="323" t="e">
        <f t="shared" ca="1" si="113"/>
        <v>#N/A</v>
      </c>
      <c r="AE240" s="324">
        <f t="shared" ca="1" si="92"/>
        <v>205.29952569968526</v>
      </c>
      <c r="AG240" s="306">
        <f t="shared" ca="1" si="114"/>
        <v>44.397359919124646</v>
      </c>
      <c r="AH240" s="304">
        <f t="shared" ca="1" si="115"/>
        <v>53.966702728382167</v>
      </c>
    </row>
    <row r="241" spans="1:34" x14ac:dyDescent="0.2">
      <c r="A241" s="347">
        <f t="shared" ca="1" si="93"/>
        <v>0.01</v>
      </c>
      <c r="B241" s="304">
        <f t="shared" ca="1" si="94"/>
        <v>2.3699999999999934</v>
      </c>
      <c r="D241" s="306">
        <f t="shared" ca="1" si="95"/>
        <v>11.836129720307385</v>
      </c>
      <c r="E241" s="307">
        <f t="shared" ca="1" si="96"/>
        <v>42.604674701814062</v>
      </c>
      <c r="F241" s="304">
        <f t="shared" ca="1" si="97"/>
        <v>44.218234623324108</v>
      </c>
      <c r="G241" s="306">
        <f t="shared" ca="1" si="98"/>
        <v>35.741065275095821</v>
      </c>
      <c r="H241" s="307">
        <f t="shared" ca="1" si="99"/>
        <v>158.17629831757768</v>
      </c>
      <c r="I241" s="304">
        <f t="shared" ca="1" si="100"/>
        <v>162.16400678464376</v>
      </c>
      <c r="J241" s="306">
        <f t="shared" ca="1" si="101"/>
        <v>43.739548369115774</v>
      </c>
      <c r="K241" s="307">
        <f t="shared" ca="1" si="102"/>
        <v>206.87915844912595</v>
      </c>
      <c r="L241" s="304">
        <f t="shared" ca="1" si="87"/>
        <v>211.45243978765717</v>
      </c>
      <c r="M241" s="306">
        <f t="shared" ca="1" si="103"/>
        <v>1.3485710440016863</v>
      </c>
      <c r="N241" s="304">
        <f t="shared" ca="1" si="104"/>
        <v>77.26742919484785</v>
      </c>
      <c r="P241" s="310">
        <f t="shared" ca="1" si="105"/>
        <v>6</v>
      </c>
      <c r="Q241" s="304">
        <f t="shared" ca="1" si="106"/>
        <v>532.71000000000095</v>
      </c>
      <c r="R241" s="306">
        <f t="shared" ca="1" si="107"/>
        <v>0.2673423291245019</v>
      </c>
      <c r="S241" s="307">
        <f t="shared" ca="1" si="108"/>
        <v>8.0106201519163225</v>
      </c>
      <c r="T241" s="304">
        <f t="shared" ca="1" si="88"/>
        <v>78.584183690299128</v>
      </c>
      <c r="U241" s="311">
        <f t="shared" ca="1" si="89"/>
        <v>0</v>
      </c>
      <c r="V241" s="306">
        <f t="shared" ca="1" si="90"/>
        <v>1.1999167630376792</v>
      </c>
      <c r="W241" s="304">
        <f t="shared" ca="1" si="91"/>
        <v>102.80673303635578</v>
      </c>
      <c r="Y241" s="314" t="str">
        <f t="shared" ca="1" si="109"/>
        <v/>
      </c>
      <c r="Z241" s="315" t="str">
        <f t="shared" ca="1" si="110"/>
        <v/>
      </c>
      <c r="AA241" s="316" t="str">
        <f t="shared" ca="1" si="111"/>
        <v/>
      </c>
      <c r="AC241" s="310" t="e">
        <f t="shared" ca="1" si="112"/>
        <v>#N/A</v>
      </c>
      <c r="AD241" s="323" t="e">
        <f t="shared" ca="1" si="113"/>
        <v>#N/A</v>
      </c>
      <c r="AE241" s="324">
        <f t="shared" ca="1" si="92"/>
        <v>206.87915844912595</v>
      </c>
      <c r="AG241" s="306">
        <f t="shared" ca="1" si="114"/>
        <v>44.165404721413069</v>
      </c>
      <c r="AH241" s="304">
        <f t="shared" ca="1" si="115"/>
        <v>53.734459063555583</v>
      </c>
    </row>
    <row r="242" spans="1:34" x14ac:dyDescent="0.2">
      <c r="A242" s="347">
        <f t="shared" ca="1" si="93"/>
        <v>0.01</v>
      </c>
      <c r="B242" s="304">
        <f t="shared" ca="1" si="94"/>
        <v>2.3799999999999932</v>
      </c>
      <c r="D242" s="306">
        <f t="shared" ca="1" si="95"/>
        <v>11.7919268289287</v>
      </c>
      <c r="E242" s="307">
        <f t="shared" ca="1" si="96"/>
        <v>42.376562473036778</v>
      </c>
      <c r="F242" s="304">
        <f t="shared" ca="1" si="97"/>
        <v>43.986618253396081</v>
      </c>
      <c r="G242" s="306">
        <f t="shared" ca="1" si="98"/>
        <v>35.858984543385105</v>
      </c>
      <c r="H242" s="307">
        <f t="shared" ca="1" si="99"/>
        <v>158.60006394230805</v>
      </c>
      <c r="I242" s="304">
        <f t="shared" ca="1" si="100"/>
        <v>162.60334269315294</v>
      </c>
      <c r="J242" s="306">
        <f t="shared" ca="1" si="101"/>
        <v>44.09754861820818</v>
      </c>
      <c r="K242" s="307">
        <f t="shared" ca="1" si="102"/>
        <v>208.46304026042537</v>
      </c>
      <c r="L242" s="304">
        <f t="shared" ca="1" si="87"/>
        <v>213.0761200809583</v>
      </c>
      <c r="M242" s="306">
        <f t="shared" ca="1" si="103"/>
        <v>1.348438074339454</v>
      </c>
      <c r="N242" s="304">
        <f t="shared" ca="1" si="104"/>
        <v>77.259810594398658</v>
      </c>
      <c r="P242" s="310">
        <f t="shared" ca="1" si="105"/>
        <v>6</v>
      </c>
      <c r="Q242" s="304">
        <f t="shared" ca="1" si="106"/>
        <v>531.25000000000102</v>
      </c>
      <c r="R242" s="306">
        <f t="shared" ca="1" si="107"/>
        <v>0.26660962314841402</v>
      </c>
      <c r="S242" s="307">
        <f t="shared" ca="1" si="108"/>
        <v>8.0079540556848379</v>
      </c>
      <c r="T242" s="304">
        <f t="shared" ca="1" si="88"/>
        <v>78.558029286268265</v>
      </c>
      <c r="U242" s="311">
        <f t="shared" ca="1" si="89"/>
        <v>0</v>
      </c>
      <c r="V242" s="306">
        <f t="shared" ca="1" si="90"/>
        <v>1.1997267049641265</v>
      </c>
      <c r="W242" s="304">
        <f t="shared" ca="1" si="91"/>
        <v>103.34816492812824</v>
      </c>
      <c r="Y242" s="314" t="str">
        <f t="shared" ca="1" si="109"/>
        <v/>
      </c>
      <c r="Z242" s="315" t="str">
        <f t="shared" ca="1" si="110"/>
        <v/>
      </c>
      <c r="AA242" s="316" t="str">
        <f t="shared" ca="1" si="111"/>
        <v/>
      </c>
      <c r="AC242" s="310" t="e">
        <f t="shared" ca="1" si="112"/>
        <v>#N/A</v>
      </c>
      <c r="AD242" s="323" t="e">
        <f t="shared" ca="1" si="113"/>
        <v>#N/A</v>
      </c>
      <c r="AE242" s="324">
        <f t="shared" ca="1" si="92"/>
        <v>208.46304026042537</v>
      </c>
      <c r="AG242" s="306">
        <f t="shared" ca="1" si="114"/>
        <v>43.933447101993288</v>
      </c>
      <c r="AH242" s="304">
        <f t="shared" ca="1" si="115"/>
        <v>53.502213422352717</v>
      </c>
    </row>
    <row r="243" spans="1:34" x14ac:dyDescent="0.2">
      <c r="A243" s="347">
        <f t="shared" ca="1" si="93"/>
        <v>0.01</v>
      </c>
      <c r="B243" s="304">
        <f t="shared" ca="1" si="94"/>
        <v>2.389999999999993</v>
      </c>
      <c r="D243" s="306">
        <f t="shared" ca="1" si="95"/>
        <v>11.747649084247476</v>
      </c>
      <c r="E243" s="307">
        <f t="shared" ca="1" si="96"/>
        <v>42.148467861219601</v>
      </c>
      <c r="F243" s="304">
        <f t="shared" ca="1" si="97"/>
        <v>43.755006594158822</v>
      </c>
      <c r="G243" s="306">
        <f t="shared" ca="1" si="98"/>
        <v>35.976461034227583</v>
      </c>
      <c r="H243" s="307">
        <f t="shared" ca="1" si="99"/>
        <v>159.02154862092024</v>
      </c>
      <c r="I243" s="304">
        <f t="shared" ca="1" si="100"/>
        <v>163.04035903524931</v>
      </c>
      <c r="J243" s="306">
        <f t="shared" ca="1" si="101"/>
        <v>44.456725846096241</v>
      </c>
      <c r="K243" s="307">
        <f t="shared" ca="1" si="102"/>
        <v>210.05114832324151</v>
      </c>
      <c r="L243" s="304">
        <f t="shared" ca="1" si="87"/>
        <v>214.70418110709295</v>
      </c>
      <c r="M243" s="306">
        <f t="shared" ca="1" si="103"/>
        <v>1.3483053830533909</v>
      </c>
      <c r="N243" s="304">
        <f t="shared" ca="1" si="104"/>
        <v>77.25220794372909</v>
      </c>
      <c r="P243" s="310">
        <f t="shared" ca="1" si="105"/>
        <v>6</v>
      </c>
      <c r="Q243" s="304">
        <f t="shared" ca="1" si="106"/>
        <v>529.79000000000099</v>
      </c>
      <c r="R243" s="306">
        <f t="shared" ca="1" si="107"/>
        <v>0.26587691717232614</v>
      </c>
      <c r="S243" s="307">
        <f t="shared" ca="1" si="108"/>
        <v>8.005295286513114</v>
      </c>
      <c r="T243" s="304">
        <f t="shared" ca="1" si="88"/>
        <v>78.531946760693657</v>
      </c>
      <c r="U243" s="311">
        <f t="shared" ca="1" si="89"/>
        <v>0</v>
      </c>
      <c r="V243" s="306">
        <f t="shared" ca="1" si="90"/>
        <v>1.1995361696704743</v>
      </c>
      <c r="W243" s="304">
        <f t="shared" ca="1" si="91"/>
        <v>103.8879314314739</v>
      </c>
      <c r="Y243" s="314" t="str">
        <f t="shared" ca="1" si="109"/>
        <v/>
      </c>
      <c r="Z243" s="315" t="str">
        <f t="shared" ca="1" si="110"/>
        <v/>
      </c>
      <c r="AA243" s="316" t="str">
        <f t="shared" ca="1" si="111"/>
        <v/>
      </c>
      <c r="AC243" s="310" t="e">
        <f t="shared" ca="1" si="112"/>
        <v>#N/A</v>
      </c>
      <c r="AD243" s="323" t="e">
        <f t="shared" ca="1" si="113"/>
        <v>#N/A</v>
      </c>
      <c r="AE243" s="324">
        <f t="shared" ca="1" si="92"/>
        <v>210.05114832324151</v>
      </c>
      <c r="AG243" s="306">
        <f t="shared" ca="1" si="114"/>
        <v>43.701490677240017</v>
      </c>
      <c r="AH243" s="304">
        <f t="shared" ca="1" si="115"/>
        <v>53.269969415159331</v>
      </c>
    </row>
    <row r="244" spans="1:34" x14ac:dyDescent="0.2">
      <c r="A244" s="347">
        <f t="shared" ca="1" si="93"/>
        <v>0.01</v>
      </c>
      <c r="B244" s="304">
        <f t="shared" ca="1" si="94"/>
        <v>2.3999999999999928</v>
      </c>
      <c r="D244" s="306">
        <f t="shared" ca="1" si="95"/>
        <v>11.703297642012101</v>
      </c>
      <c r="E244" s="307">
        <f t="shared" ca="1" si="96"/>
        <v>41.920394305146431</v>
      </c>
      <c r="F244" s="304">
        <f t="shared" ca="1" si="97"/>
        <v>43.523403295198314</v>
      </c>
      <c r="G244" s="306">
        <f t="shared" ca="1" si="98"/>
        <v>36.093494010647703</v>
      </c>
      <c r="H244" s="307">
        <f t="shared" ca="1" si="99"/>
        <v>159.4407525639717</v>
      </c>
      <c r="I244" s="304">
        <f t="shared" ca="1" si="100"/>
        <v>163.47505585887501</v>
      </c>
      <c r="J244" s="306">
        <f t="shared" ca="1" si="101"/>
        <v>44.817075621320619</v>
      </c>
      <c r="K244" s="307">
        <f t="shared" ca="1" si="102"/>
        <v>211.64345982916598</v>
      </c>
      <c r="L244" s="304">
        <f t="shared" ca="1" si="87"/>
        <v>216.33659966752498</v>
      </c>
      <c r="M244" s="306">
        <f t="shared" ca="1" si="103"/>
        <v>1.348172966941626</v>
      </c>
      <c r="N244" s="304">
        <f t="shared" ca="1" si="104"/>
        <v>77.244621059385423</v>
      </c>
      <c r="P244" s="310">
        <f t="shared" ca="1" si="105"/>
        <v>6</v>
      </c>
      <c r="Q244" s="304">
        <f t="shared" ca="1" si="106"/>
        <v>528.33000000000106</v>
      </c>
      <c r="R244" s="306">
        <f t="shared" ca="1" si="107"/>
        <v>0.26514421119623832</v>
      </c>
      <c r="S244" s="307">
        <f t="shared" ca="1" si="108"/>
        <v>8.0026438444011507</v>
      </c>
      <c r="T244" s="304">
        <f t="shared" ca="1" si="88"/>
        <v>78.505936113575288</v>
      </c>
      <c r="U244" s="311">
        <f t="shared" ca="1" si="89"/>
        <v>0</v>
      </c>
      <c r="V244" s="306">
        <f t="shared" ca="1" si="90"/>
        <v>1.1993451601245573</v>
      </c>
      <c r="W244" s="304">
        <f t="shared" ca="1" si="91"/>
        <v>104.42600912564664</v>
      </c>
      <c r="Y244" s="314" t="str">
        <f t="shared" ca="1" si="109"/>
        <v/>
      </c>
      <c r="Z244" s="315" t="str">
        <f t="shared" ca="1" si="110"/>
        <v/>
      </c>
      <c r="AA244" s="316" t="str">
        <f t="shared" ca="1" si="111"/>
        <v/>
      </c>
      <c r="AC244" s="310" t="e">
        <f t="shared" ca="1" si="112"/>
        <v>#N/A</v>
      </c>
      <c r="AD244" s="323" t="e">
        <f t="shared" ca="1" si="113"/>
        <v>#N/A</v>
      </c>
      <c r="AE244" s="324">
        <f t="shared" ca="1" si="92"/>
        <v>211.64345982916598</v>
      </c>
      <c r="AG244" s="306">
        <f t="shared" ca="1" si="114"/>
        <v>43.46953904377466</v>
      </c>
      <c r="AH244" s="304">
        <f t="shared" ca="1" si="115"/>
        <v>53.03773063266803</v>
      </c>
    </row>
    <row r="245" spans="1:34" x14ac:dyDescent="0.2">
      <c r="A245" s="347">
        <f t="shared" ca="1" si="93"/>
        <v>0.01</v>
      </c>
      <c r="B245" s="304">
        <f t="shared" ca="1" si="94"/>
        <v>2.4099999999999926</v>
      </c>
      <c r="D245" s="306">
        <f t="shared" ca="1" si="95"/>
        <v>11.65887365062579</v>
      </c>
      <c r="E245" s="307">
        <f t="shared" ca="1" si="96"/>
        <v>41.692345224755869</v>
      </c>
      <c r="F245" s="304">
        <f t="shared" ca="1" si="97"/>
        <v>43.291811987273988</v>
      </c>
      <c r="G245" s="306">
        <f t="shared" ca="1" si="98"/>
        <v>36.210082747153962</v>
      </c>
      <c r="H245" s="307">
        <f t="shared" ca="1" si="99"/>
        <v>159.85767601621924</v>
      </c>
      <c r="I245" s="304">
        <f t="shared" ca="1" si="100"/>
        <v>163.90743324773973</v>
      </c>
      <c r="J245" s="306">
        <f t="shared" ca="1" si="101"/>
        <v>45.178593505109625</v>
      </c>
      <c r="K245" s="307">
        <f t="shared" ca="1" si="102"/>
        <v>213.23995197206693</v>
      </c>
      <c r="L245" s="304">
        <f t="shared" ca="1" si="87"/>
        <v>217.97335256436585</v>
      </c>
      <c r="M245" s="306">
        <f t="shared" ca="1" si="103"/>
        <v>1.3480408228376313</v>
      </c>
      <c r="N245" s="304">
        <f t="shared" ca="1" si="104"/>
        <v>77.237049759938998</v>
      </c>
      <c r="P245" s="310">
        <f t="shared" ca="1" si="105"/>
        <v>6</v>
      </c>
      <c r="Q245" s="304">
        <f t="shared" ca="1" si="106"/>
        <v>526.87000000000103</v>
      </c>
      <c r="R245" s="306">
        <f t="shared" ca="1" si="107"/>
        <v>0.26441150522015039</v>
      </c>
      <c r="S245" s="307">
        <f t="shared" ca="1" si="108"/>
        <v>7.9999997293489491</v>
      </c>
      <c r="T245" s="304">
        <f t="shared" ca="1" si="88"/>
        <v>78.479997344913201</v>
      </c>
      <c r="U245" s="311">
        <f t="shared" ca="1" si="89"/>
        <v>0</v>
      </c>
      <c r="V245" s="306">
        <f t="shared" ca="1" si="90"/>
        <v>1.1991536792927353</v>
      </c>
      <c r="W245" s="304">
        <f t="shared" ca="1" si="91"/>
        <v>104.96237478642249</v>
      </c>
      <c r="Y245" s="314" t="str">
        <f t="shared" ca="1" si="109"/>
        <v/>
      </c>
      <c r="Z245" s="315" t="str">
        <f t="shared" ca="1" si="110"/>
        <v/>
      </c>
      <c r="AA245" s="316" t="str">
        <f t="shared" ca="1" si="111"/>
        <v/>
      </c>
      <c r="AC245" s="310" t="e">
        <f t="shared" ca="1" si="112"/>
        <v>#N/A</v>
      </c>
      <c r="AD245" s="323" t="e">
        <f t="shared" ca="1" si="113"/>
        <v>#N/A</v>
      </c>
      <c r="AE245" s="324">
        <f t="shared" ca="1" si="92"/>
        <v>213.23995197206693</v>
      </c>
      <c r="AG245" s="306">
        <f t="shared" ca="1" si="114"/>
        <v>43.237595778365431</v>
      </c>
      <c r="AH245" s="304">
        <f t="shared" ca="1" si="115"/>
        <v>52.805500645777329</v>
      </c>
    </row>
    <row r="246" spans="1:34" x14ac:dyDescent="0.2">
      <c r="A246" s="347">
        <f t="shared" ca="1" si="93"/>
        <v>0.01</v>
      </c>
      <c r="B246" s="304">
        <f t="shared" ca="1" si="94"/>
        <v>2.4199999999999924</v>
      </c>
      <c r="D246" s="306">
        <f t="shared" ca="1" si="95"/>
        <v>11.614378251174893</v>
      </c>
      <c r="E246" s="307">
        <f t="shared" ca="1" si="96"/>
        <v>41.46432402103715</v>
      </c>
      <c r="F246" s="304">
        <f t="shared" ca="1" si="97"/>
        <v>43.060236282246784</v>
      </c>
      <c r="G246" s="306">
        <f t="shared" ca="1" si="98"/>
        <v>36.326226529665711</v>
      </c>
      <c r="H246" s="307">
        <f t="shared" ca="1" si="99"/>
        <v>160.27231925642963</v>
      </c>
      <c r="I246" s="304">
        <f t="shared" ca="1" si="100"/>
        <v>164.33749132112089</v>
      </c>
      <c r="J246" s="306">
        <f t="shared" ca="1" si="101"/>
        <v>45.54127505149372</v>
      </c>
      <c r="K246" s="307">
        <f t="shared" ca="1" si="102"/>
        <v>214.84060194843019</v>
      </c>
      <c r="L246" s="304">
        <f t="shared" ca="1" si="87"/>
        <v>219.61441660073146</v>
      </c>
      <c r="M246" s="306">
        <f t="shared" ca="1" si="103"/>
        <v>1.3479089476096284</v>
      </c>
      <c r="N246" s="304">
        <f t="shared" ca="1" si="104"/>
        <v>77.229493865952108</v>
      </c>
      <c r="P246" s="310">
        <f t="shared" ca="1" si="105"/>
        <v>6</v>
      </c>
      <c r="Q246" s="304">
        <f t="shared" ca="1" si="106"/>
        <v>525.41000000000111</v>
      </c>
      <c r="R246" s="306">
        <f t="shared" ca="1" si="107"/>
        <v>0.26367879924406257</v>
      </c>
      <c r="S246" s="307">
        <f t="shared" ca="1" si="108"/>
        <v>7.9973629413565082</v>
      </c>
      <c r="T246" s="304">
        <f t="shared" ca="1" si="88"/>
        <v>78.454130454707354</v>
      </c>
      <c r="U246" s="311">
        <f t="shared" ca="1" si="89"/>
        <v>0</v>
      </c>
      <c r="V246" s="306">
        <f t="shared" ca="1" si="90"/>
        <v>1.1989617301398396</v>
      </c>
      <c r="W246" s="304">
        <f t="shared" ca="1" si="91"/>
        <v>105.49700538634571</v>
      </c>
      <c r="Y246" s="314" t="str">
        <f t="shared" ca="1" si="109"/>
        <v/>
      </c>
      <c r="Z246" s="315" t="str">
        <f t="shared" ca="1" si="110"/>
        <v/>
      </c>
      <c r="AA246" s="316" t="str">
        <f t="shared" ca="1" si="111"/>
        <v/>
      </c>
      <c r="AC246" s="310" t="e">
        <f t="shared" ca="1" si="112"/>
        <v>#N/A</v>
      </c>
      <c r="AD246" s="323" t="e">
        <f t="shared" ca="1" si="113"/>
        <v>#N/A</v>
      </c>
      <c r="AE246" s="324">
        <f t="shared" ca="1" si="92"/>
        <v>214.84060194843019</v>
      </c>
      <c r="AG246" s="306">
        <f t="shared" ca="1" si="114"/>
        <v>43.005664437829807</v>
      </c>
      <c r="AH246" s="304">
        <f t="shared" ca="1" si="115"/>
        <v>52.573283005493124</v>
      </c>
    </row>
    <row r="247" spans="1:34" x14ac:dyDescent="0.2">
      <c r="A247" s="347">
        <f t="shared" ca="1" si="93"/>
        <v>0.01</v>
      </c>
      <c r="B247" s="304">
        <f t="shared" ca="1" si="94"/>
        <v>2.4299999999999922</v>
      </c>
      <c r="D247" s="306">
        <f t="shared" ca="1" si="95"/>
        <v>11.569812577456569</v>
      </c>
      <c r="E247" s="307">
        <f t="shared" ca="1" si="96"/>
        <v>41.236334075928561</v>
      </c>
      <c r="F247" s="304">
        <f t="shared" ca="1" si="97"/>
        <v>42.828679773010272</v>
      </c>
      <c r="G247" s="306">
        <f t="shared" ca="1" si="98"/>
        <v>36.441924655440275</v>
      </c>
      <c r="H247" s="307">
        <f t="shared" ca="1" si="99"/>
        <v>160.68468259718892</v>
      </c>
      <c r="I247" s="304">
        <f t="shared" ca="1" si="100"/>
        <v>164.76523023366349</v>
      </c>
      <c r="J247" s="306">
        <f t="shared" ca="1" si="101"/>
        <v>45.90511580741925</v>
      </c>
      <c r="K247" s="307">
        <f t="shared" ca="1" si="102"/>
        <v>216.44538695769828</v>
      </c>
      <c r="L247" s="304">
        <f t="shared" ca="1" si="87"/>
        <v>221.25976858109635</v>
      </c>
      <c r="M247" s="306">
        <f t="shared" ca="1" si="103"/>
        <v>1.3477773381600089</v>
      </c>
      <c r="N247" s="304">
        <f t="shared" ca="1" si="104"/>
        <v>77.221953199944863</v>
      </c>
      <c r="P247" s="310">
        <f t="shared" ca="1" si="105"/>
        <v>6</v>
      </c>
      <c r="Q247" s="304">
        <f t="shared" ca="1" si="106"/>
        <v>523.95000000000118</v>
      </c>
      <c r="R247" s="306">
        <f t="shared" ca="1" si="107"/>
        <v>0.26294609326797475</v>
      </c>
      <c r="S247" s="307">
        <f t="shared" ca="1" si="108"/>
        <v>7.9947334804238288</v>
      </c>
      <c r="T247" s="304">
        <f t="shared" ca="1" si="88"/>
        <v>78.42833544295776</v>
      </c>
      <c r="U247" s="311">
        <f t="shared" ca="1" si="89"/>
        <v>0</v>
      </c>
      <c r="V247" s="306">
        <f t="shared" ca="1" si="90"/>
        <v>1.1987693156291233</v>
      </c>
      <c r="W247" s="304">
        <f t="shared" ca="1" si="91"/>
        <v>106.0298780949586</v>
      </c>
      <c r="Y247" s="314" t="str">
        <f t="shared" ca="1" si="109"/>
        <v/>
      </c>
      <c r="Z247" s="315" t="str">
        <f t="shared" ca="1" si="110"/>
        <v/>
      </c>
      <c r="AA247" s="316" t="str">
        <f t="shared" ca="1" si="111"/>
        <v/>
      </c>
      <c r="AC247" s="310" t="e">
        <f t="shared" ca="1" si="112"/>
        <v>#N/A</v>
      </c>
      <c r="AD247" s="323" t="e">
        <f t="shared" ca="1" si="113"/>
        <v>#N/A</v>
      </c>
      <c r="AE247" s="324">
        <f t="shared" ca="1" si="92"/>
        <v>216.44538695769828</v>
      </c>
      <c r="AG247" s="306">
        <f t="shared" ca="1" si="114"/>
        <v>42.773748558939161</v>
      </c>
      <c r="AH247" s="304">
        <f t="shared" ca="1" si="115"/>
        <v>52.34108124283236</v>
      </c>
    </row>
    <row r="248" spans="1:34" x14ac:dyDescent="0.2">
      <c r="A248" s="347">
        <f t="shared" ca="1" si="93"/>
        <v>0.01</v>
      </c>
      <c r="B248" s="304">
        <f t="shared" ca="1" si="94"/>
        <v>2.439999999999992</v>
      </c>
      <c r="D248" s="306">
        <f t="shared" ca="1" si="95"/>
        <v>11.525177756005705</v>
      </c>
      <c r="E248" s="307">
        <f t="shared" ca="1" si="96"/>
        <v>41.008378752218107</v>
      </c>
      <c r="F248" s="304">
        <f t="shared" ca="1" si="97"/>
        <v>42.597146033424615</v>
      </c>
      <c r="G248" s="306">
        <f t="shared" ca="1" si="98"/>
        <v>36.557176433000329</v>
      </c>
      <c r="H248" s="307">
        <f t="shared" ca="1" si="99"/>
        <v>161.09476638471111</v>
      </c>
      <c r="I248" s="304">
        <f t="shared" ca="1" si="100"/>
        <v>165.19065017517838</v>
      </c>
      <c r="J248" s="306">
        <f t="shared" ca="1" si="101"/>
        <v>46.270111312861452</v>
      </c>
      <c r="K248" s="307">
        <f t="shared" ca="1" si="102"/>
        <v>218.05428420260779</v>
      </c>
      <c r="L248" s="304">
        <f t="shared" ca="1" si="87"/>
        <v>222.90938531164684</v>
      </c>
      <c r="M248" s="306">
        <f t="shared" ca="1" si="103"/>
        <v>1.3476459914247649</v>
      </c>
      <c r="N248" s="304">
        <f t="shared" ca="1" si="104"/>
        <v>77.214427586362561</v>
      </c>
      <c r="P248" s="310">
        <f t="shared" ca="1" si="105"/>
        <v>6</v>
      </c>
      <c r="Q248" s="304">
        <f t="shared" ca="1" si="106"/>
        <v>522.49000000000115</v>
      </c>
      <c r="R248" s="306">
        <f t="shared" ca="1" si="107"/>
        <v>0.26221338729188687</v>
      </c>
      <c r="S248" s="307">
        <f t="shared" ca="1" si="108"/>
        <v>7.9921113465509102</v>
      </c>
      <c r="T248" s="304">
        <f t="shared" ca="1" si="88"/>
        <v>78.402612309664434</v>
      </c>
      <c r="U248" s="311">
        <f t="shared" ca="1" si="89"/>
        <v>0</v>
      </c>
      <c r="V248" s="306">
        <f t="shared" ca="1" si="90"/>
        <v>1.1985764387222062</v>
      </c>
      <c r="W248" s="304">
        <f t="shared" ca="1" si="91"/>
        <v>106.56097027901255</v>
      </c>
      <c r="Y248" s="314" t="str">
        <f t="shared" ca="1" si="109"/>
        <v/>
      </c>
      <c r="Z248" s="315" t="str">
        <f t="shared" ca="1" si="110"/>
        <v/>
      </c>
      <c r="AA248" s="316" t="str">
        <f t="shared" ca="1" si="111"/>
        <v/>
      </c>
      <c r="AC248" s="310" t="e">
        <f t="shared" ca="1" si="112"/>
        <v>#N/A</v>
      </c>
      <c r="AD248" s="323" t="e">
        <f t="shared" ca="1" si="113"/>
        <v>#N/A</v>
      </c>
      <c r="AE248" s="324">
        <f t="shared" ca="1" si="92"/>
        <v>218.05428420260779</v>
      </c>
      <c r="AG248" s="306">
        <f t="shared" ca="1" si="114"/>
        <v>42.541851658325683</v>
      </c>
      <c r="AH248" s="304">
        <f t="shared" ca="1" si="115"/>
        <v>52.108898868728957</v>
      </c>
    </row>
    <row r="249" spans="1:34" x14ac:dyDescent="0.2">
      <c r="A249" s="347">
        <f t="shared" ca="1" si="93"/>
        <v>0.01</v>
      </c>
      <c r="B249" s="304">
        <f t="shared" ca="1" si="94"/>
        <v>2.4499999999999917</v>
      </c>
      <c r="D249" s="306">
        <f t="shared" ca="1" si="95"/>
        <v>11.4804749061212</v>
      </c>
      <c r="E249" s="307">
        <f t="shared" ca="1" si="96"/>
        <v>40.780461393446977</v>
      </c>
      <c r="F249" s="304">
        <f t="shared" ca="1" si="97"/>
        <v>42.365638618254039</v>
      </c>
      <c r="G249" s="306">
        <f t="shared" ca="1" si="98"/>
        <v>36.671981182061543</v>
      </c>
      <c r="H249" s="307">
        <f t="shared" ca="1" si="99"/>
        <v>161.50257099864558</v>
      </c>
      <c r="I249" s="304">
        <f t="shared" ca="1" si="100"/>
        <v>165.61375137044035</v>
      </c>
      <c r="J249" s="306">
        <f t="shared" ca="1" si="101"/>
        <v>46.63625710093676</v>
      </c>
      <c r="K249" s="307">
        <f t="shared" ca="1" si="102"/>
        <v>219.66727088952456</v>
      </c>
      <c r="L249" s="304">
        <f t="shared" ca="1" si="87"/>
        <v>224.56324360063121</v>
      </c>
      <c r="M249" s="306">
        <f t="shared" ca="1" si="103"/>
        <v>1.3475149043729322</v>
      </c>
      <c r="N249" s="304">
        <f t="shared" ca="1" si="104"/>
        <v>77.206916851543738</v>
      </c>
      <c r="P249" s="310">
        <f t="shared" ca="1" si="105"/>
        <v>6</v>
      </c>
      <c r="Q249" s="304">
        <f t="shared" ca="1" si="106"/>
        <v>521.03000000000122</v>
      </c>
      <c r="R249" s="306">
        <f t="shared" ca="1" si="107"/>
        <v>0.26148068131579899</v>
      </c>
      <c r="S249" s="307">
        <f t="shared" ca="1" si="108"/>
        <v>7.9894965397377522</v>
      </c>
      <c r="T249" s="304">
        <f t="shared" ca="1" si="88"/>
        <v>78.376961054827348</v>
      </c>
      <c r="U249" s="311">
        <f t="shared" ca="1" si="89"/>
        <v>0</v>
      </c>
      <c r="V249" s="306">
        <f t="shared" ca="1" si="90"/>
        <v>1.1983831023790308</v>
      </c>
      <c r="W249" s="304">
        <f t="shared" ca="1" si="91"/>
        <v>107.09025950266346</v>
      </c>
      <c r="Y249" s="314" t="str">
        <f t="shared" ca="1" si="109"/>
        <v/>
      </c>
      <c r="Z249" s="315" t="str">
        <f t="shared" ca="1" si="110"/>
        <v/>
      </c>
      <c r="AA249" s="316" t="str">
        <f t="shared" ca="1" si="111"/>
        <v/>
      </c>
      <c r="AC249" s="310" t="e">
        <f t="shared" ca="1" si="112"/>
        <v>#N/A</v>
      </c>
      <c r="AD249" s="323" t="e">
        <f t="shared" ca="1" si="113"/>
        <v>#N/A</v>
      </c>
      <c r="AE249" s="324">
        <f t="shared" ca="1" si="92"/>
        <v>219.66727088952456</v>
      </c>
      <c r="AG249" s="306">
        <f t="shared" ca="1" si="114"/>
        <v>42.309977232391688</v>
      </c>
      <c r="AH249" s="304">
        <f t="shared" ca="1" si="115"/>
        <v>51.876739373942229</v>
      </c>
    </row>
    <row r="250" spans="1:34" x14ac:dyDescent="0.2">
      <c r="A250" s="347">
        <f t="shared" ca="1" si="93"/>
        <v>0.01</v>
      </c>
      <c r="B250" s="304">
        <f t="shared" ca="1" si="94"/>
        <v>2.4599999999999915</v>
      </c>
      <c r="D250" s="306">
        <f t="shared" ca="1" si="95"/>
        <v>11.435705139891532</v>
      </c>
      <c r="E250" s="307">
        <f t="shared" ca="1" si="96"/>
        <v>40.55258532381486</v>
      </c>
      <c r="F250" s="304">
        <f t="shared" ca="1" si="97"/>
        <v>42.134161063106809</v>
      </c>
      <c r="G250" s="306">
        <f t="shared" ca="1" si="98"/>
        <v>36.786338233460455</v>
      </c>
      <c r="H250" s="307">
        <f t="shared" ca="1" si="99"/>
        <v>161.90809685188373</v>
      </c>
      <c r="I250" s="304">
        <f t="shared" ca="1" si="100"/>
        <v>166.03453407898465</v>
      </c>
      <c r="J250" s="306">
        <f t="shared" ca="1" si="101"/>
        <v>47.00354869801437</v>
      </c>
      <c r="K250" s="307">
        <f t="shared" ca="1" si="102"/>
        <v>221.28432422877719</v>
      </c>
      <c r="L250" s="304">
        <f t="shared" ca="1" si="87"/>
        <v>226.22132025870857</v>
      </c>
      <c r="M250" s="306">
        <f t="shared" ca="1" si="103"/>
        <v>1.3473840740060434</v>
      </c>
      <c r="N250" s="304">
        <f t="shared" ca="1" si="104"/>
        <v>77.199420823688854</v>
      </c>
      <c r="P250" s="310">
        <f t="shared" ca="1" si="105"/>
        <v>6</v>
      </c>
      <c r="Q250" s="304">
        <f t="shared" ca="1" si="106"/>
        <v>519.57000000000119</v>
      </c>
      <c r="R250" s="306">
        <f t="shared" ca="1" si="107"/>
        <v>0.26074797533971111</v>
      </c>
      <c r="S250" s="307">
        <f t="shared" ca="1" si="108"/>
        <v>7.9868890599843549</v>
      </c>
      <c r="T250" s="304">
        <f t="shared" ca="1" si="88"/>
        <v>78.351381678446529</v>
      </c>
      <c r="U250" s="311">
        <f t="shared" ca="1" si="89"/>
        <v>0</v>
      </c>
      <c r="V250" s="306">
        <f t="shared" ca="1" si="90"/>
        <v>1.1981893095578053</v>
      </c>
      <c r="W250" s="304">
        <f t="shared" ca="1" si="91"/>
        <v>107.61772352764807</v>
      </c>
      <c r="Y250" s="314" t="str">
        <f t="shared" ca="1" si="109"/>
        <v/>
      </c>
      <c r="Z250" s="315" t="str">
        <f t="shared" ca="1" si="110"/>
        <v/>
      </c>
      <c r="AA250" s="316" t="str">
        <f t="shared" ca="1" si="111"/>
        <v/>
      </c>
      <c r="AC250" s="310" t="e">
        <f t="shared" ca="1" si="112"/>
        <v>#N/A</v>
      </c>
      <c r="AD250" s="323" t="e">
        <f t="shared" ca="1" si="113"/>
        <v>#N/A</v>
      </c>
      <c r="AE250" s="324">
        <f t="shared" ca="1" si="92"/>
        <v>221.28432422877719</v>
      </c>
      <c r="AG250" s="306">
        <f t="shared" ca="1" si="114"/>
        <v>42.078128757220846</v>
      </c>
      <c r="AH250" s="304">
        <f t="shared" ca="1" si="115"/>
        <v>51.644606228967163</v>
      </c>
    </row>
    <row r="251" spans="1:34" x14ac:dyDescent="0.2">
      <c r="A251" s="347">
        <f t="shared" ca="1" si="93"/>
        <v>0.01</v>
      </c>
      <c r="B251" s="304">
        <f t="shared" ca="1" si="94"/>
        <v>2.4699999999999913</v>
      </c>
      <c r="D251" s="306">
        <f t="shared" ca="1" si="95"/>
        <v>11.390869562219786</v>
      </c>
      <c r="E251" s="307">
        <f t="shared" ca="1" si="96"/>
        <v>40.324753848088179</v>
      </c>
      <c r="F251" s="304">
        <f t="shared" ca="1" si="97"/>
        <v>41.90271688437884</v>
      </c>
      <c r="G251" s="306">
        <f t="shared" ca="1" si="98"/>
        <v>36.900246929082655</v>
      </c>
      <c r="H251" s="307">
        <f t="shared" ca="1" si="99"/>
        <v>162.31134439036461</v>
      </c>
      <c r="I251" s="304">
        <f t="shared" ca="1" si="100"/>
        <v>166.45299859490311</v>
      </c>
      <c r="J251" s="306">
        <f t="shared" ca="1" si="101"/>
        <v>47.371981623827082</v>
      </c>
      <c r="K251" s="307">
        <f t="shared" ca="1" si="102"/>
        <v>222.90542143498843</v>
      </c>
      <c r="L251" s="304">
        <f t="shared" ca="1" si="87"/>
        <v>227.8835920992953</v>
      </c>
      <c r="M251" s="306">
        <f t="shared" ca="1" si="103"/>
        <v>1.3472534973575923</v>
      </c>
      <c r="N251" s="304">
        <f t="shared" ca="1" si="104"/>
        <v>77.191939332829648</v>
      </c>
      <c r="P251" s="310">
        <f t="shared" ca="1" si="105"/>
        <v>6</v>
      </c>
      <c r="Q251" s="304">
        <f t="shared" ca="1" si="106"/>
        <v>518.11000000000126</v>
      </c>
      <c r="R251" s="306">
        <f t="shared" ca="1" si="107"/>
        <v>0.26001526936362329</v>
      </c>
      <c r="S251" s="307">
        <f t="shared" ca="1" si="108"/>
        <v>7.9842889072907184</v>
      </c>
      <c r="T251" s="304">
        <f t="shared" ca="1" si="88"/>
        <v>78.32587418052195</v>
      </c>
      <c r="U251" s="311">
        <f t="shared" ca="1" si="89"/>
        <v>0</v>
      </c>
      <c r="V251" s="306">
        <f t="shared" ca="1" si="90"/>
        <v>1.1979950632149585</v>
      </c>
      <c r="W251" s="304">
        <f t="shared" ca="1" si="91"/>
        <v>108.14334031344499</v>
      </c>
      <c r="Y251" s="314" t="str">
        <f t="shared" ca="1" si="109"/>
        <v/>
      </c>
      <c r="Z251" s="315" t="str">
        <f t="shared" ca="1" si="110"/>
        <v/>
      </c>
      <c r="AA251" s="316" t="str">
        <f t="shared" ca="1" si="111"/>
        <v/>
      </c>
      <c r="AC251" s="310" t="e">
        <f t="shared" ca="1" si="112"/>
        <v>#N/A</v>
      </c>
      <c r="AD251" s="323" t="e">
        <f t="shared" ca="1" si="113"/>
        <v>#N/A</v>
      </c>
      <c r="AE251" s="324">
        <f t="shared" ca="1" si="92"/>
        <v>222.90542143498843</v>
      </c>
      <c r="AG251" s="306">
        <f t="shared" ca="1" si="114"/>
        <v>41.846309688492049</v>
      </c>
      <c r="AH251" s="304">
        <f t="shared" ca="1" si="115"/>
        <v>51.412502883947383</v>
      </c>
    </row>
    <row r="252" spans="1:34" x14ac:dyDescent="0.2">
      <c r="A252" s="347">
        <f t="shared" ca="1" si="93"/>
        <v>0.01</v>
      </c>
      <c r="B252" s="304">
        <f t="shared" ca="1" si="94"/>
        <v>2.4799999999999911</v>
      </c>
      <c r="D252" s="306">
        <f t="shared" ca="1" si="95"/>
        <v>11.345969270848043</v>
      </c>
      <c r="E252" s="307">
        <f t="shared" ca="1" si="96"/>
        <v>40.096970251510285</v>
      </c>
      <c r="F252" s="304">
        <f t="shared" ca="1" si="97"/>
        <v>41.671309579200035</v>
      </c>
      <c r="G252" s="306">
        <f t="shared" ca="1" si="98"/>
        <v>37.013706621791137</v>
      </c>
      <c r="H252" s="307">
        <f t="shared" ca="1" si="99"/>
        <v>162.71231409287972</v>
      </c>
      <c r="I252" s="304">
        <f t="shared" ca="1" si="100"/>
        <v>166.86914524663922</v>
      </c>
      <c r="J252" s="306">
        <f t="shared" ca="1" si="101"/>
        <v>47.741551391581453</v>
      </c>
      <c r="K252" s="307">
        <f t="shared" ca="1" si="102"/>
        <v>224.53053972740466</v>
      </c>
      <c r="L252" s="304">
        <f t="shared" ca="1" si="87"/>
        <v>229.55003593890953</v>
      </c>
      <c r="M252" s="306">
        <f t="shared" ca="1" si="103"/>
        <v>1.347123171492508</v>
      </c>
      <c r="N252" s="304">
        <f t="shared" ca="1" si="104"/>
        <v>77.18447221079893</v>
      </c>
      <c r="P252" s="310">
        <f t="shared" ca="1" si="105"/>
        <v>6</v>
      </c>
      <c r="Q252" s="304">
        <f t="shared" ca="1" si="106"/>
        <v>516.65000000000123</v>
      </c>
      <c r="R252" s="306">
        <f t="shared" ca="1" si="107"/>
        <v>0.25928256338753541</v>
      </c>
      <c r="S252" s="307">
        <f t="shared" ca="1" si="108"/>
        <v>7.9816960816568434</v>
      </c>
      <c r="T252" s="304">
        <f t="shared" ca="1" si="88"/>
        <v>78.300438561053639</v>
      </c>
      <c r="U252" s="311">
        <f t="shared" ca="1" si="89"/>
        <v>0</v>
      </c>
      <c r="V252" s="306">
        <f t="shared" ca="1" si="90"/>
        <v>1.197800366305088</v>
      </c>
      <c r="W252" s="304">
        <f t="shared" ca="1" si="91"/>
        <v>108.66708801741771</v>
      </c>
      <c r="Y252" s="314" t="str">
        <f t="shared" ca="1" si="109"/>
        <v/>
      </c>
      <c r="Z252" s="315" t="str">
        <f t="shared" ca="1" si="110"/>
        <v/>
      </c>
      <c r="AA252" s="316" t="str">
        <f t="shared" ca="1" si="111"/>
        <v/>
      </c>
      <c r="AC252" s="310" t="e">
        <f t="shared" ca="1" si="112"/>
        <v>#N/A</v>
      </c>
      <c r="AD252" s="323" t="e">
        <f t="shared" ca="1" si="113"/>
        <v>#N/A</v>
      </c>
      <c r="AE252" s="324">
        <f t="shared" ca="1" si="92"/>
        <v>224.53053972740466</v>
      </c>
      <c r="AG252" s="306">
        <f t="shared" ca="1" si="114"/>
        <v>41.61452346139513</v>
      </c>
      <c r="AH252" s="304">
        <f t="shared" ca="1" si="115"/>
        <v>51.180432768589995</v>
      </c>
    </row>
    <row r="253" spans="1:34" x14ac:dyDescent="0.2">
      <c r="A253" s="347">
        <f t="shared" ca="1" si="93"/>
        <v>0.01</v>
      </c>
      <c r="B253" s="304">
        <f t="shared" ca="1" si="94"/>
        <v>2.4899999999999909</v>
      </c>
      <c r="D253" s="306">
        <f t="shared" ca="1" si="95"/>
        <v>11.301005356381239</v>
      </c>
      <c r="E253" s="307">
        <f t="shared" ca="1" si="96"/>
        <v>39.869237799714277</v>
      </c>
      <c r="F253" s="304">
        <f t="shared" ca="1" si="97"/>
        <v>41.439942625384063</v>
      </c>
      <c r="G253" s="306">
        <f t="shared" ca="1" si="98"/>
        <v>37.126716675354949</v>
      </c>
      <c r="H253" s="307">
        <f t="shared" ca="1" si="99"/>
        <v>163.11100647087687</v>
      </c>
      <c r="I253" s="304">
        <f t="shared" ca="1" si="100"/>
        <v>167.28297439678229</v>
      </c>
      <c r="J253" s="306">
        <f t="shared" ca="1" si="101"/>
        <v>48.112253508067184</v>
      </c>
      <c r="K253" s="307">
        <f t="shared" ca="1" si="102"/>
        <v>226.15965633022344</v>
      </c>
      <c r="L253" s="304">
        <f t="shared" ca="1" si="87"/>
        <v>231.22062859751355</v>
      </c>
      <c r="M253" s="306">
        <f t="shared" ca="1" si="103"/>
        <v>1.3469930935066416</v>
      </c>
      <c r="N253" s="304">
        <f t="shared" ca="1" si="104"/>
        <v>77.177019291201219</v>
      </c>
      <c r="P253" s="310">
        <f t="shared" ca="1" si="105"/>
        <v>6</v>
      </c>
      <c r="Q253" s="304">
        <f t="shared" ca="1" si="106"/>
        <v>515.19000000000131</v>
      </c>
      <c r="R253" s="306">
        <f t="shared" ca="1" si="107"/>
        <v>0.25854985741144754</v>
      </c>
      <c r="S253" s="307">
        <f t="shared" ca="1" si="108"/>
        <v>7.9791105830827291</v>
      </c>
      <c r="T253" s="304">
        <f t="shared" ca="1" si="88"/>
        <v>78.275074820041581</v>
      </c>
      <c r="U253" s="311">
        <f t="shared" ca="1" si="89"/>
        <v>0</v>
      </c>
      <c r="V253" s="306">
        <f t="shared" ca="1" si="90"/>
        <v>1.1976052217809114</v>
      </c>
      <c r="W253" s="304">
        <f t="shared" ca="1" si="91"/>
        <v>109.18894499494093</v>
      </c>
      <c r="Y253" s="314" t="str">
        <f t="shared" ca="1" si="109"/>
        <v/>
      </c>
      <c r="Z253" s="315" t="str">
        <f t="shared" ca="1" si="110"/>
        <v/>
      </c>
      <c r="AA253" s="316" t="str">
        <f t="shared" ca="1" si="111"/>
        <v/>
      </c>
      <c r="AC253" s="310" t="e">
        <f t="shared" ca="1" si="112"/>
        <v>#N/A</v>
      </c>
      <c r="AD253" s="323" t="e">
        <f t="shared" ca="1" si="113"/>
        <v>#N/A</v>
      </c>
      <c r="AE253" s="324">
        <f t="shared" ca="1" si="92"/>
        <v>226.15965633022344</v>
      </c>
      <c r="AG253" s="306">
        <f t="shared" ca="1" si="114"/>
        <v>41.382773490549098</v>
      </c>
      <c r="AH253" s="304">
        <f t="shared" ca="1" si="115"/>
        <v>50.948399292082939</v>
      </c>
    </row>
    <row r="254" spans="1:34" x14ac:dyDescent="0.2">
      <c r="A254" s="347">
        <f t="shared" ca="1" si="93"/>
        <v>0.01</v>
      </c>
      <c r="B254" s="304">
        <f t="shared" ca="1" si="94"/>
        <v>2.4999999999999907</v>
      </c>
      <c r="D254" s="306">
        <f t="shared" ca="1" si="95"/>
        <v>11.255978902310408</v>
      </c>
      <c r="E254" s="307">
        <f t="shared" ca="1" si="96"/>
        <v>39.641559738638094</v>
      </c>
      <c r="F254" s="304">
        <f t="shared" ca="1" si="97"/>
        <v>41.208619481381191</v>
      </c>
      <c r="G254" s="306">
        <f t="shared" ca="1" si="98"/>
        <v>37.239276464378051</v>
      </c>
      <c r="H254" s="307">
        <f t="shared" ca="1" si="99"/>
        <v>163.50742206826325</v>
      </c>
      <c r="I254" s="304">
        <f t="shared" ca="1" si="100"/>
        <v>167.69448644186119</v>
      </c>
      <c r="J254" s="306">
        <f t="shared" ca="1" si="101"/>
        <v>48.48408347376585</v>
      </c>
      <c r="K254" s="307">
        <f t="shared" ca="1" si="102"/>
        <v>227.79274847291913</v>
      </c>
      <c r="L254" s="304">
        <f t="shared" ca="1" si="87"/>
        <v>232.89534689885434</v>
      </c>
      <c r="M254" s="306">
        <f t="shared" ca="1" si="103"/>
        <v>1.34686326052626</v>
      </c>
      <c r="N254" s="304">
        <f t="shared" ca="1" si="104"/>
        <v>77.169580409383755</v>
      </c>
      <c r="P254" s="310">
        <f t="shared" ca="1" si="105"/>
        <v>6</v>
      </c>
      <c r="Q254" s="304">
        <f t="shared" ca="1" si="106"/>
        <v>513.73000000000138</v>
      </c>
      <c r="R254" s="306">
        <f t="shared" ca="1" si="107"/>
        <v>0.25781715143535971</v>
      </c>
      <c r="S254" s="307">
        <f t="shared" ca="1" si="108"/>
        <v>7.9765324115683756</v>
      </c>
      <c r="T254" s="304">
        <f t="shared" ca="1" si="88"/>
        <v>78.249782957485763</v>
      </c>
      <c r="U254" s="311">
        <f t="shared" ca="1" si="89"/>
        <v>0</v>
      </c>
      <c r="V254" s="306">
        <f t="shared" ca="1" si="90"/>
        <v>1.197409632593216</v>
      </c>
      <c r="W254" s="304">
        <f t="shared" ca="1" si="91"/>
        <v>109.70888979951054</v>
      </c>
      <c r="Y254" s="314" t="str">
        <f t="shared" ca="1" si="109"/>
        <v/>
      </c>
      <c r="Z254" s="315" t="str">
        <f t="shared" ca="1" si="110"/>
        <v/>
      </c>
      <c r="AA254" s="316" t="str">
        <f t="shared" ca="1" si="111"/>
        <v/>
      </c>
      <c r="AC254" s="310" t="e">
        <f t="shared" ca="1" si="112"/>
        <v>#N/A</v>
      </c>
      <c r="AD254" s="323" t="e">
        <f t="shared" ca="1" si="113"/>
        <v>#N/A</v>
      </c>
      <c r="AE254" s="324">
        <f t="shared" ca="1" si="92"/>
        <v>227.79274847291913</v>
      </c>
      <c r="AG254" s="306">
        <f t="shared" ca="1" si="114"/>
        <v>41.151063169922416</v>
      </c>
      <c r="AH254" s="304">
        <f t="shared" ca="1" si="115"/>
        <v>50.716405843014442</v>
      </c>
    </row>
    <row r="255" spans="1:34" x14ac:dyDescent="0.2">
      <c r="A255" s="347">
        <f t="shared" ca="1" si="93"/>
        <v>0.01</v>
      </c>
      <c r="B255" s="304">
        <f t="shared" ca="1" si="94"/>
        <v>2.5099999999999905</v>
      </c>
      <c r="D255" s="306">
        <f t="shared" ca="1" si="95"/>
        <v>11.20277719358195</v>
      </c>
      <c r="E255" s="307">
        <f t="shared" ca="1" si="96"/>
        <v>39.378313867480784</v>
      </c>
      <c r="F255" s="304">
        <f t="shared" ca="1" si="97"/>
        <v>40.940857586216602</v>
      </c>
      <c r="G255" s="306">
        <f t="shared" ca="1" si="98"/>
        <v>37.351304236313872</v>
      </c>
      <c r="H255" s="307">
        <f t="shared" ca="1" si="99"/>
        <v>163.90120520693807</v>
      </c>
      <c r="I255" s="304">
        <f t="shared" ca="1" si="100"/>
        <v>168.10331643498441</v>
      </c>
      <c r="J255" s="306">
        <f t="shared" ca="1" si="101"/>
        <v>48.85703637726931</v>
      </c>
      <c r="K255" s="307">
        <f t="shared" ca="1" si="102"/>
        <v>229.42979160929514</v>
      </c>
      <c r="L255" s="304">
        <f t="shared" ca="1" si="87"/>
        <v>234.57416584409805</v>
      </c>
      <c r="M255" s="306">
        <f t="shared" ca="1" si="103"/>
        <v>1.3467336694258818</v>
      </c>
      <c r="N255" s="304">
        <f t="shared" ca="1" si="104"/>
        <v>77.162155386269617</v>
      </c>
      <c r="P255" s="310">
        <f t="shared" ca="1" si="105"/>
        <v>7</v>
      </c>
      <c r="Q255" s="304">
        <f t="shared" ca="1" si="106"/>
        <v>511.97872340425727</v>
      </c>
      <c r="R255" s="306">
        <f t="shared" ca="1" si="107"/>
        <v>0.25693826730694563</v>
      </c>
      <c r="S255" s="307">
        <f t="shared" ca="1" si="108"/>
        <v>7.9739630288953061</v>
      </c>
      <c r="T255" s="304">
        <f t="shared" ca="1" si="88"/>
        <v>78.224577313462959</v>
      </c>
      <c r="U255" s="311">
        <f t="shared" ca="1" si="89"/>
        <v>0</v>
      </c>
      <c r="V255" s="306">
        <f t="shared" ca="1" si="90"/>
        <v>1.1972136019040973</v>
      </c>
      <c r="W255" s="304">
        <f t="shared" ca="1" si="91"/>
        <v>110.2264220416718</v>
      </c>
      <c r="Y255" s="314" t="str">
        <f t="shared" ca="1" si="109"/>
        <v/>
      </c>
      <c r="Z255" s="315" t="str">
        <f t="shared" ca="1" si="110"/>
        <v/>
      </c>
      <c r="AA255" s="316" t="str">
        <f t="shared" ca="1" si="111"/>
        <v/>
      </c>
      <c r="AC255" s="310" t="e">
        <f t="shared" ca="1" si="112"/>
        <v>#N/A</v>
      </c>
      <c r="AD255" s="323" t="e">
        <f t="shared" ca="1" si="113"/>
        <v>#N/A</v>
      </c>
      <c r="AE255" s="324">
        <f t="shared" ca="1" si="92"/>
        <v>229.42979160929514</v>
      </c>
      <c r="AG255" s="306">
        <f t="shared" ca="1" si="114"/>
        <v>40.882858157201447</v>
      </c>
      <c r="AH255" s="304">
        <f t="shared" ca="1" si="115"/>
        <v>50.447918073740588</v>
      </c>
    </row>
    <row r="256" spans="1:34" x14ac:dyDescent="0.2">
      <c r="A256" s="347">
        <f t="shared" ca="1" si="93"/>
        <v>0.01</v>
      </c>
      <c r="B256" s="304">
        <f t="shared" ca="1" si="94"/>
        <v>2.5199999999999902</v>
      </c>
      <c r="D256" s="306">
        <f t="shared" ca="1" si="95"/>
        <v>11.141390980570922</v>
      </c>
      <c r="E256" s="307">
        <f t="shared" ca="1" si="96"/>
        <v>39.079521978777827</v>
      </c>
      <c r="F256" s="304">
        <f t="shared" ca="1" si="97"/>
        <v>40.636678396145101</v>
      </c>
      <c r="G256" s="306">
        <f t="shared" ca="1" si="98"/>
        <v>37.462718146119585</v>
      </c>
      <c r="H256" s="307">
        <f t="shared" ca="1" si="99"/>
        <v>164.29200042672585</v>
      </c>
      <c r="I256" s="304">
        <f t="shared" ca="1" si="100"/>
        <v>168.50909962109134</v>
      </c>
      <c r="J256" s="306">
        <f t="shared" ca="1" si="101"/>
        <v>49.231106489181478</v>
      </c>
      <c r="K256" s="307">
        <f t="shared" ca="1" si="102"/>
        <v>231.07075763746346</v>
      </c>
      <c r="L256" s="304">
        <f t="shared" ca="1" si="87"/>
        <v>236.2570567862482</v>
      </c>
      <c r="M256" s="306">
        <f t="shared" ca="1" si="103"/>
        <v>1.3466043168325421</v>
      </c>
      <c r="N256" s="304">
        <f t="shared" ca="1" si="104"/>
        <v>77.154744028602181</v>
      </c>
      <c r="P256" s="310">
        <f t="shared" ca="1" si="105"/>
        <v>7</v>
      </c>
      <c r="Q256" s="304">
        <f t="shared" ca="1" si="106"/>
        <v>509.93617021276793</v>
      </c>
      <c r="R256" s="306">
        <f t="shared" ca="1" si="107"/>
        <v>0.25591320502620485</v>
      </c>
      <c r="S256" s="307">
        <f t="shared" ca="1" si="108"/>
        <v>7.971403896845044</v>
      </c>
      <c r="T256" s="304">
        <f t="shared" ca="1" si="88"/>
        <v>78.199472228049885</v>
      </c>
      <c r="U256" s="311">
        <f t="shared" ca="1" si="89"/>
        <v>0</v>
      </c>
      <c r="V256" s="306">
        <f t="shared" ca="1" si="90"/>
        <v>1.1970171332998742</v>
      </c>
      <c r="W256" s="304">
        <f t="shared" ca="1" si="91"/>
        <v>110.74103746062903</v>
      </c>
      <c r="Y256" s="314" t="str">
        <f t="shared" ca="1" si="109"/>
        <v/>
      </c>
      <c r="Z256" s="315" t="str">
        <f t="shared" ca="1" si="110"/>
        <v/>
      </c>
      <c r="AA256" s="316" t="str">
        <f t="shared" ca="1" si="111"/>
        <v/>
      </c>
      <c r="AC256" s="310" t="e">
        <f t="shared" ca="1" si="112"/>
        <v>#N/A</v>
      </c>
      <c r="AD256" s="323" t="e">
        <f t="shared" ca="1" si="113"/>
        <v>#N/A</v>
      </c>
      <c r="AE256" s="324">
        <f t="shared" ca="1" si="92"/>
        <v>231.07075763746346</v>
      </c>
      <c r="AG256" s="306">
        <f t="shared" ca="1" si="114"/>
        <v>40.578177635192304</v>
      </c>
      <c r="AH256" s="304">
        <f t="shared" ca="1" si="115"/>
        <v>50.142955161172416</v>
      </c>
    </row>
    <row r="257" spans="1:34" x14ac:dyDescent="0.2">
      <c r="A257" s="347">
        <f t="shared" ca="1" si="93"/>
        <v>0.01</v>
      </c>
      <c r="B257" s="304">
        <f t="shared" ca="1" si="94"/>
        <v>2.52999999999999</v>
      </c>
      <c r="D257" s="306">
        <f t="shared" ca="1" si="95"/>
        <v>11.07993950225654</v>
      </c>
      <c r="E257" s="307">
        <f t="shared" ca="1" si="96"/>
        <v>38.780852866915666</v>
      </c>
      <c r="F257" s="304">
        <f t="shared" ca="1" si="97"/>
        <v>40.332612219629738</v>
      </c>
      <c r="G257" s="306">
        <f t="shared" ca="1" si="98"/>
        <v>37.573517541142152</v>
      </c>
      <c r="H257" s="307">
        <f t="shared" ca="1" si="99"/>
        <v>164.679808955395</v>
      </c>
      <c r="I257" s="304">
        <f t="shared" ca="1" si="100"/>
        <v>168.91183705708701</v>
      </c>
      <c r="J257" s="306">
        <f t="shared" ca="1" si="101"/>
        <v>49.606287667617785</v>
      </c>
      <c r="K257" s="307">
        <f t="shared" ca="1" si="102"/>
        <v>232.71561668437406</v>
      </c>
      <c r="L257" s="304">
        <f t="shared" ca="1" si="87"/>
        <v>237.94398925997473</v>
      </c>
      <c r="M257" s="306">
        <f t="shared" ca="1" si="103"/>
        <v>1.3464751994093791</v>
      </c>
      <c r="N257" s="304">
        <f t="shared" ca="1" si="104"/>
        <v>77.147346145193339</v>
      </c>
      <c r="P257" s="310">
        <f t="shared" ca="1" si="105"/>
        <v>7</v>
      </c>
      <c r="Q257" s="304">
        <f t="shared" ca="1" si="106"/>
        <v>507.8936170212786</v>
      </c>
      <c r="R257" s="306">
        <f t="shared" ca="1" si="107"/>
        <v>0.25488814274546401</v>
      </c>
      <c r="S257" s="307">
        <f t="shared" ca="1" si="108"/>
        <v>7.9688550154175894</v>
      </c>
      <c r="T257" s="304">
        <f t="shared" ca="1" si="88"/>
        <v>78.174467701246556</v>
      </c>
      <c r="U257" s="311">
        <f t="shared" ca="1" si="89"/>
        <v>0</v>
      </c>
      <c r="V257" s="306">
        <f t="shared" ca="1" si="90"/>
        <v>1.1968202305771276</v>
      </c>
      <c r="W257" s="304">
        <f t="shared" ca="1" si="91"/>
        <v>111.25270962134445</v>
      </c>
      <c r="Y257" s="314" t="str">
        <f t="shared" ca="1" si="109"/>
        <v/>
      </c>
      <c r="Z257" s="315" t="str">
        <f t="shared" ca="1" si="110"/>
        <v/>
      </c>
      <c r="AA257" s="316" t="str">
        <f t="shared" ca="1" si="111"/>
        <v/>
      </c>
      <c r="AC257" s="310" t="e">
        <f t="shared" ca="1" si="112"/>
        <v>#N/A</v>
      </c>
      <c r="AD257" s="323" t="e">
        <f t="shared" ca="1" si="113"/>
        <v>#N/A</v>
      </c>
      <c r="AE257" s="324">
        <f t="shared" ca="1" si="92"/>
        <v>232.71561668437406</v>
      </c>
      <c r="AG257" s="306">
        <f t="shared" ca="1" si="114"/>
        <v>40.273602800496903</v>
      </c>
      <c r="AH257" s="304">
        <f t="shared" ca="1" si="115"/>
        <v>49.838098295459787</v>
      </c>
    </row>
    <row r="258" spans="1:34" x14ac:dyDescent="0.2">
      <c r="A258" s="347">
        <f t="shared" ca="1" si="93"/>
        <v>0.01</v>
      </c>
      <c r="B258" s="304">
        <f t="shared" ca="1" si="94"/>
        <v>2.5399999999999898</v>
      </c>
      <c r="D258" s="306">
        <f t="shared" ca="1" si="95"/>
        <v>11.018424199475541</v>
      </c>
      <c r="E258" s="307">
        <f t="shared" ca="1" si="96"/>
        <v>38.482310938742501</v>
      </c>
      <c r="F258" s="304">
        <f t="shared" ca="1" si="97"/>
        <v>40.028663817640087</v>
      </c>
      <c r="G258" s="306">
        <f t="shared" ca="1" si="98"/>
        <v>37.683701783136911</v>
      </c>
      <c r="H258" s="307">
        <f t="shared" ca="1" si="99"/>
        <v>165.06463206478242</v>
      </c>
      <c r="I258" s="304">
        <f t="shared" ca="1" si="100"/>
        <v>169.31152984590975</v>
      </c>
      <c r="J258" s="306">
        <f t="shared" ca="1" si="101"/>
        <v>49.982573764239177</v>
      </c>
      <c r="K258" s="307">
        <f t="shared" ca="1" si="102"/>
        <v>234.36433888947494</v>
      </c>
      <c r="L258" s="304">
        <f t="shared" ca="1" si="87"/>
        <v>239.63493281071993</v>
      </c>
      <c r="M258" s="306">
        <f t="shared" ca="1" si="103"/>
        <v>1.3463463138549785</v>
      </c>
      <c r="N258" s="304">
        <f t="shared" ca="1" si="104"/>
        <v>77.139961546885985</v>
      </c>
      <c r="P258" s="310">
        <f t="shared" ca="1" si="105"/>
        <v>7</v>
      </c>
      <c r="Q258" s="304">
        <f t="shared" ca="1" si="106"/>
        <v>505.85106382978927</v>
      </c>
      <c r="R258" s="306">
        <f t="shared" ca="1" si="107"/>
        <v>0.25386308046472317</v>
      </c>
      <c r="S258" s="307">
        <f t="shared" ca="1" si="108"/>
        <v>7.9663163846129423</v>
      </c>
      <c r="T258" s="304">
        <f t="shared" ca="1" si="88"/>
        <v>78.149563733052972</v>
      </c>
      <c r="U258" s="311">
        <f t="shared" ca="1" si="89"/>
        <v>0</v>
      </c>
      <c r="V258" s="306">
        <f t="shared" ca="1" si="90"/>
        <v>1.1966228975290498</v>
      </c>
      <c r="W258" s="304">
        <f t="shared" ca="1" si="91"/>
        <v>111.76141241033929</v>
      </c>
      <c r="Y258" s="314" t="str">
        <f t="shared" ca="1" si="109"/>
        <v/>
      </c>
      <c r="Z258" s="315" t="str">
        <f t="shared" ca="1" si="110"/>
        <v/>
      </c>
      <c r="AA258" s="316" t="str">
        <f t="shared" ca="1" si="111"/>
        <v/>
      </c>
      <c r="AC258" s="310" t="e">
        <f t="shared" ca="1" si="112"/>
        <v>#N/A</v>
      </c>
      <c r="AD258" s="323" t="e">
        <f t="shared" ca="1" si="113"/>
        <v>#N/A</v>
      </c>
      <c r="AE258" s="324">
        <f t="shared" ca="1" si="92"/>
        <v>234.36433888947494</v>
      </c>
      <c r="AG258" s="306">
        <f t="shared" ca="1" si="114"/>
        <v>39.969138256469513</v>
      </c>
      <c r="AH258" s="304">
        <f t="shared" ca="1" si="115"/>
        <v>49.533352073565311</v>
      </c>
    </row>
    <row r="259" spans="1:34" x14ac:dyDescent="0.2">
      <c r="A259" s="347">
        <f t="shared" ca="1" si="93"/>
        <v>0.01</v>
      </c>
      <c r="B259" s="304">
        <f t="shared" ca="1" si="94"/>
        <v>2.5499999999999896</v>
      </c>
      <c r="D259" s="306">
        <f t="shared" ca="1" si="95"/>
        <v>10.956846501647357</v>
      </c>
      <c r="E259" s="307">
        <f t="shared" ca="1" si="96"/>
        <v>38.183900567222004</v>
      </c>
      <c r="F259" s="304">
        <f t="shared" ca="1" si="97"/>
        <v>39.724837920225163</v>
      </c>
      <c r="G259" s="306">
        <f t="shared" ca="1" si="98"/>
        <v>37.793270248153384</v>
      </c>
      <c r="H259" s="307">
        <f t="shared" ca="1" si="99"/>
        <v>165.44647107045463</v>
      </c>
      <c r="I259" s="304">
        <f t="shared" ca="1" si="100"/>
        <v>169.70817913617697</v>
      </c>
      <c r="J259" s="306">
        <f t="shared" ca="1" si="101"/>
        <v>50.359958624395631</v>
      </c>
      <c r="K259" s="307">
        <f t="shared" ca="1" si="102"/>
        <v>236.01689440515113</v>
      </c>
      <c r="L259" s="304">
        <f t="shared" ca="1" si="87"/>
        <v>241.32985699515737</v>
      </c>
      <c r="M259" s="306">
        <f t="shared" ca="1" si="103"/>
        <v>1.3462176569027309</v>
      </c>
      <c r="N259" s="304">
        <f t="shared" ca="1" si="104"/>
        <v>77.13259004651718</v>
      </c>
      <c r="P259" s="310">
        <f t="shared" ca="1" si="105"/>
        <v>7</v>
      </c>
      <c r="Q259" s="304">
        <f t="shared" ca="1" si="106"/>
        <v>503.80851063829999</v>
      </c>
      <c r="R259" s="306">
        <f t="shared" ca="1" si="107"/>
        <v>0.25283801818398238</v>
      </c>
      <c r="S259" s="307">
        <f t="shared" ca="1" si="108"/>
        <v>7.9637880044311027</v>
      </c>
      <c r="T259" s="304">
        <f t="shared" ca="1" si="88"/>
        <v>78.124760323469118</v>
      </c>
      <c r="U259" s="311">
        <f t="shared" ca="1" si="89"/>
        <v>0</v>
      </c>
      <c r="V259" s="306">
        <f t="shared" ca="1" si="90"/>
        <v>1.1964251379453785</v>
      </c>
      <c r="W259" s="304">
        <f t="shared" ca="1" si="91"/>
        <v>112.26712003544425</v>
      </c>
      <c r="Y259" s="314" t="str">
        <f t="shared" ca="1" si="109"/>
        <v/>
      </c>
      <c r="Z259" s="315" t="str">
        <f t="shared" ca="1" si="110"/>
        <v/>
      </c>
      <c r="AA259" s="316" t="str">
        <f t="shared" ca="1" si="111"/>
        <v/>
      </c>
      <c r="AC259" s="310" t="e">
        <f t="shared" ca="1" si="112"/>
        <v>#N/A</v>
      </c>
      <c r="AD259" s="323" t="e">
        <f t="shared" ca="1" si="113"/>
        <v>#N/A</v>
      </c>
      <c r="AE259" s="324">
        <f t="shared" ca="1" si="92"/>
        <v>236.01689440515113</v>
      </c>
      <c r="AG259" s="306">
        <f t="shared" ca="1" si="114"/>
        <v>39.664788571046401</v>
      </c>
      <c r="AH259" s="304">
        <f t="shared" ca="1" si="115"/>
        <v>49.228721057092827</v>
      </c>
    </row>
    <row r="260" spans="1:34" x14ac:dyDescent="0.2">
      <c r="A260" s="347">
        <f t="shared" ca="1" si="93"/>
        <v>0.01</v>
      </c>
      <c r="B260" s="304">
        <f t="shared" ca="1" si="94"/>
        <v>2.5599999999999894</v>
      </c>
      <c r="D260" s="306">
        <f t="shared" ca="1" si="95"/>
        <v>10.895207826810521</v>
      </c>
      <c r="E260" s="307">
        <f t="shared" ca="1" si="96"/>
        <v>37.885626091342907</v>
      </c>
      <c r="F260" s="304">
        <f t="shared" ca="1" si="97"/>
        <v>39.421139226593084</v>
      </c>
      <c r="G260" s="306">
        <f t="shared" ca="1" si="98"/>
        <v>37.902222326421487</v>
      </c>
      <c r="H260" s="307">
        <f t="shared" ca="1" si="99"/>
        <v>165.82532733136807</v>
      </c>
      <c r="I260" s="304">
        <f t="shared" ca="1" si="100"/>
        <v>170.10178612183017</v>
      </c>
      <c r="J260" s="306">
        <f t="shared" ca="1" si="101"/>
        <v>50.738436087268504</v>
      </c>
      <c r="K260" s="307">
        <f t="shared" ca="1" si="102"/>
        <v>237.67325339716024</v>
      </c>
      <c r="L260" s="304">
        <f t="shared" ref="L260:L323" ca="1" si="116">SQRT(pos_x^2+pos_z^2)</f>
        <v>243.02873138164668</v>
      </c>
      <c r="M260" s="306">
        <f t="shared" ca="1" si="103"/>
        <v>1.3460892253202039</v>
      </c>
      <c r="N260" s="304">
        <f t="shared" ca="1" si="104"/>
        <v>77.125231458882197</v>
      </c>
      <c r="P260" s="310">
        <f t="shared" ca="1" si="105"/>
        <v>7</v>
      </c>
      <c r="Q260" s="304">
        <f t="shared" ca="1" si="106"/>
        <v>501.76595744681066</v>
      </c>
      <c r="R260" s="306">
        <f t="shared" ca="1" si="107"/>
        <v>0.2518129559032416</v>
      </c>
      <c r="S260" s="307">
        <f t="shared" ca="1" si="108"/>
        <v>7.9612698748720705</v>
      </c>
      <c r="T260" s="304">
        <f t="shared" ref="T260:T323" ca="1" si="117">m*g</f>
        <v>78.10005747249501</v>
      </c>
      <c r="U260" s="311">
        <f t="shared" ref="U260:U323" ca="1" si="118">IF(pos_xz&lt;L_rampe,Poids*COS(Beta),0)</f>
        <v>0</v>
      </c>
      <c r="V260" s="306">
        <f t="shared" ref="V260:V323" ca="1" si="119">Rho_moyen*(20000-Alt_rampe-pos_z)/(20000+Alt_rampe+pos_z)</f>
        <v>1.1962269556123359</v>
      </c>
      <c r="W260" s="304">
        <f t="shared" ref="W260:W323" ca="1" si="120">1/2*Rho*Sref*Cx*vit_xz^2</f>
        <v>112.76980702552325</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237.67325339716024</v>
      </c>
      <c r="AG260" s="306">
        <f t="shared" ca="1" si="114"/>
        <v>39.360558276663085</v>
      </c>
      <c r="AH260" s="304">
        <f t="shared" ca="1" si="115"/>
        <v>48.924209772203618</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10.833509581658372</v>
      </c>
      <c r="E261" s="307">
        <f t="shared" ref="E261:E324" ca="1" si="125">IF(AND(L260&lt;L_rampe,Poussee&lt;Poids*SIN(M260)),0,(-W260+Poussee)/m*SIN(M260)+U260/m*COS(M260)-Poids/m)</f>
        <v>37.58749181603266</v>
      </c>
      <c r="F261" s="304">
        <f t="shared" ref="F261:F324" ca="1" si="126">SQRT(acc_x^2+acc_z^2)</f>
        <v>39.117572405201805</v>
      </c>
      <c r="G261" s="306">
        <f t="shared" ref="G261:G324" ca="1" si="127">G260+acc_x*pas</f>
        <v>38.010557422238072</v>
      </c>
      <c r="H261" s="307">
        <f t="shared" ref="H261:H324" ca="1" si="128">H260+acc_z*pas</f>
        <v>166.20120224952839</v>
      </c>
      <c r="I261" s="304">
        <f t="shared" ref="I261:I324" ca="1" si="129">SQRT(vit_x^2+vit_z^2)</f>
        <v>170.49235204177899</v>
      </c>
      <c r="J261" s="306">
        <f t="shared" ref="J261:J324" ca="1" si="130">J260+0.5*(vit_x+G260)*pas*(K260&gt;=0)</f>
        <v>51.117999986011803</v>
      </c>
      <c r="K261" s="307">
        <f t="shared" ref="K261:K324" ca="1" si="131">K260+0.5*(vit_z+H260)*pas</f>
        <v>239.33338604506471</v>
      </c>
      <c r="L261" s="304">
        <f t="shared" ca="1" si="116"/>
        <v>244.7315255506856</v>
      </c>
      <c r="M261" s="306">
        <f t="shared" ref="M261:M324" ca="1" si="132">IF(AND(L260&gt;L_rampe,G261&gt;0),ATAN2(G261,H261),$M$4)</f>
        <v>1.3459610159085258</v>
      </c>
      <c r="N261" s="304">
        <f t="shared" ref="N261:N324" ca="1" si="133">DEGREES(Beta)</f>
        <v>77.117885600699182</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7.9587619959358458</v>
      </c>
      <c r="T261" s="304">
        <f t="shared" ca="1" si="117"/>
        <v>78.075455180130646</v>
      </c>
      <c r="U261" s="311">
        <f t="shared" ca="1" si="118"/>
        <v>0</v>
      </c>
      <c r="V261" s="306">
        <f t="shared" ca="1" si="119"/>
        <v>1.1960283543125632</v>
      </c>
      <c r="W261" s="304">
        <f t="shared" ca="1" si="120"/>
        <v>113.26944823016962</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239.33338604506471</v>
      </c>
      <c r="AG261" s="306">
        <f t="shared" ref="AG261:AG324" ca="1" si="143">IF(AND(L260&lt;L_rampe,Poussee&lt;Poids*SIN(M260)),0,(-W260+Poussee)/m-Poids*SIN(M260)/m)</f>
        <v>39.056451870175621</v>
      </c>
      <c r="AH261" s="304">
        <f t="shared" ref="AH261:AH324" ca="1" si="144">IF(AND(L260&lt;L_rampe,Poussee&lt;Poids*SIN(M260)), g*SIN(M260), (-W260+Poussee)/m)</f>
        <v>48.619822709536557</v>
      </c>
    </row>
    <row r="262" spans="1:34" x14ac:dyDescent="0.2">
      <c r="A262" s="347">
        <f t="shared" ca="1" si="122"/>
        <v>0.01</v>
      </c>
      <c r="B262" s="304">
        <f t="shared" ca="1" si="123"/>
        <v>2.579999999999989</v>
      </c>
      <c r="D262" s="306">
        <f t="shared" ca="1" si="124"/>
        <v>10.77175316157426</v>
      </c>
      <c r="E262" s="307">
        <f t="shared" ca="1" si="125"/>
        <v>37.289502012075154</v>
      </c>
      <c r="F262" s="304">
        <f t="shared" ca="1" si="126"/>
        <v>38.814142093861122</v>
      </c>
      <c r="G262" s="306">
        <f t="shared" ca="1" si="127"/>
        <v>38.118274953853813</v>
      </c>
      <c r="H262" s="307">
        <f t="shared" ca="1" si="128"/>
        <v>166.57409726964914</v>
      </c>
      <c r="I262" s="304">
        <f t="shared" ca="1" si="129"/>
        <v>170.87987817954499</v>
      </c>
      <c r="J262" s="306">
        <f t="shared" ca="1" si="130"/>
        <v>51.498644147892264</v>
      </c>
      <c r="K262" s="307">
        <f t="shared" ca="1" si="131"/>
        <v>240.99726254266059</v>
      </c>
      <c r="L262" s="304">
        <f t="shared" ca="1" si="116"/>
        <v>246.43820909535785</v>
      </c>
      <c r="M262" s="306">
        <f t="shared" ca="1" si="132"/>
        <v>1.3458330255017821</v>
      </c>
      <c r="N262" s="304">
        <f t="shared" ca="1" si="133"/>
        <v>77.110552290574603</v>
      </c>
      <c r="P262" s="310">
        <f t="shared" ca="1" si="134"/>
        <v>7</v>
      </c>
      <c r="Q262" s="304">
        <f t="shared" ca="1" si="135"/>
        <v>497.68085106383205</v>
      </c>
      <c r="R262" s="306">
        <f t="shared" ca="1" si="136"/>
        <v>0.24976283134175997</v>
      </c>
      <c r="S262" s="307">
        <f t="shared" ca="1" si="137"/>
        <v>7.9562643676224285</v>
      </c>
      <c r="T262" s="304">
        <f t="shared" ca="1" si="117"/>
        <v>78.050953446376028</v>
      </c>
      <c r="U262" s="311">
        <f t="shared" ca="1" si="118"/>
        <v>0</v>
      </c>
      <c r="V262" s="306">
        <f t="shared" ca="1" si="119"/>
        <v>1.19582933782506</v>
      </c>
      <c r="W262" s="304">
        <f t="shared" ca="1" si="120"/>
        <v>113.76601881937682</v>
      </c>
      <c r="Y262" s="314" t="str">
        <f t="shared" ca="1" si="138"/>
        <v/>
      </c>
      <c r="Z262" s="315" t="str">
        <f t="shared" ca="1" si="139"/>
        <v/>
      </c>
      <c r="AA262" s="316" t="str">
        <f t="shared" ca="1" si="140"/>
        <v/>
      </c>
      <c r="AC262" s="310" t="e">
        <f t="shared" ca="1" si="141"/>
        <v>#N/A</v>
      </c>
      <c r="AD262" s="323" t="e">
        <f t="shared" ca="1" si="142"/>
        <v>#N/A</v>
      </c>
      <c r="AE262" s="324">
        <f t="shared" ca="1" si="121"/>
        <v>240.99726254266059</v>
      </c>
      <c r="AG262" s="306">
        <f t="shared" ca="1" si="143"/>
        <v>38.752473812785766</v>
      </c>
      <c r="AH262" s="304">
        <f t="shared" ca="1" si="144"/>
        <v>48.315564324132204</v>
      </c>
    </row>
    <row r="263" spans="1:34" x14ac:dyDescent="0.2">
      <c r="A263" s="347">
        <f t="shared" ca="1" si="122"/>
        <v>0.01</v>
      </c>
      <c r="B263" s="304">
        <f t="shared" ca="1" si="123"/>
        <v>2.5899999999999888</v>
      </c>
      <c r="D263" s="306">
        <f t="shared" ca="1" si="124"/>
        <v>10.709939950666115</v>
      </c>
      <c r="E263" s="307">
        <f t="shared" ca="1" si="125"/>
        <v>36.991660916032437</v>
      </c>
      <c r="F263" s="304">
        <f t="shared" ca="1" si="126"/>
        <v>38.510852899846249</v>
      </c>
      <c r="G263" s="306">
        <f t="shared" ca="1" si="127"/>
        <v>38.225374353360472</v>
      </c>
      <c r="H263" s="307">
        <f t="shared" ca="1" si="128"/>
        <v>166.94401387880947</v>
      </c>
      <c r="I263" s="304">
        <f t="shared" ca="1" si="129"/>
        <v>171.26436586290413</v>
      </c>
      <c r="J263" s="306">
        <f t="shared" ca="1" si="130"/>
        <v>51.880362394428339</v>
      </c>
      <c r="K263" s="307">
        <f t="shared" ca="1" si="131"/>
        <v>242.66485309840289</v>
      </c>
      <c r="L263" s="304">
        <f t="shared" ca="1" si="116"/>
        <v>248.14875162177759</v>
      </c>
      <c r="M263" s="306">
        <f t="shared" ca="1" si="132"/>
        <v>1.3457052509664236</v>
      </c>
      <c r="N263" s="304">
        <f t="shared" ca="1" si="133"/>
        <v>77.103231348969317</v>
      </c>
      <c r="P263" s="310">
        <f t="shared" ca="1" si="134"/>
        <v>7</v>
      </c>
      <c r="Q263" s="304">
        <f t="shared" ca="1" si="135"/>
        <v>495.63829787234272</v>
      </c>
      <c r="R263" s="306">
        <f t="shared" ca="1" si="136"/>
        <v>0.24873776906101916</v>
      </c>
      <c r="S263" s="307">
        <f t="shared" ca="1" si="137"/>
        <v>7.9537769899318187</v>
      </c>
      <c r="T263" s="304">
        <f t="shared" ca="1" si="117"/>
        <v>78.026552271231139</v>
      </c>
      <c r="U263" s="311">
        <f t="shared" ca="1" si="118"/>
        <v>0</v>
      </c>
      <c r="V263" s="306">
        <f t="shared" ca="1" si="119"/>
        <v>1.1956299099251211</v>
      </c>
      <c r="W263" s="304">
        <f t="shared" ca="1" si="120"/>
        <v>114.2594942831816</v>
      </c>
      <c r="Y263" s="314" t="str">
        <f t="shared" ca="1" si="138"/>
        <v/>
      </c>
      <c r="Z263" s="315" t="str">
        <f t="shared" ca="1" si="139"/>
        <v/>
      </c>
      <c r="AA263" s="316" t="str">
        <f t="shared" ca="1" si="140"/>
        <v/>
      </c>
      <c r="AC263" s="310" t="e">
        <f t="shared" ca="1" si="141"/>
        <v>#N/A</v>
      </c>
      <c r="AD263" s="323" t="e">
        <f t="shared" ca="1" si="142"/>
        <v>#N/A</v>
      </c>
      <c r="AE263" s="324">
        <f t="shared" ca="1" si="121"/>
        <v>242.66485309840289</v>
      </c>
      <c r="AG263" s="306">
        <f t="shared" ca="1" si="143"/>
        <v>38.448628529969824</v>
      </c>
      <c r="AH263" s="304">
        <f t="shared" ca="1" si="144"/>
        <v>48.011439035360652</v>
      </c>
    </row>
    <row r="264" spans="1:34" x14ac:dyDescent="0.2">
      <c r="A264" s="347">
        <f t="shared" ca="1" si="122"/>
        <v>0.01</v>
      </c>
      <c r="B264" s="304">
        <f t="shared" ca="1" si="123"/>
        <v>2.5999999999999885</v>
      </c>
      <c r="D264" s="306">
        <f t="shared" ca="1" si="124"/>
        <v>10.648071321800636</v>
      </c>
      <c r="E264" s="307">
        <f t="shared" ca="1" si="125"/>
        <v>36.693972730170593</v>
      </c>
      <c r="F264" s="304">
        <f t="shared" ca="1" si="126"/>
        <v>38.20770940002366</v>
      </c>
      <c r="G264" s="306">
        <f t="shared" ca="1" si="127"/>
        <v>38.331855066578477</v>
      </c>
      <c r="H264" s="307">
        <f t="shared" ca="1" si="128"/>
        <v>167.31095360611118</v>
      </c>
      <c r="I264" s="304">
        <f t="shared" ca="1" si="129"/>
        <v>171.64581646352894</v>
      </c>
      <c r="J264" s="306">
        <f t="shared" ca="1" si="130"/>
        <v>52.263148541528032</v>
      </c>
      <c r="K264" s="307">
        <f t="shared" ca="1" si="131"/>
        <v>244.33612793582748</v>
      </c>
      <c r="L264" s="304">
        <f t="shared" ca="1" si="116"/>
        <v>249.86312274953036</v>
      </c>
      <c r="M264" s="306">
        <f t="shared" ca="1" si="132"/>
        <v>1.3455776892006865</v>
      </c>
      <c r="N264" s="304">
        <f t="shared" ca="1" si="133"/>
        <v>77.095922598165345</v>
      </c>
      <c r="P264" s="310">
        <f t="shared" ca="1" si="134"/>
        <v>7</v>
      </c>
      <c r="Q264" s="304">
        <f t="shared" ca="1" si="135"/>
        <v>493.59574468085339</v>
      </c>
      <c r="R264" s="306">
        <f t="shared" ca="1" si="136"/>
        <v>0.24771270678027832</v>
      </c>
      <c r="S264" s="307">
        <f t="shared" ca="1" si="137"/>
        <v>7.9512998628640164</v>
      </c>
      <c r="T264" s="304">
        <f t="shared" ca="1" si="117"/>
        <v>78.002251654696011</v>
      </c>
      <c r="U264" s="311">
        <f t="shared" ca="1" si="118"/>
        <v>0</v>
      </c>
      <c r="V264" s="306">
        <f t="shared" ca="1" si="119"/>
        <v>1.1954300743842758</v>
      </c>
      <c r="W264" s="304">
        <f t="shared" ca="1" si="120"/>
        <v>114.74985043128203</v>
      </c>
      <c r="Y264" s="314" t="str">
        <f t="shared" ca="1" si="138"/>
        <v/>
      </c>
      <c r="Z264" s="315" t="str">
        <f t="shared" ca="1" si="139"/>
        <v/>
      </c>
      <c r="AA264" s="316" t="str">
        <f t="shared" ca="1" si="140"/>
        <v/>
      </c>
      <c r="AC264" s="310" t="e">
        <f t="shared" ca="1" si="141"/>
        <v>#N/A</v>
      </c>
      <c r="AD264" s="323" t="e">
        <f t="shared" ca="1" si="142"/>
        <v>#N/A</v>
      </c>
      <c r="AE264" s="324">
        <f t="shared" ca="1" si="121"/>
        <v>244.33612793582748</v>
      </c>
      <c r="AG264" s="306">
        <f t="shared" ca="1" si="143"/>
        <v>38.144920411411668</v>
      </c>
      <c r="AH264" s="304">
        <f t="shared" ca="1" si="144"/>
        <v>47.707451226853479</v>
      </c>
    </row>
    <row r="265" spans="1:34" x14ac:dyDescent="0.2">
      <c r="A265" s="347">
        <f t="shared" ca="1" si="122"/>
        <v>0.01</v>
      </c>
      <c r="B265" s="304">
        <f t="shared" ca="1" si="123"/>
        <v>2.6099999999999883</v>
      </c>
      <c r="D265" s="306">
        <f t="shared" ca="1" si="124"/>
        <v>10.586148636636866</v>
      </c>
      <c r="E265" s="307">
        <f t="shared" ca="1" si="125"/>
        <v>36.396441622389332</v>
      </c>
      <c r="F265" s="304">
        <f t="shared" ca="1" si="126"/>
        <v>37.904716140989144</v>
      </c>
      <c r="G265" s="306">
        <f t="shared" ca="1" si="127"/>
        <v>38.437716552944849</v>
      </c>
      <c r="H265" s="307">
        <f t="shared" ca="1" si="128"/>
        <v>167.67491802233508</v>
      </c>
      <c r="I265" s="304">
        <f t="shared" ca="1" si="129"/>
        <v>172.02423139663006</v>
      </c>
      <c r="J265" s="306">
        <f t="shared" ca="1" si="130"/>
        <v>52.64699639962565</v>
      </c>
      <c r="K265" s="307">
        <f t="shared" ca="1" si="131"/>
        <v>246.01105729396971</v>
      </c>
      <c r="L265" s="304">
        <f t="shared" ca="1" si="116"/>
        <v>251.58129211211045</v>
      </c>
      <c r="M265" s="306">
        <f t="shared" ca="1" si="132"/>
        <v>1.3454503371340247</v>
      </c>
      <c r="N265" s="304">
        <f t="shared" ca="1" si="133"/>
        <v>77.088625862233357</v>
      </c>
      <c r="P265" s="310">
        <f t="shared" ca="1" si="134"/>
        <v>7</v>
      </c>
      <c r="Q265" s="304">
        <f t="shared" ca="1" si="135"/>
        <v>491.55319148936405</v>
      </c>
      <c r="R265" s="306">
        <f t="shared" ca="1" si="136"/>
        <v>0.24668764449953751</v>
      </c>
      <c r="S265" s="307">
        <f t="shared" ca="1" si="137"/>
        <v>7.9488329864190206</v>
      </c>
      <c r="T265" s="304">
        <f t="shared" ca="1" si="117"/>
        <v>77.978051596770598</v>
      </c>
      <c r="U265" s="311">
        <f t="shared" ca="1" si="118"/>
        <v>0</v>
      </c>
      <c r="V265" s="306">
        <f t="shared" ca="1" si="119"/>
        <v>1.1952298349702282</v>
      </c>
      <c r="W265" s="304">
        <f t="shared" ca="1" si="120"/>
        <v>115.23706339262952</v>
      </c>
      <c r="Y265" s="314" t="str">
        <f t="shared" ca="1" si="138"/>
        <v/>
      </c>
      <c r="Z265" s="315" t="str">
        <f t="shared" ca="1" si="139"/>
        <v/>
      </c>
      <c r="AA265" s="316" t="str">
        <f t="shared" ca="1" si="140"/>
        <v/>
      </c>
      <c r="AC265" s="310" t="e">
        <f t="shared" ca="1" si="141"/>
        <v>#N/A</v>
      </c>
      <c r="AD265" s="323" t="e">
        <f t="shared" ca="1" si="142"/>
        <v>#N/A</v>
      </c>
      <c r="AE265" s="324">
        <f t="shared" ca="1" si="121"/>
        <v>246.01105729396971</v>
      </c>
      <c r="AG265" s="306">
        <f t="shared" ca="1" si="143"/>
        <v>37.841353810939239</v>
      </c>
      <c r="AH265" s="304">
        <f t="shared" ca="1" si="144"/>
        <v>47.403605246439248</v>
      </c>
    </row>
    <row r="266" spans="1:34" x14ac:dyDescent="0.2">
      <c r="A266" s="347">
        <f t="shared" ca="1" si="122"/>
        <v>0.01</v>
      </c>
      <c r="B266" s="304">
        <f t="shared" ca="1" si="123"/>
        <v>2.6199999999999881</v>
      </c>
      <c r="D266" s="306">
        <f t="shared" ca="1" si="124"/>
        <v>10.524173245659393</v>
      </c>
      <c r="E266" s="307">
        <f t="shared" ca="1" si="125"/>
        <v>36.099071726155799</v>
      </c>
      <c r="F266" s="304">
        <f t="shared" ca="1" si="126"/>
        <v>37.601877639218948</v>
      </c>
      <c r="G266" s="306">
        <f t="shared" ca="1" si="127"/>
        <v>38.54295828540144</v>
      </c>
      <c r="H266" s="307">
        <f t="shared" ca="1" si="128"/>
        <v>168.03590873959664</v>
      </c>
      <c r="I266" s="304">
        <f t="shared" ca="1" si="129"/>
        <v>172.39961212059686</v>
      </c>
      <c r="J266" s="306">
        <f t="shared" ca="1" si="130"/>
        <v>53.031899773817379</v>
      </c>
      <c r="K266" s="307">
        <f t="shared" ca="1" si="131"/>
        <v>247.68961142777937</v>
      </c>
      <c r="L266" s="304">
        <f t="shared" ca="1" si="116"/>
        <v>253.3032293573545</v>
      </c>
      <c r="M266" s="306">
        <f t="shared" ca="1" si="132"/>
        <v>1.3453231917265518</v>
      </c>
      <c r="N266" s="304">
        <f t="shared" ca="1" si="133"/>
        <v>77.081340967000685</v>
      </c>
      <c r="P266" s="310">
        <f t="shared" ca="1" si="134"/>
        <v>7</v>
      </c>
      <c r="Q266" s="304">
        <f t="shared" ca="1" si="135"/>
        <v>489.51063829787478</v>
      </c>
      <c r="R266" s="306">
        <f t="shared" ca="1" si="136"/>
        <v>0.24566258221879672</v>
      </c>
      <c r="S266" s="307">
        <f t="shared" ca="1" si="137"/>
        <v>7.9463763605968323</v>
      </c>
      <c r="T266" s="304">
        <f t="shared" ca="1" si="117"/>
        <v>77.95395209745493</v>
      </c>
      <c r="U266" s="311">
        <f t="shared" ca="1" si="118"/>
        <v>0</v>
      </c>
      <c r="V266" s="306">
        <f t="shared" ca="1" si="119"/>
        <v>1.1950291954467951</v>
      </c>
      <c r="W266" s="304">
        <f t="shared" ca="1" si="120"/>
        <v>115.72110961499543</v>
      </c>
      <c r="Y266" s="314" t="str">
        <f t="shared" ca="1" si="138"/>
        <v/>
      </c>
      <c r="Z266" s="315" t="str">
        <f t="shared" ca="1" si="139"/>
        <v/>
      </c>
      <c r="AA266" s="316" t="str">
        <f t="shared" ca="1" si="140"/>
        <v/>
      </c>
      <c r="AC266" s="310" t="e">
        <f t="shared" ca="1" si="141"/>
        <v>#N/A</v>
      </c>
      <c r="AD266" s="323" t="e">
        <f t="shared" ca="1" si="142"/>
        <v>#N/A</v>
      </c>
      <c r="AE266" s="324">
        <f t="shared" ca="1" si="121"/>
        <v>247.68961142777937</v>
      </c>
      <c r="AG266" s="306">
        <f t="shared" ca="1" si="143"/>
        <v>37.537933046465049</v>
      </c>
      <c r="AH266" s="304">
        <f t="shared" ca="1" si="144"/>
        <v>47.099905406083046</v>
      </c>
    </row>
    <row r="267" spans="1:34" x14ac:dyDescent="0.2">
      <c r="A267" s="347">
        <f t="shared" ca="1" si="122"/>
        <v>0.01</v>
      </c>
      <c r="B267" s="304">
        <f t="shared" ca="1" si="123"/>
        <v>2.6299999999999879</v>
      </c>
      <c r="D267" s="306">
        <f t="shared" ca="1" si="124"/>
        <v>10.462146488211086</v>
      </c>
      <c r="E267" s="307">
        <f t="shared" ca="1" si="125"/>
        <v>35.801867140442042</v>
      </c>
      <c r="F267" s="304">
        <f t="shared" ca="1" si="126"/>
        <v>37.299198381234028</v>
      </c>
      <c r="G267" s="306">
        <f t="shared" ca="1" si="127"/>
        <v>38.647579750283548</v>
      </c>
      <c r="H267" s="307">
        <f t="shared" ca="1" si="128"/>
        <v>168.39392741100104</v>
      </c>
      <c r="I267" s="304">
        <f t="shared" ca="1" si="129"/>
        <v>172.77196013663797</v>
      </c>
      <c r="J267" s="306">
        <f t="shared" ca="1" si="130"/>
        <v>53.417852463995807</v>
      </c>
      <c r="K267" s="307">
        <f t="shared" ca="1" si="131"/>
        <v>249.37176060853236</v>
      </c>
      <c r="L267" s="304">
        <f t="shared" ca="1" si="116"/>
        <v>255.02890414787183</v>
      </c>
      <c r="M267" s="306">
        <f t="shared" ca="1" si="132"/>
        <v>1.3451962499684951</v>
      </c>
      <c r="N267" s="304">
        <f t="shared" ca="1" si="133"/>
        <v>77.07406774002007</v>
      </c>
      <c r="P267" s="310">
        <f t="shared" ca="1" si="134"/>
        <v>7</v>
      </c>
      <c r="Q267" s="304">
        <f t="shared" ca="1" si="135"/>
        <v>487.46808510638544</v>
      </c>
      <c r="R267" s="306">
        <f t="shared" ca="1" si="136"/>
        <v>0.24463751993805591</v>
      </c>
      <c r="S267" s="307">
        <f t="shared" ca="1" si="137"/>
        <v>7.9439299853974514</v>
      </c>
      <c r="T267" s="304">
        <f t="shared" ca="1" si="117"/>
        <v>77.929953156749008</v>
      </c>
      <c r="U267" s="311">
        <f t="shared" ca="1" si="118"/>
        <v>0</v>
      </c>
      <c r="V267" s="306">
        <f t="shared" ca="1" si="119"/>
        <v>1.1948281595738481</v>
      </c>
      <c r="W267" s="304">
        <f t="shared" ca="1" si="120"/>
        <v>116.20196586451256</v>
      </c>
      <c r="Y267" s="314" t="str">
        <f t="shared" ca="1" si="138"/>
        <v/>
      </c>
      <c r="Z267" s="315" t="str">
        <f t="shared" ca="1" si="139"/>
        <v/>
      </c>
      <c r="AA267" s="316" t="str">
        <f t="shared" ca="1" si="140"/>
        <v/>
      </c>
      <c r="AC267" s="310" t="e">
        <f t="shared" ca="1" si="141"/>
        <v>#N/A</v>
      </c>
      <c r="AD267" s="323" t="e">
        <f t="shared" ca="1" si="142"/>
        <v>#N/A</v>
      </c>
      <c r="AE267" s="324">
        <f t="shared" ca="1" si="121"/>
        <v>249.37176060853236</v>
      </c>
      <c r="AG267" s="306">
        <f t="shared" ca="1" si="143"/>
        <v>37.234662399930336</v>
      </c>
      <c r="AH267" s="304">
        <f t="shared" ca="1" si="144"/>
        <v>46.796355981829656</v>
      </c>
    </row>
    <row r="268" spans="1:34" x14ac:dyDescent="0.2">
      <c r="A268" s="347">
        <f t="shared" ca="1" si="122"/>
        <v>0.01</v>
      </c>
      <c r="B268" s="304">
        <f t="shared" ca="1" si="123"/>
        <v>2.6399999999999877</v>
      </c>
      <c r="D268" s="306">
        <f t="shared" ca="1" si="124"/>
        <v>10.400069692525468</v>
      </c>
      <c r="E268" s="307">
        <f t="shared" ca="1" si="125"/>
        <v>35.504831929666587</v>
      </c>
      <c r="F268" s="304">
        <f t="shared" ca="1" si="126"/>
        <v>36.996682823778386</v>
      </c>
      <c r="G268" s="306">
        <f t="shared" ca="1" si="127"/>
        <v>38.751580447208802</v>
      </c>
      <c r="H268" s="307">
        <f t="shared" ca="1" si="128"/>
        <v>168.7489757302977</v>
      </c>
      <c r="I268" s="304">
        <f t="shared" ca="1" si="129"/>
        <v>173.14127698842091</v>
      </c>
      <c r="J268" s="306">
        <f t="shared" ca="1" si="130"/>
        <v>53.804848264983271</v>
      </c>
      <c r="K268" s="307">
        <f t="shared" ca="1" si="131"/>
        <v>251.05747512423886</v>
      </c>
      <c r="L268" s="304">
        <f t="shared" ca="1" si="116"/>
        <v>256.75828616147072</v>
      </c>
      <c r="M268" s="306">
        <f t="shared" ca="1" si="132"/>
        <v>1.3450695088796609</v>
      </c>
      <c r="N268" s="304">
        <f t="shared" ca="1" si="133"/>
        <v>77.066806010538983</v>
      </c>
      <c r="P268" s="310">
        <f t="shared" ca="1" si="134"/>
        <v>7</v>
      </c>
      <c r="Q268" s="304">
        <f t="shared" ca="1" si="135"/>
        <v>485.42553191489611</v>
      </c>
      <c r="R268" s="306">
        <f t="shared" ca="1" si="136"/>
        <v>0.24361245765731507</v>
      </c>
      <c r="S268" s="307">
        <f t="shared" ca="1" si="137"/>
        <v>7.941493860820878</v>
      </c>
      <c r="T268" s="304">
        <f t="shared" ca="1" si="117"/>
        <v>77.906054774652816</v>
      </c>
      <c r="U268" s="311">
        <f t="shared" ca="1" si="118"/>
        <v>0</v>
      </c>
      <c r="V268" s="306">
        <f t="shared" ca="1" si="119"/>
        <v>1.1946267311072549</v>
      </c>
      <c r="W268" s="304">
        <f t="shared" ca="1" si="120"/>
        <v>116.67960922519205</v>
      </c>
      <c r="Y268" s="314" t="str">
        <f t="shared" ca="1" si="138"/>
        <v/>
      </c>
      <c r="Z268" s="315" t="str">
        <f t="shared" ca="1" si="139"/>
        <v/>
      </c>
      <c r="AA268" s="316" t="str">
        <f t="shared" ca="1" si="140"/>
        <v/>
      </c>
      <c r="AC268" s="310" t="e">
        <f t="shared" ca="1" si="141"/>
        <v>#N/A</v>
      </c>
      <c r="AD268" s="323" t="e">
        <f t="shared" ca="1" si="142"/>
        <v>#N/A</v>
      </c>
      <c r="AE268" s="324">
        <f t="shared" ca="1" si="121"/>
        <v>251.05747512423886</v>
      </c>
      <c r="AG268" s="306">
        <f t="shared" ca="1" si="143"/>
        <v>36.931546117253063</v>
      </c>
      <c r="AH268" s="304">
        <f t="shared" ca="1" si="144"/>
        <v>46.492961213750597</v>
      </c>
    </row>
    <row r="269" spans="1:34" x14ac:dyDescent="0.2">
      <c r="A269" s="347">
        <f t="shared" ca="1" si="122"/>
        <v>0.01</v>
      </c>
      <c r="B269" s="304">
        <f t="shared" ca="1" si="123"/>
        <v>2.6499999999999875</v>
      </c>
      <c r="D269" s="306">
        <f t="shared" ca="1" si="124"/>
        <v>10.337944175758626</v>
      </c>
      <c r="E269" s="307">
        <f t="shared" ca="1" si="125"/>
        <v>35.207970123639647</v>
      </c>
      <c r="F269" s="304">
        <f t="shared" ca="1" si="126"/>
        <v>36.694335394011482</v>
      </c>
      <c r="G269" s="306">
        <f t="shared" ca="1" si="127"/>
        <v>38.854959888966391</v>
      </c>
      <c r="H269" s="307">
        <f t="shared" ca="1" si="128"/>
        <v>169.10105543153409</v>
      </c>
      <c r="I269" s="304">
        <f t="shared" ca="1" si="129"/>
        <v>173.50756426171154</v>
      </c>
      <c r="J269" s="306">
        <f t="shared" ca="1" si="130"/>
        <v>54.192880966664148</v>
      </c>
      <c r="K269" s="307">
        <f t="shared" ca="1" si="131"/>
        <v>252.74672528004803</v>
      </c>
      <c r="L269" s="304">
        <f t="shared" ca="1" si="116"/>
        <v>258.49134509158154</v>
      </c>
      <c r="M269" s="306">
        <f t="shared" ca="1" si="132"/>
        <v>1.344942965508908</v>
      </c>
      <c r="N269" s="304">
        <f t="shared" ca="1" si="133"/>
        <v>77.059555609469484</v>
      </c>
      <c r="P269" s="310">
        <f t="shared" ca="1" si="134"/>
        <v>7</v>
      </c>
      <c r="Q269" s="304">
        <f t="shared" ca="1" si="135"/>
        <v>483.38297872340678</v>
      </c>
      <c r="R269" s="306">
        <f t="shared" ca="1" si="136"/>
        <v>0.24258739537657426</v>
      </c>
      <c r="S269" s="307">
        <f t="shared" ca="1" si="137"/>
        <v>7.9390679868671121</v>
      </c>
      <c r="T269" s="304">
        <f t="shared" ca="1" si="117"/>
        <v>77.882256951166369</v>
      </c>
      <c r="U269" s="311">
        <f t="shared" ca="1" si="118"/>
        <v>0</v>
      </c>
      <c r="V269" s="306">
        <f t="shared" ca="1" si="119"/>
        <v>1.1944249137988192</v>
      </c>
      <c r="W269" s="304">
        <f t="shared" ca="1" si="120"/>
        <v>117.15401709841559</v>
      </c>
      <c r="Y269" s="314" t="str">
        <f t="shared" ca="1" si="138"/>
        <v/>
      </c>
      <c r="Z269" s="315" t="str">
        <f t="shared" ca="1" si="139"/>
        <v/>
      </c>
      <c r="AA269" s="316" t="str">
        <f t="shared" ca="1" si="140"/>
        <v/>
      </c>
      <c r="AC269" s="310" t="e">
        <f t="shared" ca="1" si="141"/>
        <v>#N/A</v>
      </c>
      <c r="AD269" s="323" t="e">
        <f t="shared" ca="1" si="142"/>
        <v>#N/A</v>
      </c>
      <c r="AE269" s="324">
        <f t="shared" ca="1" si="121"/>
        <v>252.74672528004803</v>
      </c>
      <c r="AG269" s="306">
        <f t="shared" ca="1" si="143"/>
        <v>36.628588408279455</v>
      </c>
      <c r="AH269" s="304">
        <f t="shared" ca="1" si="144"/>
        <v>46.189725305894747</v>
      </c>
    </row>
    <row r="270" spans="1:34" x14ac:dyDescent="0.2">
      <c r="A270" s="347">
        <f t="shared" ca="1" si="122"/>
        <v>0.01</v>
      </c>
      <c r="B270" s="304">
        <f t="shared" ca="1" si="123"/>
        <v>2.6599999999999873</v>
      </c>
      <c r="D270" s="306">
        <f t="shared" ca="1" si="124"/>
        <v>10.275771244020913</v>
      </c>
      <c r="E270" s="307">
        <f t="shared" ca="1" si="125"/>
        <v>34.911285717512271</v>
      </c>
      <c r="F270" s="304">
        <f t="shared" ca="1" si="126"/>
        <v>36.392160489715685</v>
      </c>
      <c r="G270" s="306">
        <f t="shared" ca="1" si="127"/>
        <v>38.9577176014066</v>
      </c>
      <c r="H270" s="307">
        <f t="shared" ca="1" si="128"/>
        <v>169.45016828870922</v>
      </c>
      <c r="I270" s="304">
        <f t="shared" ca="1" si="129"/>
        <v>173.87082358401256</v>
      </c>
      <c r="J270" s="306">
        <f t="shared" ca="1" si="130"/>
        <v>54.581944354116011</v>
      </c>
      <c r="K270" s="307">
        <f t="shared" ca="1" si="131"/>
        <v>254.43948139864924</v>
      </c>
      <c r="L270" s="304">
        <f t="shared" ca="1" si="116"/>
        <v>260.2280506476759</v>
      </c>
      <c r="M270" s="306">
        <f t="shared" ca="1" si="132"/>
        <v>1.3448166169336329</v>
      </c>
      <c r="N270" s="304">
        <f t="shared" ca="1" si="133"/>
        <v>77.052316369358721</v>
      </c>
      <c r="P270" s="310">
        <f t="shared" ca="1" si="134"/>
        <v>7</v>
      </c>
      <c r="Q270" s="304">
        <f t="shared" ca="1" si="135"/>
        <v>481.3404255319175</v>
      </c>
      <c r="R270" s="306">
        <f t="shared" ca="1" si="136"/>
        <v>0.24156233309583347</v>
      </c>
      <c r="S270" s="307">
        <f t="shared" ca="1" si="137"/>
        <v>7.9366523635361537</v>
      </c>
      <c r="T270" s="304">
        <f t="shared" ca="1" si="117"/>
        <v>77.858559686289667</v>
      </c>
      <c r="U270" s="311">
        <f t="shared" ca="1" si="118"/>
        <v>0</v>
      </c>
      <c r="V270" s="306">
        <f t="shared" ca="1" si="119"/>
        <v>1.1942227113962254</v>
      </c>
      <c r="W270" s="304">
        <f t="shared" ca="1" si="120"/>
        <v>117.62516720240325</v>
      </c>
      <c r="Y270" s="314" t="str">
        <f t="shared" ca="1" si="138"/>
        <v/>
      </c>
      <c r="Z270" s="315" t="str">
        <f t="shared" ca="1" si="139"/>
        <v/>
      </c>
      <c r="AA270" s="316" t="str">
        <f t="shared" ca="1" si="140"/>
        <v/>
      </c>
      <c r="AC270" s="310" t="e">
        <f t="shared" ca="1" si="141"/>
        <v>#N/A</v>
      </c>
      <c r="AD270" s="323" t="e">
        <f t="shared" ca="1" si="142"/>
        <v>#N/A</v>
      </c>
      <c r="AE270" s="324">
        <f t="shared" ca="1" si="121"/>
        <v>254.43948139864924</v>
      </c>
      <c r="AG270" s="306">
        <f t="shared" ca="1" si="143"/>
        <v>36.325793446739397</v>
      </c>
      <c r="AH270" s="304">
        <f t="shared" ca="1" si="144"/>
        <v>45.886652426242804</v>
      </c>
    </row>
    <row r="271" spans="1:34" x14ac:dyDescent="0.2">
      <c r="A271" s="347">
        <f t="shared" ca="1" si="122"/>
        <v>0.01</v>
      </c>
      <c r="B271" s="304">
        <f t="shared" ca="1" si="123"/>
        <v>2.6699999999999871</v>
      </c>
      <c r="D271" s="306">
        <f t="shared" ca="1" si="124"/>
        <v>10.213552192408217</v>
      </c>
      <c r="E271" s="307">
        <f t="shared" ca="1" si="125"/>
        <v>34.614782671729202</v>
      </c>
      <c r="F271" s="304">
        <f t="shared" ca="1" si="126"/>
        <v>36.090162479519137</v>
      </c>
      <c r="G271" s="306">
        <f t="shared" ca="1" si="127"/>
        <v>39.059853123330683</v>
      </c>
      <c r="H271" s="307">
        <f t="shared" ca="1" si="128"/>
        <v>169.79631611542652</v>
      </c>
      <c r="I271" s="304">
        <f t="shared" ca="1" si="129"/>
        <v>174.23105662420238</v>
      </c>
      <c r="J271" s="306">
        <f t="shared" ca="1" si="130"/>
        <v>54.972032207739694</v>
      </c>
      <c r="K271" s="307">
        <f t="shared" ca="1" si="131"/>
        <v>256.13571382066993</v>
      </c>
      <c r="L271" s="304">
        <f t="shared" ca="1" si="116"/>
        <v>261.96837255568255</v>
      </c>
      <c r="M271" s="306">
        <f t="shared" ca="1" si="132"/>
        <v>1.3446904602592649</v>
      </c>
      <c r="N271" s="304">
        <f t="shared" ca="1" si="133"/>
        <v>77.045088124360021</v>
      </c>
      <c r="P271" s="310">
        <f t="shared" ca="1" si="134"/>
        <v>7</v>
      </c>
      <c r="Q271" s="304">
        <f t="shared" ca="1" si="135"/>
        <v>479.29787234042817</v>
      </c>
      <c r="R271" s="306">
        <f t="shared" ca="1" si="136"/>
        <v>0.24053727081509266</v>
      </c>
      <c r="S271" s="307">
        <f t="shared" ca="1" si="137"/>
        <v>7.9342469908280027</v>
      </c>
      <c r="T271" s="304">
        <f t="shared" ca="1" si="117"/>
        <v>77.834962980022709</v>
      </c>
      <c r="U271" s="311">
        <f t="shared" ca="1" si="118"/>
        <v>0</v>
      </c>
      <c r="V271" s="306">
        <f t="shared" ca="1" si="119"/>
        <v>1.19402012764298</v>
      </c>
      <c r="W271" s="304">
        <f t="shared" ca="1" si="120"/>
        <v>118.0930375716581</v>
      </c>
      <c r="Y271" s="314" t="str">
        <f t="shared" ca="1" si="138"/>
        <v/>
      </c>
      <c r="Z271" s="315" t="str">
        <f t="shared" ca="1" si="139"/>
        <v/>
      </c>
      <c r="AA271" s="316" t="str">
        <f t="shared" ca="1" si="140"/>
        <v/>
      </c>
      <c r="AC271" s="310" t="e">
        <f t="shared" ca="1" si="141"/>
        <v>#N/A</v>
      </c>
      <c r="AD271" s="323" t="e">
        <f t="shared" ca="1" si="142"/>
        <v>#N/A</v>
      </c>
      <c r="AE271" s="324">
        <f t="shared" ca="1" si="121"/>
        <v>256.13571382066993</v>
      </c>
      <c r="AG271" s="306">
        <f t="shared" ca="1" si="143"/>
        <v>36.023165370205298</v>
      </c>
      <c r="AH271" s="304">
        <f t="shared" ca="1" si="144"/>
        <v>45.583746706665288</v>
      </c>
    </row>
    <row r="272" spans="1:34" x14ac:dyDescent="0.2">
      <c r="A272" s="347">
        <f t="shared" ca="1" si="122"/>
        <v>0.01</v>
      </c>
      <c r="B272" s="304">
        <f t="shared" ca="1" si="123"/>
        <v>2.6799999999999868</v>
      </c>
      <c r="D272" s="306">
        <f t="shared" ca="1" si="124"/>
        <v>10.151288305032937</v>
      </c>
      <c r="E272" s="307">
        <f t="shared" ca="1" si="125"/>
        <v>34.318464911985501</v>
      </c>
      <c r="F272" s="304">
        <f t="shared" ca="1" si="126"/>
        <v>35.788345703134681</v>
      </c>
      <c r="G272" s="306">
        <f t="shared" ca="1" si="127"/>
        <v>39.161366006381016</v>
      </c>
      <c r="H272" s="307">
        <f t="shared" ca="1" si="128"/>
        <v>170.13950076454637</v>
      </c>
      <c r="I272" s="304">
        <f t="shared" ca="1" si="129"/>
        <v>174.5882650921728</v>
      </c>
      <c r="J272" s="306">
        <f t="shared" ca="1" si="130"/>
        <v>55.363138303388254</v>
      </c>
      <c r="K272" s="307">
        <f t="shared" ca="1" si="131"/>
        <v>257.8353929050698</v>
      </c>
      <c r="L272" s="304">
        <f t="shared" ca="1" si="116"/>
        <v>263.71228055839913</v>
      </c>
      <c r="M272" s="306">
        <f t="shared" ca="1" si="132"/>
        <v>1.3445644926187701</v>
      </c>
      <c r="N272" s="304">
        <f t="shared" ca="1" si="133"/>
        <v>77.037870710204459</v>
      </c>
      <c r="P272" s="310">
        <f t="shared" ca="1" si="134"/>
        <v>7</v>
      </c>
      <c r="Q272" s="304">
        <f t="shared" ca="1" si="135"/>
        <v>477.25531914893884</v>
      </c>
      <c r="R272" s="306">
        <f t="shared" ca="1" si="136"/>
        <v>0.23951220853435182</v>
      </c>
      <c r="S272" s="307">
        <f t="shared" ca="1" si="137"/>
        <v>7.9318518687426591</v>
      </c>
      <c r="T272" s="304">
        <f t="shared" ca="1" si="117"/>
        <v>77.811466832365497</v>
      </c>
      <c r="U272" s="311">
        <f t="shared" ca="1" si="118"/>
        <v>0</v>
      </c>
      <c r="V272" s="306">
        <f t="shared" ca="1" si="119"/>
        <v>1.193817166278355</v>
      </c>
      <c r="W272" s="304">
        <f t="shared" ca="1" si="120"/>
        <v>118.5576065563862</v>
      </c>
      <c r="Y272" s="314" t="str">
        <f t="shared" ca="1" si="138"/>
        <v/>
      </c>
      <c r="Z272" s="315" t="str">
        <f t="shared" ca="1" si="139"/>
        <v/>
      </c>
      <c r="AA272" s="316" t="str">
        <f t="shared" ca="1" si="140"/>
        <v/>
      </c>
      <c r="AC272" s="310" t="e">
        <f t="shared" ca="1" si="141"/>
        <v>#N/A</v>
      </c>
      <c r="AD272" s="323" t="e">
        <f t="shared" ca="1" si="142"/>
        <v>#N/A</v>
      </c>
      <c r="AE272" s="324">
        <f t="shared" ca="1" si="121"/>
        <v>257.8353929050698</v>
      </c>
      <c r="AG272" s="306">
        <f t="shared" ca="1" si="143"/>
        <v>35.720708280054751</v>
      </c>
      <c r="AH272" s="304">
        <f t="shared" ca="1" si="144"/>
        <v>45.281012242884259</v>
      </c>
    </row>
    <row r="273" spans="1:34" x14ac:dyDescent="0.2">
      <c r="A273" s="347">
        <f t="shared" ca="1" si="122"/>
        <v>0.01</v>
      </c>
      <c r="B273" s="304">
        <f t="shared" ca="1" si="123"/>
        <v>2.6899999999999866</v>
      </c>
      <c r="D273" s="306">
        <f t="shared" ca="1" si="124"/>
        <v>10.088980855054738</v>
      </c>
      <c r="E273" s="307">
        <f t="shared" ca="1" si="125"/>
        <v>34.022336329186885</v>
      </c>
      <c r="F273" s="304">
        <f t="shared" ca="1" si="126"/>
        <v>35.486714471615585</v>
      </c>
      <c r="G273" s="306">
        <f t="shared" ca="1" si="127"/>
        <v>39.262255814931564</v>
      </c>
      <c r="H273" s="307">
        <f t="shared" ca="1" si="128"/>
        <v>170.47972412783824</v>
      </c>
      <c r="I273" s="304">
        <f t="shared" ca="1" si="129"/>
        <v>174.94245073846702</v>
      </c>
      <c r="J273" s="306">
        <f t="shared" ca="1" si="130"/>
        <v>55.755256412494816</v>
      </c>
      <c r="K273" s="307">
        <f t="shared" ca="1" si="131"/>
        <v>259.53848902953172</v>
      </c>
      <c r="L273" s="304">
        <f t="shared" ca="1" si="116"/>
        <v>265.45974441590084</v>
      </c>
      <c r="M273" s="306">
        <f t="shared" ca="1" si="132"/>
        <v>1.3444387111721658</v>
      </c>
      <c r="N273" s="304">
        <f t="shared" ca="1" si="133"/>
        <v>77.030663964172987</v>
      </c>
      <c r="P273" s="310">
        <f t="shared" ca="1" si="134"/>
        <v>7</v>
      </c>
      <c r="Q273" s="304">
        <f t="shared" ca="1" si="135"/>
        <v>475.21276595744951</v>
      </c>
      <c r="R273" s="306">
        <f t="shared" ca="1" si="136"/>
        <v>0.238487146253611</v>
      </c>
      <c r="S273" s="307">
        <f t="shared" ca="1" si="137"/>
        <v>7.9294669972801231</v>
      </c>
      <c r="T273" s="304">
        <f t="shared" ca="1" si="117"/>
        <v>77.788071243318015</v>
      </c>
      <c r="U273" s="311">
        <f t="shared" ca="1" si="118"/>
        <v>0</v>
      </c>
      <c r="V273" s="306">
        <f t="shared" ca="1" si="119"/>
        <v>1.1936138310373323</v>
      </c>
      <c r="W273" s="304">
        <f t="shared" ca="1" si="120"/>
        <v>119.01885282189448</v>
      </c>
      <c r="Y273" s="314" t="str">
        <f t="shared" ca="1" si="138"/>
        <v/>
      </c>
      <c r="Z273" s="315" t="str">
        <f t="shared" ca="1" si="139"/>
        <v/>
      </c>
      <c r="AA273" s="316" t="str">
        <f t="shared" ca="1" si="140"/>
        <v/>
      </c>
      <c r="AC273" s="310" t="e">
        <f t="shared" ca="1" si="141"/>
        <v>#N/A</v>
      </c>
      <c r="AD273" s="323" t="e">
        <f t="shared" ca="1" si="142"/>
        <v>#N/A</v>
      </c>
      <c r="AE273" s="324">
        <f t="shared" ca="1" si="121"/>
        <v>259.53848902953172</v>
      </c>
      <c r="AG273" s="306">
        <f t="shared" ca="1" si="143"/>
        <v>35.41842624143667</v>
      </c>
      <c r="AH273" s="304">
        <f t="shared" ca="1" si="144"/>
        <v>44.978453094438649</v>
      </c>
    </row>
    <row r="274" spans="1:34" x14ac:dyDescent="0.2">
      <c r="A274" s="347">
        <f t="shared" ca="1" si="122"/>
        <v>0.01</v>
      </c>
      <c r="B274" s="304">
        <f t="shared" ca="1" si="123"/>
        <v>2.6999999999999864</v>
      </c>
      <c r="D274" s="306">
        <f t="shared" ca="1" si="124"/>
        <v>10.026631104710964</v>
      </c>
      <c r="E274" s="307">
        <f t="shared" ca="1" si="125"/>
        <v>33.726400779413709</v>
      </c>
      <c r="F274" s="304">
        <f t="shared" ca="1" si="126"/>
        <v>35.185273067628664</v>
      </c>
      <c r="G274" s="306">
        <f t="shared" ca="1" si="127"/>
        <v>39.362522125978671</v>
      </c>
      <c r="H274" s="307">
        <f t="shared" ca="1" si="128"/>
        <v>170.81698813563239</v>
      </c>
      <c r="I274" s="304">
        <f t="shared" ca="1" si="129"/>
        <v>175.29361535391681</v>
      </c>
      <c r="J274" s="306">
        <f t="shared" ca="1" si="130"/>
        <v>56.148380302199371</v>
      </c>
      <c r="K274" s="307">
        <f t="shared" ca="1" si="131"/>
        <v>261.24497259084904</v>
      </c>
      <c r="L274" s="304">
        <f t="shared" ca="1" si="116"/>
        <v>267.21073390594523</v>
      </c>
      <c r="M274" s="306">
        <f t="shared" ca="1" si="132"/>
        <v>1.3443131131060426</v>
      </c>
      <c r="N274" s="304">
        <f t="shared" ca="1" si="133"/>
        <v>77.023467725069111</v>
      </c>
      <c r="P274" s="310">
        <f t="shared" ca="1" si="134"/>
        <v>7</v>
      </c>
      <c r="Q274" s="304">
        <f t="shared" ca="1" si="135"/>
        <v>473.17021276596023</v>
      </c>
      <c r="R274" s="306">
        <f t="shared" ca="1" si="136"/>
        <v>0.23746208397287022</v>
      </c>
      <c r="S274" s="307">
        <f t="shared" ca="1" si="137"/>
        <v>7.9270923764403944</v>
      </c>
      <c r="T274" s="304">
        <f t="shared" ca="1" si="117"/>
        <v>77.764776212880278</v>
      </c>
      <c r="U274" s="311">
        <f t="shared" ca="1" si="118"/>
        <v>0</v>
      </c>
      <c r="V274" s="306">
        <f t="shared" ca="1" si="119"/>
        <v>1.1934101256505496</v>
      </c>
      <c r="W274" s="304">
        <f t="shared" ca="1" si="120"/>
        <v>119.47675534796475</v>
      </c>
      <c r="Y274" s="314" t="str">
        <f t="shared" ca="1" si="138"/>
        <v/>
      </c>
      <c r="Z274" s="315" t="str">
        <f t="shared" ca="1" si="139"/>
        <v/>
      </c>
      <c r="AA274" s="316" t="str">
        <f t="shared" ca="1" si="140"/>
        <v/>
      </c>
      <c r="AC274" s="310" t="e">
        <f t="shared" ca="1" si="141"/>
        <v>#N/A</v>
      </c>
      <c r="AD274" s="323" t="e">
        <f t="shared" ca="1" si="142"/>
        <v>#N/A</v>
      </c>
      <c r="AE274" s="324">
        <f t="shared" ca="1" si="121"/>
        <v>261.24497259084904</v>
      </c>
      <c r="AG274" s="306">
        <f t="shared" ca="1" si="143"/>
        <v>35.116323283240988</v>
      </c>
      <c r="AH274" s="304">
        <f t="shared" ca="1" si="144"/>
        <v>44.676073284653071</v>
      </c>
    </row>
    <row r="275" spans="1:34" x14ac:dyDescent="0.2">
      <c r="A275" s="347">
        <f t="shared" ca="1" si="122"/>
        <v>0.01</v>
      </c>
      <c r="B275" s="304">
        <f t="shared" ca="1" si="123"/>
        <v>2.7099999999999862</v>
      </c>
      <c r="D275" s="306">
        <f t="shared" ca="1" si="124"/>
        <v>9.9642403053468929</v>
      </c>
      <c r="E275" s="307">
        <f t="shared" ca="1" si="125"/>
        <v>33.430662083888556</v>
      </c>
      <c r="F275" s="304">
        <f t="shared" ca="1" si="126"/>
        <v>34.884025745745625</v>
      </c>
      <c r="G275" s="306">
        <f t="shared" ca="1" si="127"/>
        <v>39.462164529032137</v>
      </c>
      <c r="H275" s="307">
        <f t="shared" ca="1" si="128"/>
        <v>171.15129475647126</v>
      </c>
      <c r="I275" s="304">
        <f t="shared" ca="1" si="129"/>
        <v>175.64176076927978</v>
      </c>
      <c r="J275" s="306">
        <f t="shared" ca="1" si="130"/>
        <v>56.542503735474426</v>
      </c>
      <c r="K275" s="307">
        <f t="shared" ca="1" si="131"/>
        <v>262.95481400530957</v>
      </c>
      <c r="L275" s="304">
        <f t="shared" ca="1" si="116"/>
        <v>268.96521882437344</v>
      </c>
      <c r="M275" s="306">
        <f t="shared" ca="1" si="132"/>
        <v>1.3441876956330963</v>
      </c>
      <c r="N275" s="304">
        <f t="shared" ca="1" si="133"/>
        <v>77.016281833192096</v>
      </c>
      <c r="P275" s="310">
        <f t="shared" ca="1" si="134"/>
        <v>7</v>
      </c>
      <c r="Q275" s="304">
        <f t="shared" ca="1" si="135"/>
        <v>471.1276595744709</v>
      </c>
      <c r="R275" s="306">
        <f t="shared" ca="1" si="136"/>
        <v>0.23643702169212941</v>
      </c>
      <c r="S275" s="307">
        <f t="shared" ca="1" si="137"/>
        <v>7.9247280062234733</v>
      </c>
      <c r="T275" s="304">
        <f t="shared" ca="1" si="117"/>
        <v>77.741581741052272</v>
      </c>
      <c r="U275" s="311">
        <f t="shared" ca="1" si="118"/>
        <v>0</v>
      </c>
      <c r="V275" s="306">
        <f t="shared" ca="1" si="119"/>
        <v>1.1932060538442439</v>
      </c>
      <c r="W275" s="304">
        <f t="shared" ca="1" si="120"/>
        <v>119.93129342820538</v>
      </c>
      <c r="Y275" s="314" t="str">
        <f t="shared" ca="1" si="138"/>
        <v/>
      </c>
      <c r="Z275" s="315" t="str">
        <f t="shared" ca="1" si="139"/>
        <v/>
      </c>
      <c r="AA275" s="316" t="str">
        <f t="shared" ca="1" si="140"/>
        <v/>
      </c>
      <c r="AC275" s="310" t="e">
        <f t="shared" ca="1" si="141"/>
        <v>#N/A</v>
      </c>
      <c r="AD275" s="323" t="e">
        <f t="shared" ca="1" si="142"/>
        <v>#N/A</v>
      </c>
      <c r="AE275" s="324">
        <f t="shared" ca="1" si="121"/>
        <v>262.95481400530957</v>
      </c>
      <c r="AG275" s="306">
        <f t="shared" ca="1" si="143"/>
        <v>34.814403398071917</v>
      </c>
      <c r="AH275" s="304">
        <f t="shared" ca="1" si="144"/>
        <v>44.373876800610255</v>
      </c>
    </row>
    <row r="276" spans="1:34" x14ac:dyDescent="0.2">
      <c r="A276" s="347">
        <f t="shared" ca="1" si="122"/>
        <v>0.01</v>
      </c>
      <c r="B276" s="304">
        <f t="shared" ca="1" si="123"/>
        <v>2.719999999999986</v>
      </c>
      <c r="D276" s="306">
        <f t="shared" ca="1" si="124"/>
        <v>9.9018096974457332</v>
      </c>
      <c r="E276" s="307">
        <f t="shared" ca="1" si="125"/>
        <v>33.135124028947558</v>
      </c>
      <c r="F276" s="304">
        <f t="shared" ca="1" si="126"/>
        <v>34.582976732753473</v>
      </c>
      <c r="G276" s="306">
        <f t="shared" ca="1" si="127"/>
        <v>39.561182626006591</v>
      </c>
      <c r="H276" s="307">
        <f t="shared" ca="1" si="128"/>
        <v>171.48264599676074</v>
      </c>
      <c r="I276" s="304">
        <f t="shared" ca="1" si="129"/>
        <v>175.98688885487636</v>
      </c>
      <c r="J276" s="306">
        <f t="shared" ca="1" si="130"/>
        <v>56.937620471249623</v>
      </c>
      <c r="K276" s="307">
        <f t="shared" ca="1" si="131"/>
        <v>264.66798370907571</v>
      </c>
      <c r="L276" s="304">
        <f t="shared" ca="1" si="116"/>
        <v>270.72316898550747</v>
      </c>
      <c r="M276" s="306">
        <f t="shared" ca="1" si="132"/>
        <v>1.3440624559916692</v>
      </c>
      <c r="N276" s="304">
        <f t="shared" ca="1" si="133"/>
        <v>77.009106130310585</v>
      </c>
      <c r="P276" s="310">
        <f t="shared" ca="1" si="134"/>
        <v>7</v>
      </c>
      <c r="Q276" s="304">
        <f t="shared" ca="1" si="135"/>
        <v>469.08510638298156</v>
      </c>
      <c r="R276" s="306">
        <f t="shared" ca="1" si="136"/>
        <v>0.23541195941138857</v>
      </c>
      <c r="S276" s="307">
        <f t="shared" ca="1" si="137"/>
        <v>7.9223738866293596</v>
      </c>
      <c r="T276" s="304">
        <f t="shared" ca="1" si="117"/>
        <v>77.718487827834025</v>
      </c>
      <c r="U276" s="311">
        <f t="shared" ca="1" si="118"/>
        <v>0</v>
      </c>
      <c r="V276" s="306">
        <f t="shared" ca="1" si="119"/>
        <v>1.1930016193401978</v>
      </c>
      <c r="W276" s="304">
        <f t="shared" ca="1" si="120"/>
        <v>120.38244666938068</v>
      </c>
      <c r="Y276" s="314" t="str">
        <f t="shared" ca="1" si="138"/>
        <v/>
      </c>
      <c r="Z276" s="315" t="str">
        <f t="shared" ca="1" si="139"/>
        <v/>
      </c>
      <c r="AA276" s="316" t="str">
        <f t="shared" ca="1" si="140"/>
        <v/>
      </c>
      <c r="AC276" s="310" t="e">
        <f t="shared" ca="1" si="141"/>
        <v>#N/A</v>
      </c>
      <c r="AD276" s="323" t="e">
        <f t="shared" ca="1" si="142"/>
        <v>#N/A</v>
      </c>
      <c r="AE276" s="324">
        <f t="shared" ca="1" si="121"/>
        <v>264.66798370907571</v>
      </c>
      <c r="AG276" s="306">
        <f t="shared" ca="1" si="143"/>
        <v>34.51267054222474</v>
      </c>
      <c r="AH276" s="304">
        <f t="shared" ca="1" si="144"/>
        <v>44.071867593127017</v>
      </c>
    </row>
    <row r="277" spans="1:34" x14ac:dyDescent="0.2">
      <c r="A277" s="347">
        <f t="shared" ca="1" si="122"/>
        <v>0.01</v>
      </c>
      <c r="B277" s="304">
        <f t="shared" ca="1" si="123"/>
        <v>2.7299999999999858</v>
      </c>
      <c r="D277" s="306">
        <f t="shared" ca="1" si="124"/>
        <v>9.8393405106583938</v>
      </c>
      <c r="E277" s="307">
        <f t="shared" ca="1" si="125"/>
        <v>32.83979036601513</v>
      </c>
      <c r="F277" s="304">
        <f t="shared" ca="1" si="126"/>
        <v>34.282130227984716</v>
      </c>
      <c r="G277" s="306">
        <f t="shared" ca="1" si="127"/>
        <v>39.659576031113176</v>
      </c>
      <c r="H277" s="307">
        <f t="shared" ca="1" si="128"/>
        <v>171.81104390042088</v>
      </c>
      <c r="I277" s="304">
        <f t="shared" ca="1" si="129"/>
        <v>176.32900152022637</v>
      </c>
      <c r="J277" s="306">
        <f t="shared" ca="1" si="130"/>
        <v>57.333724264535221</v>
      </c>
      <c r="K277" s="307">
        <f t="shared" ca="1" si="131"/>
        <v>266.3844521585616</v>
      </c>
      <c r="L277" s="304">
        <f t="shared" ca="1" si="116"/>
        <v>272.48455422254443</v>
      </c>
      <c r="M277" s="306">
        <f t="shared" ca="1" si="132"/>
        <v>1.3439373914452981</v>
      </c>
      <c r="N277" s="304">
        <f t="shared" ca="1" si="133"/>
        <v>77.001940459636813</v>
      </c>
      <c r="P277" s="310">
        <f t="shared" ca="1" si="134"/>
        <v>7</v>
      </c>
      <c r="Q277" s="304">
        <f t="shared" ca="1" si="135"/>
        <v>467.04255319149229</v>
      </c>
      <c r="R277" s="306">
        <f t="shared" ca="1" si="136"/>
        <v>0.23438689713064778</v>
      </c>
      <c r="S277" s="307">
        <f t="shared" ca="1" si="137"/>
        <v>7.9200300176580534</v>
      </c>
      <c r="T277" s="304">
        <f t="shared" ca="1" si="117"/>
        <v>77.695494473225509</v>
      </c>
      <c r="U277" s="311">
        <f t="shared" ca="1" si="118"/>
        <v>0</v>
      </c>
      <c r="V277" s="306">
        <f t="shared" ca="1" si="119"/>
        <v>1.192796825855686</v>
      </c>
      <c r="W277" s="304">
        <f t="shared" ca="1" si="120"/>
        <v>120.83019499071814</v>
      </c>
      <c r="Y277" s="314" t="str">
        <f t="shared" ca="1" si="138"/>
        <v/>
      </c>
      <c r="Z277" s="315" t="str">
        <f t="shared" ca="1" si="139"/>
        <v/>
      </c>
      <c r="AA277" s="316" t="str">
        <f t="shared" ca="1" si="140"/>
        <v/>
      </c>
      <c r="AC277" s="310" t="e">
        <f t="shared" ca="1" si="141"/>
        <v>#N/A</v>
      </c>
      <c r="AD277" s="323" t="e">
        <f t="shared" ca="1" si="142"/>
        <v>#N/A</v>
      </c>
      <c r="AE277" s="324">
        <f t="shared" ca="1" si="121"/>
        <v>266.3844521585616</v>
      </c>
      <c r="AG277" s="306">
        <f t="shared" ca="1" si="143"/>
        <v>34.211128635665986</v>
      </c>
      <c r="AH277" s="304">
        <f t="shared" ca="1" si="144"/>
        <v>43.770049576733641</v>
      </c>
    </row>
    <row r="278" spans="1:34" x14ac:dyDescent="0.2">
      <c r="A278" s="347">
        <f t="shared" ca="1" si="122"/>
        <v>0.01</v>
      </c>
      <c r="B278" s="304">
        <f t="shared" ca="1" si="123"/>
        <v>2.7399999999999856</v>
      </c>
      <c r="D278" s="306">
        <f t="shared" ca="1" si="124"/>
        <v>9.7768339638331501</v>
      </c>
      <c r="E278" s="307">
        <f t="shared" ca="1" si="125"/>
        <v>32.544664811582329</v>
      </c>
      <c r="F278" s="304">
        <f t="shared" ca="1" si="126"/>
        <v>33.981490403668381</v>
      </c>
      <c r="G278" s="306">
        <f t="shared" ca="1" si="127"/>
        <v>39.757344370751504</v>
      </c>
      <c r="H278" s="307">
        <f t="shared" ca="1" si="128"/>
        <v>172.1364905485367</v>
      </c>
      <c r="I278" s="304">
        <f t="shared" ca="1" si="129"/>
        <v>176.66810071368567</v>
      </c>
      <c r="J278" s="306">
        <f t="shared" ca="1" si="130"/>
        <v>57.730808866544542</v>
      </c>
      <c r="K278" s="307">
        <f t="shared" ca="1" si="131"/>
        <v>268.10418983080638</v>
      </c>
      <c r="L278" s="304">
        <f t="shared" ca="1" si="116"/>
        <v>274.24934438794662</v>
      </c>
      <c r="M278" s="306">
        <f t="shared" ca="1" si="132"/>
        <v>1.3438124992822731</v>
      </c>
      <c r="N278" s="304">
        <f t="shared" ca="1" si="133"/>
        <v>76.99478466580122</v>
      </c>
      <c r="P278" s="310">
        <f t="shared" ca="1" si="134"/>
        <v>7</v>
      </c>
      <c r="Q278" s="304">
        <f t="shared" ca="1" si="135"/>
        <v>465.00000000000296</v>
      </c>
      <c r="R278" s="306">
        <f t="shared" ca="1" si="136"/>
        <v>0.23336183484990697</v>
      </c>
      <c r="S278" s="307">
        <f t="shared" ca="1" si="137"/>
        <v>7.9176963993095546</v>
      </c>
      <c r="T278" s="304">
        <f t="shared" ca="1" si="117"/>
        <v>77.672601677226737</v>
      </c>
      <c r="U278" s="311">
        <f t="shared" ca="1" si="118"/>
        <v>0</v>
      </c>
      <c r="V278" s="306">
        <f t="shared" ca="1" si="119"/>
        <v>1.1925916771034242</v>
      </c>
      <c r="W278" s="304">
        <f t="shared" ca="1" si="120"/>
        <v>121.27451862319398</v>
      </c>
      <c r="Y278" s="314" t="str">
        <f t="shared" ca="1" si="138"/>
        <v/>
      </c>
      <c r="Z278" s="315" t="str">
        <f t="shared" ca="1" si="139"/>
        <v/>
      </c>
      <c r="AA278" s="316" t="str">
        <f t="shared" ca="1" si="140"/>
        <v/>
      </c>
      <c r="AC278" s="310" t="e">
        <f t="shared" ca="1" si="141"/>
        <v>#N/A</v>
      </c>
      <c r="AD278" s="323" t="e">
        <f t="shared" ca="1" si="142"/>
        <v>#N/A</v>
      </c>
      <c r="AE278" s="324">
        <f t="shared" ca="1" si="121"/>
        <v>268.10418983080638</v>
      </c>
      <c r="AG278" s="306">
        <f t="shared" ca="1" si="143"/>
        <v>33.909781562017137</v>
      </c>
      <c r="AH278" s="304">
        <f t="shared" ca="1" si="144"/>
        <v>43.468426629656747</v>
      </c>
    </row>
    <row r="279" spans="1:34" x14ac:dyDescent="0.2">
      <c r="A279" s="347">
        <f t="shared" ca="1" si="122"/>
        <v>0.01</v>
      </c>
      <c r="B279" s="304">
        <f t="shared" ca="1" si="123"/>
        <v>2.7499999999999853</v>
      </c>
      <c r="D279" s="306">
        <f t="shared" ca="1" si="124"/>
        <v>9.7142912650450306</v>
      </c>
      <c r="E279" s="307">
        <f t="shared" ca="1" si="125"/>
        <v>32.249751047188688</v>
      </c>
      <c r="F279" s="304">
        <f t="shared" ca="1" si="126"/>
        <v>33.681061405302799</v>
      </c>
      <c r="G279" s="306">
        <f t="shared" ca="1" si="127"/>
        <v>39.854487283401951</v>
      </c>
      <c r="H279" s="307">
        <f t="shared" ca="1" si="128"/>
        <v>172.45898805900859</v>
      </c>
      <c r="I279" s="304">
        <f t="shared" ca="1" si="129"/>
        <v>177.00418842208259</v>
      </c>
      <c r="J279" s="306">
        <f t="shared" ca="1" si="130"/>
        <v>58.128868024815311</v>
      </c>
      <c r="K279" s="307">
        <f t="shared" ca="1" si="131"/>
        <v>269.82716722384413</v>
      </c>
      <c r="L279" s="304">
        <f t="shared" ca="1" si="116"/>
        <v>276.01750935382836</v>
      </c>
      <c r="M279" s="306">
        <f t="shared" ca="1" si="132"/>
        <v>1.3436877768152014</v>
      </c>
      <c r="N279" s="304">
        <f t="shared" ca="1" si="133"/>
        <v>76.987638594827544</v>
      </c>
      <c r="P279" s="310">
        <f t="shared" ca="1" si="134"/>
        <v>7</v>
      </c>
      <c r="Q279" s="304">
        <f t="shared" ca="1" si="135"/>
        <v>462.95744680851362</v>
      </c>
      <c r="R279" s="306">
        <f t="shared" ca="1" si="136"/>
        <v>0.23233677256916616</v>
      </c>
      <c r="S279" s="307">
        <f t="shared" ca="1" si="137"/>
        <v>7.9153730315838633</v>
      </c>
      <c r="T279" s="304">
        <f t="shared" ca="1" si="117"/>
        <v>77.649809439837696</v>
      </c>
      <c r="U279" s="311">
        <f t="shared" ca="1" si="118"/>
        <v>0</v>
      </c>
      <c r="V279" s="306">
        <f t="shared" ca="1" si="119"/>
        <v>1.1923861767915134</v>
      </c>
      <c r="W279" s="304">
        <f t="shared" ca="1" si="120"/>
        <v>121.7153981087971</v>
      </c>
      <c r="Y279" s="314" t="str">
        <f t="shared" ca="1" si="138"/>
        <v/>
      </c>
      <c r="Z279" s="315" t="str">
        <f t="shared" ca="1" si="139"/>
        <v/>
      </c>
      <c r="AA279" s="316" t="str">
        <f t="shared" ca="1" si="140"/>
        <v/>
      </c>
      <c r="AC279" s="310" t="e">
        <f t="shared" ca="1" si="141"/>
        <v>#N/A</v>
      </c>
      <c r="AD279" s="323" t="e">
        <f t="shared" ca="1" si="142"/>
        <v>#N/A</v>
      </c>
      <c r="AE279" s="324">
        <f t="shared" ca="1" si="121"/>
        <v>269.82716722384413</v>
      </c>
      <c r="AG279" s="306">
        <f t="shared" ca="1" si="143"/>
        <v>33.608633168541665</v>
      </c>
      <c r="AH279" s="304">
        <f t="shared" ca="1" si="144"/>
        <v>43.167002593805613</v>
      </c>
    </row>
    <row r="280" spans="1:34" x14ac:dyDescent="0.2">
      <c r="A280" s="347">
        <f t="shared" ca="1" si="122"/>
        <v>0.01</v>
      </c>
      <c r="B280" s="304">
        <f t="shared" ca="1" si="123"/>
        <v>2.7599999999999851</v>
      </c>
      <c r="D280" s="306">
        <f t="shared" ca="1" si="124"/>
        <v>9.6517136116251976</v>
      </c>
      <c r="E280" s="307">
        <f t="shared" ca="1" si="125"/>
        <v>31.955052719407533</v>
      </c>
      <c r="F280" s="304">
        <f t="shared" ca="1" si="126"/>
        <v>33.380847352051234</v>
      </c>
      <c r="G280" s="306">
        <f t="shared" ca="1" si="127"/>
        <v>39.951004419518206</v>
      </c>
      <c r="H280" s="307">
        <f t="shared" ca="1" si="128"/>
        <v>172.77853858620267</v>
      </c>
      <c r="I280" s="304">
        <f t="shared" ca="1" si="129"/>
        <v>177.33726667035413</v>
      </c>
      <c r="J280" s="306">
        <f t="shared" ca="1" si="130"/>
        <v>58.527895483329914</v>
      </c>
      <c r="K280" s="307">
        <f t="shared" ca="1" si="131"/>
        <v>271.55335485707019</v>
      </c>
      <c r="L280" s="304">
        <f t="shared" ca="1" si="116"/>
        <v>277.78901901233871</v>
      </c>
      <c r="M280" s="306">
        <f t="shared" ca="1" si="132"/>
        <v>1.3435632213805822</v>
      </c>
      <c r="N280" s="304">
        <f t="shared" ca="1" si="133"/>
        <v>76.980502094108445</v>
      </c>
      <c r="P280" s="310">
        <f t="shared" ca="1" si="134"/>
        <v>7</v>
      </c>
      <c r="Q280" s="304">
        <f t="shared" ca="1" si="135"/>
        <v>460.91489361702429</v>
      </c>
      <c r="R280" s="306">
        <f t="shared" ca="1" si="136"/>
        <v>0.23131171028842534</v>
      </c>
      <c r="S280" s="307">
        <f t="shared" ca="1" si="137"/>
        <v>7.9130599144809795</v>
      </c>
      <c r="T280" s="304">
        <f t="shared" ca="1" si="117"/>
        <v>77.627117761058415</v>
      </c>
      <c r="U280" s="311">
        <f t="shared" ca="1" si="118"/>
        <v>0</v>
      </c>
      <c r="V280" s="306">
        <f t="shared" ca="1" si="119"/>
        <v>1.1921803286233903</v>
      </c>
      <c r="W280" s="304">
        <f t="shared" ca="1" si="120"/>
        <v>122.15281429977199</v>
      </c>
      <c r="Y280" s="314" t="str">
        <f t="shared" ca="1" si="138"/>
        <v/>
      </c>
      <c r="Z280" s="315" t="str">
        <f t="shared" ca="1" si="139"/>
        <v/>
      </c>
      <c r="AA280" s="316" t="str">
        <f t="shared" ca="1" si="140"/>
        <v/>
      </c>
      <c r="AC280" s="310" t="e">
        <f t="shared" ca="1" si="141"/>
        <v>#N/A</v>
      </c>
      <c r="AD280" s="323" t="e">
        <f t="shared" ca="1" si="142"/>
        <v>#N/A</v>
      </c>
      <c r="AE280" s="324">
        <f t="shared" ca="1" si="121"/>
        <v>271.55335485707019</v>
      </c>
      <c r="AG280" s="306">
        <f t="shared" ca="1" si="143"/>
        <v>33.307687266135495</v>
      </c>
      <c r="AH280" s="304">
        <f t="shared" ca="1" si="144"/>
        <v>42.865781274761829</v>
      </c>
    </row>
    <row r="281" spans="1:34" x14ac:dyDescent="0.2">
      <c r="A281" s="347">
        <f t="shared" ca="1" si="122"/>
        <v>0.01</v>
      </c>
      <c r="B281" s="304">
        <f t="shared" ca="1" si="123"/>
        <v>2.7699999999999849</v>
      </c>
      <c r="D281" s="306">
        <f t="shared" ca="1" si="124"/>
        <v>9.5891021901900437</v>
      </c>
      <c r="E281" s="307">
        <f t="shared" ca="1" si="125"/>
        <v>31.6605734398347</v>
      </c>
      <c r="F281" s="304">
        <f t="shared" ca="1" si="126"/>
        <v>33.08085233716136</v>
      </c>
      <c r="G281" s="306">
        <f t="shared" ca="1" si="127"/>
        <v>40.046895441420105</v>
      </c>
      <c r="H281" s="307">
        <f t="shared" ca="1" si="128"/>
        <v>173.09514432060101</v>
      </c>
      <c r="I281" s="304">
        <f t="shared" ca="1" si="129"/>
        <v>177.66733752118233</v>
      </c>
      <c r="J281" s="306">
        <f t="shared" ca="1" si="130"/>
        <v>58.927884982634609</v>
      </c>
      <c r="K281" s="307">
        <f t="shared" ca="1" si="131"/>
        <v>273.2827232716042</v>
      </c>
      <c r="L281" s="304">
        <f t="shared" ca="1" si="116"/>
        <v>279.56384327604098</v>
      </c>
      <c r="M281" s="306">
        <f t="shared" ca="1" si="132"/>
        <v>1.3434388303383868</v>
      </c>
      <c r="N281" s="304">
        <f t="shared" ca="1" si="133"/>
        <v>76.973375012381425</v>
      </c>
      <c r="P281" s="310">
        <f t="shared" ca="1" si="134"/>
        <v>7</v>
      </c>
      <c r="Q281" s="304">
        <f t="shared" ca="1" si="135"/>
        <v>458.87234042553501</v>
      </c>
      <c r="R281" s="306">
        <f t="shared" ca="1" si="136"/>
        <v>0.23028664800768453</v>
      </c>
      <c r="S281" s="307">
        <f t="shared" ca="1" si="137"/>
        <v>7.9107570480009022</v>
      </c>
      <c r="T281" s="304">
        <f t="shared" ca="1" si="117"/>
        <v>77.604526640888849</v>
      </c>
      <c r="U281" s="311">
        <f t="shared" ca="1" si="118"/>
        <v>0</v>
      </c>
      <c r="V281" s="306">
        <f t="shared" ca="1" si="119"/>
        <v>1.1919741362977756</v>
      </c>
      <c r="W281" s="304">
        <f t="shared" ca="1" si="120"/>
        <v>122.58674835784099</v>
      </c>
      <c r="Y281" s="314" t="str">
        <f t="shared" ca="1" si="138"/>
        <v/>
      </c>
      <c r="Z281" s="315" t="str">
        <f t="shared" ca="1" si="139"/>
        <v/>
      </c>
      <c r="AA281" s="316" t="str">
        <f t="shared" ca="1" si="140"/>
        <v/>
      </c>
      <c r="AC281" s="310" t="e">
        <f t="shared" ca="1" si="141"/>
        <v>#N/A</v>
      </c>
      <c r="AD281" s="323" t="e">
        <f t="shared" ca="1" si="142"/>
        <v>#N/A</v>
      </c>
      <c r="AE281" s="324">
        <f t="shared" ca="1" si="121"/>
        <v>273.2827232716042</v>
      </c>
      <c r="AG281" s="306">
        <f t="shared" ca="1" si="143"/>
        <v>33.006947629320813</v>
      </c>
      <c r="AH281" s="304">
        <f t="shared" ca="1" si="144"/>
        <v>42.564766441772363</v>
      </c>
    </row>
    <row r="282" spans="1:34" x14ac:dyDescent="0.2">
      <c r="A282" s="347">
        <f t="shared" ca="1" si="122"/>
        <v>0.01</v>
      </c>
      <c r="B282" s="304">
        <f t="shared" ca="1" si="123"/>
        <v>2.7799999999999847</v>
      </c>
      <c r="D282" s="306">
        <f t="shared" ca="1" si="124"/>
        <v>9.5264581766703067</v>
      </c>
      <c r="E282" s="307">
        <f t="shared" ca="1" si="125"/>
        <v>31.366316785080649</v>
      </c>
      <c r="F282" s="304">
        <f t="shared" ca="1" si="126"/>
        <v>32.781080428409929</v>
      </c>
      <c r="G282" s="306">
        <f t="shared" ca="1" si="127"/>
        <v>40.142160023186811</v>
      </c>
      <c r="H282" s="307">
        <f t="shared" ca="1" si="128"/>
        <v>173.40880748845183</v>
      </c>
      <c r="I282" s="304">
        <f t="shared" ca="1" si="129"/>
        <v>177.99440307463064</v>
      </c>
      <c r="J282" s="306">
        <f t="shared" ca="1" si="130"/>
        <v>59.328830259957641</v>
      </c>
      <c r="K282" s="307">
        <f t="shared" ca="1" si="131"/>
        <v>275.01524303064946</v>
      </c>
      <c r="L282" s="304">
        <f t="shared" ca="1" si="116"/>
        <v>281.34195207828861</v>
      </c>
      <c r="M282" s="306">
        <f t="shared" ca="1" si="132"/>
        <v>1.3433146010716475</v>
      </c>
      <c r="N282" s="304">
        <f t="shared" ca="1" si="133"/>
        <v>76.966257199705254</v>
      </c>
      <c r="P282" s="310">
        <f t="shared" ca="1" si="134"/>
        <v>7</v>
      </c>
      <c r="Q282" s="304">
        <f t="shared" ca="1" si="135"/>
        <v>456.82978723404568</v>
      </c>
      <c r="R282" s="306">
        <f t="shared" ca="1" si="136"/>
        <v>0.22926158572694372</v>
      </c>
      <c r="S282" s="307">
        <f t="shared" ca="1" si="137"/>
        <v>7.9084644321436324</v>
      </c>
      <c r="T282" s="304">
        <f t="shared" ca="1" si="117"/>
        <v>77.582036079329043</v>
      </c>
      <c r="U282" s="311">
        <f t="shared" ca="1" si="118"/>
        <v>0</v>
      </c>
      <c r="V282" s="306">
        <f t="shared" ca="1" si="119"/>
        <v>1.191767603508624</v>
      </c>
      <c r="W282" s="304">
        <f t="shared" ca="1" si="120"/>
        <v>123.01718175340592</v>
      </c>
      <c r="Y282" s="314" t="str">
        <f t="shared" ca="1" si="138"/>
        <v/>
      </c>
      <c r="Z282" s="315" t="str">
        <f t="shared" ca="1" si="139"/>
        <v/>
      </c>
      <c r="AA282" s="316" t="str">
        <f t="shared" ca="1" si="140"/>
        <v/>
      </c>
      <c r="AC282" s="310" t="e">
        <f t="shared" ca="1" si="141"/>
        <v>#N/A</v>
      </c>
      <c r="AD282" s="323" t="e">
        <f t="shared" ca="1" si="142"/>
        <v>#N/A</v>
      </c>
      <c r="AE282" s="324">
        <f t="shared" ca="1" si="121"/>
        <v>275.01524303064946</v>
      </c>
      <c r="AG282" s="306">
        <f t="shared" ca="1" si="143"/>
        <v>32.706417996243147</v>
      </c>
      <c r="AH282" s="304">
        <f t="shared" ca="1" si="144"/>
        <v>42.263961827745909</v>
      </c>
    </row>
    <row r="283" spans="1:34" x14ac:dyDescent="0.2">
      <c r="A283" s="347">
        <f t="shared" ca="1" si="122"/>
        <v>0.01</v>
      </c>
      <c r="B283" s="304">
        <f t="shared" ca="1" si="123"/>
        <v>2.7899999999999845</v>
      </c>
      <c r="D283" s="306">
        <f t="shared" ca="1" si="124"/>
        <v>9.4637827363400024</v>
      </c>
      <c r="E283" s="307">
        <f t="shared" ca="1" si="125"/>
        <v>31.072286296765967</v>
      </c>
      <c r="F283" s="304">
        <f t="shared" ca="1" si="126"/>
        <v>32.481535668573876</v>
      </c>
      <c r="G283" s="306">
        <f t="shared" ca="1" si="127"/>
        <v>40.236797850550211</v>
      </c>
      <c r="H283" s="307">
        <f t="shared" ca="1" si="128"/>
        <v>173.71953035141948</v>
      </c>
      <c r="I283" s="304">
        <f t="shared" ca="1" si="129"/>
        <v>178.31846546777984</v>
      </c>
      <c r="J283" s="306">
        <f t="shared" ca="1" si="130"/>
        <v>59.730725049326324</v>
      </c>
      <c r="K283" s="307">
        <f t="shared" ca="1" si="131"/>
        <v>276.75088471984884</v>
      </c>
      <c r="L283" s="304">
        <f t="shared" ca="1" si="116"/>
        <v>283.12331537359699</v>
      </c>
      <c r="M283" s="306">
        <f t="shared" ca="1" si="132"/>
        <v>1.3431905309860539</v>
      </c>
      <c r="N283" s="304">
        <f t="shared" ca="1" si="133"/>
        <v>76.959148507436907</v>
      </c>
      <c r="P283" s="310">
        <f t="shared" ca="1" si="134"/>
        <v>7</v>
      </c>
      <c r="Q283" s="304">
        <f t="shared" ca="1" si="135"/>
        <v>454.78723404255635</v>
      </c>
      <c r="R283" s="306">
        <f t="shared" ca="1" si="136"/>
        <v>0.2282365234462029</v>
      </c>
      <c r="S283" s="307">
        <f t="shared" ca="1" si="137"/>
        <v>7.90618206690917</v>
      </c>
      <c r="T283" s="304">
        <f t="shared" ca="1" si="117"/>
        <v>77.559646076378968</v>
      </c>
      <c r="U283" s="311">
        <f t="shared" ca="1" si="118"/>
        <v>0</v>
      </c>
      <c r="V283" s="306">
        <f t="shared" ca="1" si="119"/>
        <v>1.1915607339450729</v>
      </c>
      <c r="W283" s="304">
        <f t="shared" ca="1" si="120"/>
        <v>123.4440962647293</v>
      </c>
      <c r="Y283" s="314" t="str">
        <f t="shared" ca="1" si="138"/>
        <v/>
      </c>
      <c r="Z283" s="315" t="str">
        <f t="shared" ca="1" si="139"/>
        <v/>
      </c>
      <c r="AA283" s="316" t="str">
        <f t="shared" ca="1" si="140"/>
        <v/>
      </c>
      <c r="AC283" s="310" t="e">
        <f t="shared" ca="1" si="141"/>
        <v>#N/A</v>
      </c>
      <c r="AD283" s="323" t="e">
        <f t="shared" ca="1" si="142"/>
        <v>#N/A</v>
      </c>
      <c r="AE283" s="324">
        <f t="shared" ca="1" si="121"/>
        <v>276.75088471984884</v>
      </c>
      <c r="AG283" s="306">
        <f t="shared" ca="1" si="143"/>
        <v>32.406102068671757</v>
      </c>
      <c r="AH283" s="304">
        <f t="shared" ca="1" si="144"/>
        <v>41.963371129252543</v>
      </c>
    </row>
    <row r="284" spans="1:34" x14ac:dyDescent="0.2">
      <c r="A284" s="347">
        <f t="shared" ca="1" si="122"/>
        <v>0.01</v>
      </c>
      <c r="B284" s="304">
        <f t="shared" ca="1" si="123"/>
        <v>2.7999999999999843</v>
      </c>
      <c r="D284" s="306">
        <f t="shared" ca="1" si="124"/>
        <v>9.4010770238452679</v>
      </c>
      <c r="E284" s="307">
        <f t="shared" ca="1" si="125"/>
        <v>30.778485481520185</v>
      </c>
      <c r="F284" s="304">
        <f t="shared" ca="1" si="126"/>
        <v>32.182222075929133</v>
      </c>
      <c r="G284" s="306">
        <f t="shared" ca="1" si="127"/>
        <v>40.330808620788666</v>
      </c>
      <c r="H284" s="307">
        <f t="shared" ca="1" si="128"/>
        <v>174.02731520623468</v>
      </c>
      <c r="I284" s="304">
        <f t="shared" ca="1" si="129"/>
        <v>178.63952687436463</v>
      </c>
      <c r="J284" s="306">
        <f t="shared" ca="1" si="130"/>
        <v>60.133563081683022</v>
      </c>
      <c r="K284" s="307">
        <f t="shared" ca="1" si="131"/>
        <v>278.4896189476371</v>
      </c>
      <c r="L284" s="304">
        <f t="shared" ca="1" si="116"/>
        <v>284.90790313801205</v>
      </c>
      <c r="M284" s="306">
        <f t="shared" ca="1" si="132"/>
        <v>1.3430666175095558</v>
      </c>
      <c r="N284" s="304">
        <f t="shared" ca="1" si="133"/>
        <v>76.952048788208785</v>
      </c>
      <c r="P284" s="310">
        <f t="shared" ca="1" si="134"/>
        <v>7</v>
      </c>
      <c r="Q284" s="304">
        <f t="shared" ca="1" si="135"/>
        <v>452.74468085106707</v>
      </c>
      <c r="R284" s="306">
        <f t="shared" ca="1" si="136"/>
        <v>0.22721146116546212</v>
      </c>
      <c r="S284" s="307">
        <f t="shared" ca="1" si="137"/>
        <v>7.9039099522975151</v>
      </c>
      <c r="T284" s="304">
        <f t="shared" ca="1" si="117"/>
        <v>77.537356632038623</v>
      </c>
      <c r="U284" s="311">
        <f t="shared" ca="1" si="118"/>
        <v>0</v>
      </c>
      <c r="V284" s="306">
        <f t="shared" ca="1" si="119"/>
        <v>1.1913535312913941</v>
      </c>
      <c r="W284" s="304">
        <f t="shared" ca="1" si="120"/>
        <v>123.86747397709594</v>
      </c>
      <c r="Y284" s="314" t="str">
        <f t="shared" ca="1" si="138"/>
        <v/>
      </c>
      <c r="Z284" s="315" t="str">
        <f t="shared" ca="1" si="139"/>
        <v/>
      </c>
      <c r="AA284" s="316" t="str">
        <f t="shared" ca="1" si="140"/>
        <v/>
      </c>
      <c r="AC284" s="310" t="e">
        <f t="shared" ca="1" si="141"/>
        <v>#N/A</v>
      </c>
      <c r="AD284" s="323" t="e">
        <f t="shared" ca="1" si="142"/>
        <v>#N/A</v>
      </c>
      <c r="AE284" s="324">
        <f t="shared" ca="1" si="121"/>
        <v>278.4896189476371</v>
      </c>
      <c r="AG284" s="306">
        <f t="shared" ca="1" si="143"/>
        <v>32.106003512003326</v>
      </c>
      <c r="AH284" s="304">
        <f t="shared" ca="1" si="144"/>
        <v>41.662998006526685</v>
      </c>
    </row>
    <row r="285" spans="1:34" x14ac:dyDescent="0.2">
      <c r="A285" s="347">
        <f t="shared" ca="1" si="122"/>
        <v>0.01</v>
      </c>
      <c r="B285" s="304">
        <f t="shared" ca="1" si="123"/>
        <v>2.8099999999999841</v>
      </c>
      <c r="D285" s="306">
        <f t="shared" ca="1" si="124"/>
        <v>9.3383421832331788</v>
      </c>
      <c r="E285" s="307">
        <f t="shared" ca="1" si="125"/>
        <v>30.484917810983845</v>
      </c>
      <c r="F285" s="304">
        <f t="shared" ca="1" si="126"/>
        <v>31.883143644778698</v>
      </c>
      <c r="G285" s="306">
        <f t="shared" ca="1" si="127"/>
        <v>40.424192042620994</v>
      </c>
      <c r="H285" s="307">
        <f t="shared" ca="1" si="128"/>
        <v>174.33216438434451</v>
      </c>
      <c r="I285" s="304">
        <f t="shared" ca="1" si="129"/>
        <v>178.95758950440973</v>
      </c>
      <c r="J285" s="306">
        <f t="shared" ca="1" si="130"/>
        <v>60.537338085000073</v>
      </c>
      <c r="K285" s="307">
        <f t="shared" ca="1" si="131"/>
        <v>280.23141634558999</v>
      </c>
      <c r="L285" s="304">
        <f t="shared" ca="1" si="116"/>
        <v>286.69568536947503</v>
      </c>
      <c r="M285" s="306">
        <f t="shared" ca="1" si="132"/>
        <v>1.3429428580919733</v>
      </c>
      <c r="N285" s="304">
        <f t="shared" ca="1" si="133"/>
        <v>76.944957895906313</v>
      </c>
      <c r="P285" s="310">
        <f t="shared" ca="1" si="134"/>
        <v>7</v>
      </c>
      <c r="Q285" s="304">
        <f t="shared" ca="1" si="135"/>
        <v>450.70212765957774</v>
      </c>
      <c r="R285" s="306">
        <f t="shared" ca="1" si="136"/>
        <v>0.22618639888472128</v>
      </c>
      <c r="S285" s="307">
        <f t="shared" ca="1" si="137"/>
        <v>7.9016480883086677</v>
      </c>
      <c r="T285" s="304">
        <f t="shared" ca="1" si="117"/>
        <v>77.515167746308038</v>
      </c>
      <c r="U285" s="311">
        <f t="shared" ca="1" si="118"/>
        <v>0</v>
      </c>
      <c r="V285" s="306">
        <f t="shared" ca="1" si="119"/>
        <v>1.1911459992269453</v>
      </c>
      <c r="W285" s="304">
        <f t="shared" ca="1" si="120"/>
        <v>124.28729728195492</v>
      </c>
      <c r="Y285" s="314" t="str">
        <f t="shared" ca="1" si="138"/>
        <v/>
      </c>
      <c r="Z285" s="315" t="str">
        <f t="shared" ca="1" si="139"/>
        <v/>
      </c>
      <c r="AA285" s="316" t="str">
        <f t="shared" ca="1" si="140"/>
        <v/>
      </c>
      <c r="AC285" s="310" t="e">
        <f t="shared" ca="1" si="141"/>
        <v>#N/A</v>
      </c>
      <c r="AD285" s="323" t="e">
        <f t="shared" ca="1" si="142"/>
        <v>#N/A</v>
      </c>
      <c r="AE285" s="324">
        <f t="shared" ca="1" si="121"/>
        <v>280.23141634558999</v>
      </c>
      <c r="AG285" s="306">
        <f t="shared" ca="1" si="143"/>
        <v>31.806125955268755</v>
      </c>
      <c r="AH285" s="304">
        <f t="shared" ca="1" si="144"/>
        <v>41.362846083473215</v>
      </c>
    </row>
    <row r="286" spans="1:34" x14ac:dyDescent="0.2">
      <c r="A286" s="347">
        <f t="shared" ca="1" si="122"/>
        <v>0.01</v>
      </c>
      <c r="B286" s="304">
        <f t="shared" ca="1" si="123"/>
        <v>2.8199999999999839</v>
      </c>
      <c r="D286" s="306">
        <f t="shared" ca="1" si="124"/>
        <v>9.2755793479804769</v>
      </c>
      <c r="E286" s="307">
        <f t="shared" ca="1" si="125"/>
        <v>30.191586721813898</v>
      </c>
      <c r="F286" s="304">
        <f t="shared" ca="1" si="126"/>
        <v>31.584304346011663</v>
      </c>
      <c r="G286" s="306">
        <f t="shared" ca="1" si="127"/>
        <v>40.516947836100798</v>
      </c>
      <c r="H286" s="307">
        <f t="shared" ca="1" si="128"/>
        <v>174.63408025156264</v>
      </c>
      <c r="I286" s="304">
        <f t="shared" ca="1" si="129"/>
        <v>179.2726556038665</v>
      </c>
      <c r="J286" s="306">
        <f t="shared" ca="1" si="130"/>
        <v>60.942043784393682</v>
      </c>
      <c r="K286" s="307">
        <f t="shared" ca="1" si="131"/>
        <v>281.97624756876951</v>
      </c>
      <c r="L286" s="304">
        <f t="shared" ca="1" si="116"/>
        <v>288.48663208818351</v>
      </c>
      <c r="M286" s="306">
        <f t="shared" ca="1" si="132"/>
        <v>1.3428192502046143</v>
      </c>
      <c r="N286" s="304">
        <f t="shared" ca="1" si="133"/>
        <v>76.937875685646105</v>
      </c>
      <c r="P286" s="310">
        <f t="shared" ca="1" si="134"/>
        <v>7</v>
      </c>
      <c r="Q286" s="304">
        <f t="shared" ca="1" si="135"/>
        <v>448.65957446808841</v>
      </c>
      <c r="R286" s="306">
        <f t="shared" ca="1" si="136"/>
        <v>0.22516133660398047</v>
      </c>
      <c r="S286" s="307">
        <f t="shared" ca="1" si="137"/>
        <v>7.8993964749426278</v>
      </c>
      <c r="T286" s="304">
        <f t="shared" ca="1" si="117"/>
        <v>77.493079419187183</v>
      </c>
      <c r="U286" s="311">
        <f t="shared" ca="1" si="118"/>
        <v>0</v>
      </c>
      <c r="V286" s="306">
        <f t="shared" ca="1" si="119"/>
        <v>1.1909381414261195</v>
      </c>
      <c r="W286" s="304">
        <f t="shared" ca="1" si="120"/>
        <v>124.70354887604201</v>
      </c>
      <c r="Y286" s="314" t="str">
        <f t="shared" ca="1" si="138"/>
        <v/>
      </c>
      <c r="Z286" s="315" t="str">
        <f t="shared" ca="1" si="139"/>
        <v/>
      </c>
      <c r="AA286" s="316" t="str">
        <f t="shared" ca="1" si="140"/>
        <v/>
      </c>
      <c r="AC286" s="310" t="e">
        <f t="shared" ca="1" si="141"/>
        <v>#N/A</v>
      </c>
      <c r="AD286" s="323" t="e">
        <f t="shared" ca="1" si="142"/>
        <v>#N/A</v>
      </c>
      <c r="AE286" s="324">
        <f t="shared" ca="1" si="121"/>
        <v>281.97624756876951</v>
      </c>
      <c r="AG286" s="306">
        <f t="shared" ca="1" si="143"/>
        <v>31.506472991143248</v>
      </c>
      <c r="AH286" s="304">
        <f t="shared" ca="1" si="144"/>
        <v>41.06291894767687</v>
      </c>
    </row>
    <row r="287" spans="1:34" x14ac:dyDescent="0.2">
      <c r="A287" s="347">
        <f t="shared" ca="1" si="122"/>
        <v>0.01</v>
      </c>
      <c r="B287" s="304">
        <f t="shared" ca="1" si="123"/>
        <v>2.8299999999999836</v>
      </c>
      <c r="D287" s="306">
        <f t="shared" ca="1" si="124"/>
        <v>9.2127896410222228</v>
      </c>
      <c r="E287" s="307">
        <f t="shared" ca="1" si="125"/>
        <v>29.898495615692248</v>
      </c>
      <c r="F287" s="304">
        <f t="shared" ca="1" si="126"/>
        <v>31.285708127694583</v>
      </c>
      <c r="G287" s="306">
        <f t="shared" ca="1" si="127"/>
        <v>40.609075732511023</v>
      </c>
      <c r="H287" s="307">
        <f t="shared" ca="1" si="128"/>
        <v>174.93306520771955</v>
      </c>
      <c r="I287" s="304">
        <f t="shared" ca="1" si="129"/>
        <v>179.5847274542495</v>
      </c>
      <c r="J287" s="306">
        <f t="shared" ca="1" si="130"/>
        <v>61.347673902236743</v>
      </c>
      <c r="K287" s="307">
        <f t="shared" ca="1" si="131"/>
        <v>283.72408329606594</v>
      </c>
      <c r="L287" s="304">
        <f t="shared" ca="1" si="116"/>
        <v>290.2807133369493</v>
      </c>
      <c r="M287" s="306">
        <f t="shared" ca="1" si="132"/>
        <v>1.3426957913398974</v>
      </c>
      <c r="N287" s="304">
        <f t="shared" ca="1" si="133"/>
        <v>76.930802013754345</v>
      </c>
      <c r="P287" s="310">
        <f t="shared" ca="1" si="134"/>
        <v>7</v>
      </c>
      <c r="Q287" s="304">
        <f t="shared" ca="1" si="135"/>
        <v>446.61702127659908</v>
      </c>
      <c r="R287" s="306">
        <f t="shared" ca="1" si="136"/>
        <v>0.22413627432323965</v>
      </c>
      <c r="S287" s="307">
        <f t="shared" ca="1" si="137"/>
        <v>7.8971551121993953</v>
      </c>
      <c r="T287" s="304">
        <f t="shared" ca="1" si="117"/>
        <v>77.471091650676073</v>
      </c>
      <c r="U287" s="311">
        <f t="shared" ca="1" si="118"/>
        <v>0</v>
      </c>
      <c r="V287" s="306">
        <f t="shared" ca="1" si="119"/>
        <v>1.1907299615583014</v>
      </c>
      <c r="W287" s="304">
        <f t="shared" ca="1" si="120"/>
        <v>125.11621176048374</v>
      </c>
      <c r="Y287" s="314" t="str">
        <f t="shared" ca="1" si="138"/>
        <v/>
      </c>
      <c r="Z287" s="315" t="str">
        <f t="shared" ca="1" si="139"/>
        <v/>
      </c>
      <c r="AA287" s="316" t="str">
        <f t="shared" ca="1" si="140"/>
        <v/>
      </c>
      <c r="AC287" s="310" t="e">
        <f t="shared" ca="1" si="141"/>
        <v>#N/A</v>
      </c>
      <c r="AD287" s="323" t="e">
        <f t="shared" ca="1" si="142"/>
        <v>#N/A</v>
      </c>
      <c r="AE287" s="324">
        <f t="shared" ca="1" si="121"/>
        <v>283.72408329606594</v>
      </c>
      <c r="AG287" s="306">
        <f t="shared" ca="1" si="143"/>
        <v>31.207048175959518</v>
      </c>
      <c r="AH287" s="304">
        <f t="shared" ca="1" si="144"/>
        <v>40.763220150414725</v>
      </c>
    </row>
    <row r="288" spans="1:34" x14ac:dyDescent="0.2">
      <c r="A288" s="347">
        <f t="shared" ca="1" si="122"/>
        <v>0.01</v>
      </c>
      <c r="B288" s="304">
        <f t="shared" ca="1" si="123"/>
        <v>2.8399999999999834</v>
      </c>
      <c r="D288" s="306">
        <f t="shared" ca="1" si="124"/>
        <v>9.1499741747804784</v>
      </c>
      <c r="E288" s="307">
        <f t="shared" ca="1" si="125"/>
        <v>29.605647859337502</v>
      </c>
      <c r="F288" s="304">
        <f t="shared" ca="1" si="126"/>
        <v>30.9873589156973</v>
      </c>
      <c r="G288" s="306">
        <f t="shared" ca="1" si="127"/>
        <v>40.700575474258827</v>
      </c>
      <c r="H288" s="307">
        <f t="shared" ca="1" si="128"/>
        <v>175.22912168631294</v>
      </c>
      <c r="I288" s="304">
        <f t="shared" ca="1" si="129"/>
        <v>179.89380737227313</v>
      </c>
      <c r="J288" s="306">
        <f t="shared" ca="1" si="130"/>
        <v>61.754222158270593</v>
      </c>
      <c r="K288" s="307">
        <f t="shared" ca="1" si="131"/>
        <v>285.47489423053611</v>
      </c>
      <c r="L288" s="304">
        <f t="shared" ca="1" si="116"/>
        <v>292.07789918155197</v>
      </c>
      <c r="M288" s="306">
        <f t="shared" ca="1" si="132"/>
        <v>1.3425724790109834</v>
      </c>
      <c r="N288" s="304">
        <f t="shared" ca="1" si="133"/>
        <v>76.923736737745656</v>
      </c>
      <c r="P288" s="310">
        <f t="shared" ca="1" si="134"/>
        <v>7</v>
      </c>
      <c r="Q288" s="304">
        <f t="shared" ca="1" si="135"/>
        <v>444.57446808510974</v>
      </c>
      <c r="R288" s="306">
        <f t="shared" ca="1" si="136"/>
        <v>0.22311121204249884</v>
      </c>
      <c r="S288" s="307">
        <f t="shared" ca="1" si="137"/>
        <v>7.8949240000789702</v>
      </c>
      <c r="T288" s="304">
        <f t="shared" ca="1" si="117"/>
        <v>77.449204440774707</v>
      </c>
      <c r="U288" s="311">
        <f t="shared" ca="1" si="118"/>
        <v>0</v>
      </c>
      <c r="V288" s="306">
        <f t="shared" ca="1" si="119"/>
        <v>1.1905214632878161</v>
      </c>
      <c r="W288" s="304">
        <f t="shared" ca="1" si="120"/>
        <v>125.52526923988187</v>
      </c>
      <c r="Y288" s="314" t="str">
        <f t="shared" ca="1" si="138"/>
        <v/>
      </c>
      <c r="Z288" s="315" t="str">
        <f t="shared" ca="1" si="139"/>
        <v/>
      </c>
      <c r="AA288" s="316" t="str">
        <f t="shared" ca="1" si="140"/>
        <v/>
      </c>
      <c r="AC288" s="310" t="e">
        <f t="shared" ca="1" si="141"/>
        <v>#N/A</v>
      </c>
      <c r="AD288" s="323" t="e">
        <f t="shared" ca="1" si="142"/>
        <v>#N/A</v>
      </c>
      <c r="AE288" s="324">
        <f t="shared" ca="1" si="121"/>
        <v>285.47489423053611</v>
      </c>
      <c r="AG288" s="306">
        <f t="shared" ca="1" si="143"/>
        <v>30.907855029724061</v>
      </c>
      <c r="AH288" s="304">
        <f t="shared" ca="1" si="144"/>
        <v>40.463753206671853</v>
      </c>
    </row>
    <row r="289" spans="1:34" x14ac:dyDescent="0.2">
      <c r="A289" s="347">
        <f t="shared" ca="1" si="122"/>
        <v>0.01</v>
      </c>
      <c r="B289" s="304">
        <f t="shared" ca="1" si="123"/>
        <v>2.8499999999999832</v>
      </c>
      <c r="D289" s="306">
        <f t="shared" ca="1" si="124"/>
        <v>9.0871340511928569</v>
      </c>
      <c r="E289" s="307">
        <f t="shared" ca="1" si="125"/>
        <v>29.313046784519898</v>
      </c>
      <c r="F289" s="304">
        <f t="shared" ca="1" si="126"/>
        <v>30.689260614355</v>
      </c>
      <c r="G289" s="306">
        <f t="shared" ca="1" si="127"/>
        <v>40.791446814770758</v>
      </c>
      <c r="H289" s="307">
        <f t="shared" ca="1" si="128"/>
        <v>175.52225215415814</v>
      </c>
      <c r="I289" s="304">
        <f t="shared" ca="1" si="129"/>
        <v>180.19989770948857</v>
      </c>
      <c r="J289" s="306">
        <f t="shared" ca="1" si="130"/>
        <v>62.16168226971574</v>
      </c>
      <c r="K289" s="307">
        <f t="shared" ca="1" si="131"/>
        <v>287.22865109973844</v>
      </c>
      <c r="L289" s="304">
        <f t="shared" ca="1" si="116"/>
        <v>293.87815971108904</v>
      </c>
      <c r="M289" s="306">
        <f t="shared" ca="1" si="132"/>
        <v>1.3424493107514104</v>
      </c>
      <c r="N289" s="304">
        <f t="shared" ca="1" si="133"/>
        <v>76.916679716302141</v>
      </c>
      <c r="P289" s="310">
        <f t="shared" ca="1" si="134"/>
        <v>7</v>
      </c>
      <c r="Q289" s="304">
        <f t="shared" ca="1" si="135"/>
        <v>442.53191489362047</v>
      </c>
      <c r="R289" s="306">
        <f t="shared" ca="1" si="136"/>
        <v>0.22208614976175803</v>
      </c>
      <c r="S289" s="307">
        <f t="shared" ca="1" si="137"/>
        <v>7.8927031385813526</v>
      </c>
      <c r="T289" s="304">
        <f t="shared" ca="1" si="117"/>
        <v>77.427417789483073</v>
      </c>
      <c r="U289" s="311">
        <f t="shared" ca="1" si="118"/>
        <v>0</v>
      </c>
      <c r="V289" s="306">
        <f t="shared" ca="1" si="119"/>
        <v>1.1903126502738848</v>
      </c>
      <c r="W289" s="304">
        <f t="shared" ca="1" si="120"/>
        <v>125.93070492138023</v>
      </c>
      <c r="Y289" s="314" t="str">
        <f t="shared" ca="1" si="138"/>
        <v/>
      </c>
      <c r="Z289" s="315" t="str">
        <f t="shared" ca="1" si="139"/>
        <v/>
      </c>
      <c r="AA289" s="316" t="str">
        <f t="shared" ca="1" si="140"/>
        <v/>
      </c>
      <c r="AC289" s="310" t="e">
        <f t="shared" ca="1" si="141"/>
        <v>#N/A</v>
      </c>
      <c r="AD289" s="323" t="e">
        <f t="shared" ca="1" si="142"/>
        <v>#N/A</v>
      </c>
      <c r="AE289" s="324">
        <f t="shared" ca="1" si="121"/>
        <v>287.22865109973844</v>
      </c>
      <c r="AG289" s="306">
        <f t="shared" ca="1" si="143"/>
        <v>30.608897036136629</v>
      </c>
      <c r="AH289" s="304">
        <f t="shared" ca="1" si="144"/>
        <v>40.164521595160096</v>
      </c>
    </row>
    <row r="290" spans="1:34" x14ac:dyDescent="0.2">
      <c r="A290" s="347">
        <f t="shared" ca="1" si="122"/>
        <v>0.01</v>
      </c>
      <c r="B290" s="304">
        <f t="shared" ca="1" si="123"/>
        <v>2.859999999999983</v>
      </c>
      <c r="D290" s="306">
        <f t="shared" ca="1" si="124"/>
        <v>9.0242703617412037</v>
      </c>
      <c r="E290" s="307">
        <f t="shared" ca="1" si="125"/>
        <v>29.020695688079307</v>
      </c>
      <c r="F290" s="304">
        <f t="shared" ca="1" si="126"/>
        <v>30.391417107168689</v>
      </c>
      <c r="G290" s="306">
        <f t="shared" ca="1" si="127"/>
        <v>40.881689518388171</v>
      </c>
      <c r="H290" s="307">
        <f t="shared" ca="1" si="128"/>
        <v>175.81245911103892</v>
      </c>
      <c r="I290" s="304">
        <f t="shared" ca="1" si="129"/>
        <v>180.50300085192109</v>
      </c>
      <c r="J290" s="306">
        <f t="shared" ca="1" si="130"/>
        <v>62.570047951381532</v>
      </c>
      <c r="K290" s="307">
        <f t="shared" ca="1" si="131"/>
        <v>288.98532465606445</v>
      </c>
      <c r="L290" s="304">
        <f t="shared" ca="1" si="116"/>
        <v>295.68146503832321</v>
      </c>
      <c r="M290" s="306">
        <f t="shared" ca="1" si="132"/>
        <v>1.3423262841147381</v>
      </c>
      <c r="N290" s="304">
        <f t="shared" ca="1" si="133"/>
        <v>76.90963080925313</v>
      </c>
      <c r="P290" s="310">
        <f t="shared" ca="1" si="134"/>
        <v>7</v>
      </c>
      <c r="Q290" s="304">
        <f t="shared" ca="1" si="135"/>
        <v>440.48936170213113</v>
      </c>
      <c r="R290" s="306">
        <f t="shared" ca="1" si="136"/>
        <v>0.22106108748101722</v>
      </c>
      <c r="S290" s="307">
        <f t="shared" ca="1" si="137"/>
        <v>7.8904925277065425</v>
      </c>
      <c r="T290" s="304">
        <f t="shared" ca="1" si="117"/>
        <v>77.405731696801183</v>
      </c>
      <c r="U290" s="311">
        <f t="shared" ca="1" si="118"/>
        <v>0</v>
      </c>
      <c r="V290" s="306">
        <f t="shared" ca="1" si="119"/>
        <v>1.1901035261705797</v>
      </c>
      <c r="W290" s="304">
        <f t="shared" ca="1" si="120"/>
        <v>126.33250271371361</v>
      </c>
      <c r="Y290" s="314" t="str">
        <f t="shared" ca="1" si="138"/>
        <v/>
      </c>
      <c r="Z290" s="315" t="str">
        <f t="shared" ca="1" si="139"/>
        <v/>
      </c>
      <c r="AA290" s="316" t="str">
        <f t="shared" ca="1" si="140"/>
        <v/>
      </c>
      <c r="AC290" s="310" t="e">
        <f t="shared" ca="1" si="141"/>
        <v>#N/A</v>
      </c>
      <c r="AD290" s="323" t="e">
        <f t="shared" ca="1" si="142"/>
        <v>#N/A</v>
      </c>
      <c r="AE290" s="324">
        <f t="shared" ca="1" si="121"/>
        <v>288.98532465606445</v>
      </c>
      <c r="AG290" s="306">
        <f t="shared" ca="1" si="143"/>
        <v>30.310177642612636</v>
      </c>
      <c r="AH290" s="304">
        <f t="shared" ca="1" si="144"/>
        <v>39.865528758339849</v>
      </c>
    </row>
    <row r="291" spans="1:34" x14ac:dyDescent="0.2">
      <c r="A291" s="347">
        <f t="shared" ca="1" si="122"/>
        <v>0.01</v>
      </c>
      <c r="B291" s="304">
        <f t="shared" ca="1" si="123"/>
        <v>2.8699999999999828</v>
      </c>
      <c r="D291" s="306">
        <f t="shared" ca="1" si="124"/>
        <v>8.961384187480105</v>
      </c>
      <c r="E291" s="307">
        <f t="shared" ca="1" si="125"/>
        <v>28.728597831946324</v>
      </c>
      <c r="F291" s="304">
        <f t="shared" ca="1" si="126"/>
        <v>30.093832257546222</v>
      </c>
      <c r="G291" s="306">
        <f t="shared" ca="1" si="127"/>
        <v>40.971303360262972</v>
      </c>
      <c r="H291" s="307">
        <f t="shared" ca="1" si="128"/>
        <v>176.09974508935838</v>
      </c>
      <c r="I291" s="304">
        <f t="shared" ca="1" si="129"/>
        <v>180.8031192197073</v>
      </c>
      <c r="J291" s="306">
        <f t="shared" ca="1" si="130"/>
        <v>62.979312915774791</v>
      </c>
      <c r="K291" s="307">
        <f t="shared" ca="1" si="131"/>
        <v>290.74488567706646</v>
      </c>
      <c r="L291" s="304">
        <f t="shared" ca="1" si="116"/>
        <v>297.4877853000246</v>
      </c>
      <c r="M291" s="306">
        <f t="shared" ca="1" si="132"/>
        <v>1.3422033966741955</v>
      </c>
      <c r="N291" s="304">
        <f t="shared" ca="1" si="133"/>
        <v>76.902589877554874</v>
      </c>
      <c r="P291" s="310">
        <f t="shared" ca="1" si="134"/>
        <v>7</v>
      </c>
      <c r="Q291" s="304">
        <f t="shared" ca="1" si="135"/>
        <v>438.44680851064186</v>
      </c>
      <c r="R291" s="306">
        <f t="shared" ca="1" si="136"/>
        <v>0.22003602520027643</v>
      </c>
      <c r="S291" s="307">
        <f t="shared" ca="1" si="137"/>
        <v>7.8882921674545399</v>
      </c>
      <c r="T291" s="304">
        <f t="shared" ca="1" si="117"/>
        <v>77.384146162729039</v>
      </c>
      <c r="U291" s="311">
        <f t="shared" ca="1" si="118"/>
        <v>0</v>
      </c>
      <c r="V291" s="306">
        <f t="shared" ca="1" si="119"/>
        <v>1.1898940946267758</v>
      </c>
      <c r="W291" s="304">
        <f t="shared" ca="1" si="120"/>
        <v>126.73064682623789</v>
      </c>
      <c r="Y291" s="314" t="str">
        <f t="shared" ca="1" si="138"/>
        <v/>
      </c>
      <c r="Z291" s="315" t="str">
        <f t="shared" ca="1" si="139"/>
        <v/>
      </c>
      <c r="AA291" s="316" t="str">
        <f t="shared" ca="1" si="140"/>
        <v/>
      </c>
      <c r="AC291" s="310" t="e">
        <f t="shared" ca="1" si="141"/>
        <v>#N/A</v>
      </c>
      <c r="AD291" s="323" t="e">
        <f t="shared" ca="1" si="142"/>
        <v>#N/A</v>
      </c>
      <c r="AE291" s="324">
        <f t="shared" ca="1" si="121"/>
        <v>290.74488567706646</v>
      </c>
      <c r="AG291" s="306">
        <f t="shared" ca="1" si="143"/>
        <v>30.011700260308693</v>
      </c>
      <c r="AH291" s="304">
        <f t="shared" ca="1" si="144"/>
        <v>39.566778102444943</v>
      </c>
    </row>
    <row r="292" spans="1:34" x14ac:dyDescent="0.2">
      <c r="A292" s="347">
        <f t="shared" ca="1" si="122"/>
        <v>0.01</v>
      </c>
      <c r="B292" s="304">
        <f t="shared" ca="1" si="123"/>
        <v>2.8799999999999826</v>
      </c>
      <c r="D292" s="306">
        <f t="shared" ca="1" si="124"/>
        <v>8.8984765990655479</v>
      </c>
      <c r="E292" s="307">
        <f t="shared" ca="1" si="125"/>
        <v>28.436756443166416</v>
      </c>
      <c r="F292" s="304">
        <f t="shared" ca="1" si="126"/>
        <v>29.796509909586455</v>
      </c>
      <c r="G292" s="306">
        <f t="shared" ca="1" si="127"/>
        <v>41.060288126253624</v>
      </c>
      <c r="H292" s="307">
        <f t="shared" ca="1" si="128"/>
        <v>176.38411265379005</v>
      </c>
      <c r="I292" s="304">
        <f t="shared" ca="1" si="129"/>
        <v>181.10025526673303</v>
      </c>
      <c r="J292" s="306">
        <f t="shared" ca="1" si="130"/>
        <v>63.389470873207372</v>
      </c>
      <c r="K292" s="307">
        <f t="shared" ca="1" si="131"/>
        <v>292.50730496578223</v>
      </c>
      <c r="L292" s="304">
        <f t="shared" ca="1" si="116"/>
        <v>299.29709065731049</v>
      </c>
      <c r="M292" s="306">
        <f t="shared" ca="1" si="132"/>
        <v>1.3420806460223371</v>
      </c>
      <c r="N292" s="304">
        <f t="shared" ca="1" si="133"/>
        <v>76.895556783270905</v>
      </c>
      <c r="P292" s="310">
        <f t="shared" ca="1" si="134"/>
        <v>7</v>
      </c>
      <c r="Q292" s="304">
        <f t="shared" ca="1" si="135"/>
        <v>436.40425531915253</v>
      </c>
      <c r="R292" s="306">
        <f t="shared" ca="1" si="136"/>
        <v>0.21901096291953562</v>
      </c>
      <c r="S292" s="307">
        <f t="shared" ca="1" si="137"/>
        <v>7.8861020578253447</v>
      </c>
      <c r="T292" s="304">
        <f t="shared" ca="1" si="117"/>
        <v>77.362661187266639</v>
      </c>
      <c r="U292" s="311">
        <f t="shared" ca="1" si="118"/>
        <v>0</v>
      </c>
      <c r="V292" s="306">
        <f t="shared" ca="1" si="119"/>
        <v>1.1896843592861095</v>
      </c>
      <c r="W292" s="304">
        <f t="shared" ca="1" si="120"/>
        <v>127.12512176794431</v>
      </c>
      <c r="Y292" s="314" t="str">
        <f t="shared" ca="1" si="138"/>
        <v/>
      </c>
      <c r="Z292" s="315" t="str">
        <f t="shared" ca="1" si="139"/>
        <v/>
      </c>
      <c r="AA292" s="316" t="str">
        <f t="shared" ca="1" si="140"/>
        <v/>
      </c>
      <c r="AC292" s="310" t="e">
        <f t="shared" ca="1" si="141"/>
        <v>#N/A</v>
      </c>
      <c r="AD292" s="323" t="e">
        <f t="shared" ca="1" si="142"/>
        <v>#N/A</v>
      </c>
      <c r="AE292" s="324">
        <f t="shared" ca="1" si="121"/>
        <v>292.50730496578223</v>
      </c>
      <c r="AG292" s="306">
        <f t="shared" ca="1" si="143"/>
        <v>29.713468264151047</v>
      </c>
      <c r="AH292" s="304">
        <f t="shared" ca="1" si="144"/>
        <v>39.268272997510458</v>
      </c>
    </row>
    <row r="293" spans="1:34" x14ac:dyDescent="0.2">
      <c r="A293" s="347">
        <f t="shared" ca="1" si="122"/>
        <v>0.01</v>
      </c>
      <c r="B293" s="304">
        <f t="shared" ca="1" si="123"/>
        <v>2.8899999999999824</v>
      </c>
      <c r="D293" s="306">
        <f t="shared" ca="1" si="124"/>
        <v>8.8355486567834731</v>
      </c>
      <c r="E293" s="307">
        <f t="shared" ca="1" si="125"/>
        <v>28.145174713927013</v>
      </c>
      <c r="F293" s="304">
        <f t="shared" ca="1" si="126"/>
        <v>29.499453888908938</v>
      </c>
      <c r="G293" s="306">
        <f t="shared" ca="1" si="127"/>
        <v>41.148643612821459</v>
      </c>
      <c r="H293" s="307">
        <f t="shared" ca="1" si="128"/>
        <v>176.66556440092933</v>
      </c>
      <c r="I293" s="304">
        <f t="shared" ca="1" si="129"/>
        <v>181.39441148027106</v>
      </c>
      <c r="J293" s="306">
        <f t="shared" ca="1" si="130"/>
        <v>63.800515531902747</v>
      </c>
      <c r="K293" s="307">
        <f t="shared" ca="1" si="131"/>
        <v>294.27255335105582</v>
      </c>
      <c r="L293" s="304">
        <f t="shared" ca="1" si="116"/>
        <v>301.10935129598113</v>
      </c>
      <c r="M293" s="306">
        <f t="shared" ca="1" si="132"/>
        <v>1.3419580297707023</v>
      </c>
      <c r="N293" s="304">
        <f t="shared" ca="1" si="133"/>
        <v>76.888531389552526</v>
      </c>
      <c r="P293" s="310">
        <f t="shared" ca="1" si="134"/>
        <v>7</v>
      </c>
      <c r="Q293" s="304">
        <f t="shared" ca="1" si="135"/>
        <v>434.36170212766319</v>
      </c>
      <c r="R293" s="306">
        <f t="shared" ca="1" si="136"/>
        <v>0.21798590063879481</v>
      </c>
      <c r="S293" s="307">
        <f t="shared" ca="1" si="137"/>
        <v>7.883922198818957</v>
      </c>
      <c r="T293" s="304">
        <f t="shared" ca="1" si="117"/>
        <v>77.34127677041397</v>
      </c>
      <c r="U293" s="311">
        <f t="shared" ca="1" si="118"/>
        <v>0</v>
      </c>
      <c r="V293" s="306">
        <f t="shared" ca="1" si="119"/>
        <v>1.1894743237869327</v>
      </c>
      <c r="W293" s="304">
        <f t="shared" ca="1" si="120"/>
        <v>127.51591234645487</v>
      </c>
      <c r="Y293" s="314" t="str">
        <f t="shared" ca="1" si="138"/>
        <v/>
      </c>
      <c r="Z293" s="315" t="str">
        <f t="shared" ca="1" si="139"/>
        <v/>
      </c>
      <c r="AA293" s="316" t="str">
        <f t="shared" ca="1" si="140"/>
        <v/>
      </c>
      <c r="AC293" s="310" t="e">
        <f t="shared" ca="1" si="141"/>
        <v>#N/A</v>
      </c>
      <c r="AD293" s="323" t="e">
        <f t="shared" ca="1" si="142"/>
        <v>#N/A</v>
      </c>
      <c r="AE293" s="324">
        <f t="shared" ca="1" si="121"/>
        <v>294.27255335105582</v>
      </c>
      <c r="AG293" s="306">
        <f t="shared" ca="1" si="143"/>
        <v>29.415484992867004</v>
      </c>
      <c r="AH293" s="304">
        <f t="shared" ca="1" si="144"/>
        <v>38.970016777403536</v>
      </c>
    </row>
    <row r="294" spans="1:34" x14ac:dyDescent="0.2">
      <c r="A294" s="347">
        <f t="shared" ca="1" si="122"/>
        <v>0.01</v>
      </c>
      <c r="B294" s="304">
        <f t="shared" ca="1" si="123"/>
        <v>2.8999999999999821</v>
      </c>
      <c r="D294" s="306">
        <f t="shared" ca="1" si="124"/>
        <v>8.7726014105784476</v>
      </c>
      <c r="E294" s="307">
        <f t="shared" ca="1" si="125"/>
        <v>27.853855801587692</v>
      </c>
      <c r="F294" s="304">
        <f t="shared" ca="1" si="126"/>
        <v>29.202668003532199</v>
      </c>
      <c r="G294" s="306">
        <f t="shared" ca="1" si="127"/>
        <v>41.236369626927242</v>
      </c>
      <c r="H294" s="307">
        <f t="shared" ca="1" si="128"/>
        <v>176.94410295894519</v>
      </c>
      <c r="I294" s="304">
        <f t="shared" ca="1" si="129"/>
        <v>181.6855903806198</v>
      </c>
      <c r="J294" s="306">
        <f t="shared" ca="1" si="130"/>
        <v>64.212440598101495</v>
      </c>
      <c r="K294" s="307">
        <f t="shared" ca="1" si="131"/>
        <v>296.0406016878552</v>
      </c>
      <c r="L294" s="304">
        <f t="shared" ca="1" si="116"/>
        <v>302.92453742685166</v>
      </c>
      <c r="M294" s="306">
        <f t="shared" ca="1" si="132"/>
        <v>1.3418355455494826</v>
      </c>
      <c r="N294" s="304">
        <f t="shared" ca="1" si="133"/>
        <v>76.88151356061968</v>
      </c>
      <c r="P294" s="310">
        <f t="shared" ca="1" si="134"/>
        <v>7</v>
      </c>
      <c r="Q294" s="304">
        <f t="shared" ca="1" si="135"/>
        <v>432.31914893617386</v>
      </c>
      <c r="R294" s="306">
        <f t="shared" ca="1" si="136"/>
        <v>0.21696083835805396</v>
      </c>
      <c r="S294" s="307">
        <f t="shared" ca="1" si="137"/>
        <v>7.8817525904353767</v>
      </c>
      <c r="T294" s="304">
        <f t="shared" ca="1" si="117"/>
        <v>77.319992912171045</v>
      </c>
      <c r="U294" s="311">
        <f t="shared" ca="1" si="118"/>
        <v>0</v>
      </c>
      <c r="V294" s="306">
        <f t="shared" ca="1" si="119"/>
        <v>1.1892639917622687</v>
      </c>
      <c r="W294" s="304">
        <f t="shared" ca="1" si="120"/>
        <v>127.9030036670022</v>
      </c>
      <c r="Y294" s="314" t="str">
        <f t="shared" ca="1" si="138"/>
        <v/>
      </c>
      <c r="Z294" s="315" t="str">
        <f t="shared" ca="1" si="139"/>
        <v/>
      </c>
      <c r="AA294" s="316" t="str">
        <f t="shared" ca="1" si="140"/>
        <v/>
      </c>
      <c r="AC294" s="310" t="e">
        <f t="shared" ca="1" si="141"/>
        <v>#N/A</v>
      </c>
      <c r="AD294" s="323" t="e">
        <f t="shared" ca="1" si="142"/>
        <v>#N/A</v>
      </c>
      <c r="AE294" s="324">
        <f t="shared" ca="1" si="121"/>
        <v>296.0406016878552</v>
      </c>
      <c r="AG294" s="306">
        <f t="shared" ca="1" si="143"/>
        <v>29.117753749019322</v>
      </c>
      <c r="AH294" s="304">
        <f t="shared" ca="1" si="144"/>
        <v>38.672012739857152</v>
      </c>
    </row>
    <row r="295" spans="1:34" x14ac:dyDescent="0.2">
      <c r="A295" s="347">
        <f t="shared" ca="1" si="122"/>
        <v>0.01</v>
      </c>
      <c r="B295" s="304">
        <f t="shared" ca="1" si="123"/>
        <v>2.9099999999999819</v>
      </c>
      <c r="D295" s="306">
        <f t="shared" ca="1" si="124"/>
        <v>8.709635900082306</v>
      </c>
      <c r="E295" s="307">
        <f t="shared" ca="1" si="125"/>
        <v>27.562802828713181</v>
      </c>
      <c r="F295" s="304">
        <f t="shared" ca="1" si="126"/>
        <v>28.90615604480336</v>
      </c>
      <c r="G295" s="306">
        <f t="shared" ca="1" si="127"/>
        <v>41.323465985928067</v>
      </c>
      <c r="H295" s="307">
        <f t="shared" ca="1" si="128"/>
        <v>177.21973098723234</v>
      </c>
      <c r="I295" s="304">
        <f t="shared" ca="1" si="129"/>
        <v>181.97379452074176</v>
      </c>
      <c r="J295" s="306">
        <f t="shared" ca="1" si="130"/>
        <v>64.62523977616577</v>
      </c>
      <c r="K295" s="307">
        <f t="shared" ca="1" si="131"/>
        <v>297.81142085758609</v>
      </c>
      <c r="L295" s="304">
        <f t="shared" ca="1" si="116"/>
        <v>304.74261928608081</v>
      </c>
      <c r="M295" s="306">
        <f t="shared" ca="1" si="132"/>
        <v>1.3417131910071931</v>
      </c>
      <c r="N295" s="304">
        <f t="shared" ca="1" si="133"/>
        <v>76.87450316174224</v>
      </c>
      <c r="P295" s="310">
        <f t="shared" ca="1" si="134"/>
        <v>7</v>
      </c>
      <c r="Q295" s="304">
        <f t="shared" ca="1" si="135"/>
        <v>430.27659574468453</v>
      </c>
      <c r="R295" s="306">
        <f t="shared" ca="1" si="136"/>
        <v>0.21593577607731315</v>
      </c>
      <c r="S295" s="307">
        <f t="shared" ca="1" si="137"/>
        <v>7.8795932326746039</v>
      </c>
      <c r="T295" s="304">
        <f t="shared" ca="1" si="117"/>
        <v>77.298809612537866</v>
      </c>
      <c r="U295" s="311">
        <f t="shared" ca="1" si="118"/>
        <v>0</v>
      </c>
      <c r="V295" s="306">
        <f t="shared" ca="1" si="119"/>
        <v>1.1890533668397705</v>
      </c>
      <c r="W295" s="304">
        <f t="shared" ca="1" si="120"/>
        <v>128.2863811313924</v>
      </c>
      <c r="Y295" s="314" t="str">
        <f t="shared" ca="1" si="138"/>
        <v/>
      </c>
      <c r="Z295" s="315" t="str">
        <f t="shared" ca="1" si="139"/>
        <v/>
      </c>
      <c r="AA295" s="316" t="str">
        <f t="shared" ca="1" si="140"/>
        <v/>
      </c>
      <c r="AC295" s="310" t="e">
        <f t="shared" ca="1" si="141"/>
        <v>#N/A</v>
      </c>
      <c r="AD295" s="323" t="e">
        <f t="shared" ca="1" si="142"/>
        <v>#N/A</v>
      </c>
      <c r="AE295" s="324">
        <f t="shared" ca="1" si="121"/>
        <v>297.81142085758609</v>
      </c>
      <c r="AG295" s="306">
        <f t="shared" ca="1" si="143"/>
        <v>28.820277799043453</v>
      </c>
      <c r="AH295" s="304">
        <f t="shared" ca="1" si="144"/>
        <v>38.374264146506761</v>
      </c>
    </row>
    <row r="296" spans="1:34" x14ac:dyDescent="0.2">
      <c r="A296" s="347">
        <f t="shared" ca="1" si="122"/>
        <v>0.01</v>
      </c>
      <c r="B296" s="304">
        <f t="shared" ca="1" si="123"/>
        <v>2.9199999999999817</v>
      </c>
      <c r="D296" s="306">
        <f t="shared" ca="1" si="124"/>
        <v>8.646653154642836</v>
      </c>
      <c r="E296" s="307">
        <f t="shared" ca="1" si="125"/>
        <v>27.272018883109268</v>
      </c>
      <c r="F296" s="304">
        <f t="shared" ca="1" si="126"/>
        <v>28.609921788382497</v>
      </c>
      <c r="G296" s="306">
        <f t="shared" ca="1" si="127"/>
        <v>41.409932517474495</v>
      </c>
      <c r="H296" s="307">
        <f t="shared" ca="1" si="128"/>
        <v>177.49245117606344</v>
      </c>
      <c r="I296" s="304">
        <f t="shared" ca="1" si="129"/>
        <v>182.25902648590289</v>
      </c>
      <c r="J296" s="306">
        <f t="shared" ca="1" si="130"/>
        <v>65.038906768682779</v>
      </c>
      <c r="K296" s="307">
        <f t="shared" ca="1" si="131"/>
        <v>299.58498176840254</v>
      </c>
      <c r="L296" s="304">
        <f t="shared" ca="1" si="116"/>
        <v>306.56356713549553</v>
      </c>
      <c r="M296" s="306">
        <f t="shared" ca="1" si="132"/>
        <v>1.3415909638103496</v>
      </c>
      <c r="N296" s="304">
        <f t="shared" ca="1" si="133"/>
        <v>76.867500059221399</v>
      </c>
      <c r="P296" s="310">
        <f t="shared" ca="1" si="134"/>
        <v>7</v>
      </c>
      <c r="Q296" s="304">
        <f t="shared" ca="1" si="135"/>
        <v>428.23404255319525</v>
      </c>
      <c r="R296" s="306">
        <f t="shared" ca="1" si="136"/>
        <v>0.21491071379657237</v>
      </c>
      <c r="S296" s="307">
        <f t="shared" ca="1" si="137"/>
        <v>7.8774441255366385</v>
      </c>
      <c r="T296" s="304">
        <f t="shared" ca="1" si="117"/>
        <v>77.277726871514432</v>
      </c>
      <c r="U296" s="311">
        <f t="shared" ca="1" si="118"/>
        <v>0</v>
      </c>
      <c r="V296" s="306">
        <f t="shared" ca="1" si="119"/>
        <v>1.1888424526416774</v>
      </c>
      <c r="W296" s="304">
        <f t="shared" ca="1" si="120"/>
        <v>128.66603043695162</v>
      </c>
      <c r="Y296" s="314" t="str">
        <f t="shared" ca="1" si="138"/>
        <v/>
      </c>
      <c r="Z296" s="315" t="str">
        <f t="shared" ca="1" si="139"/>
        <v/>
      </c>
      <c r="AA296" s="316" t="str">
        <f t="shared" ca="1" si="140"/>
        <v/>
      </c>
      <c r="AC296" s="310" t="e">
        <f t="shared" ca="1" si="141"/>
        <v>#N/A</v>
      </c>
      <c r="AD296" s="323" t="e">
        <f t="shared" ca="1" si="142"/>
        <v>#N/A</v>
      </c>
      <c r="AE296" s="324">
        <f t="shared" ca="1" si="121"/>
        <v>299.58498176840254</v>
      </c>
      <c r="AG296" s="306">
        <f t="shared" ca="1" si="143"/>
        <v>28.523060373287578</v>
      </c>
      <c r="AH296" s="304">
        <f t="shared" ca="1" si="144"/>
        <v>38.07677422292975</v>
      </c>
    </row>
    <row r="297" spans="1:34" x14ac:dyDescent="0.2">
      <c r="A297" s="347">
        <f t="shared" ca="1" si="122"/>
        <v>0.01</v>
      </c>
      <c r="B297" s="304">
        <f t="shared" ca="1" si="123"/>
        <v>2.9299999999999815</v>
      </c>
      <c r="D297" s="306">
        <f t="shared" ca="1" si="124"/>
        <v>8.5836541933525528</v>
      </c>
      <c r="E297" s="307">
        <f t="shared" ca="1" si="125"/>
        <v>26.981507017861652</v>
      </c>
      <c r="F297" s="304">
        <f t="shared" ca="1" si="126"/>
        <v>28.313968995285286</v>
      </c>
      <c r="G297" s="306">
        <f t="shared" ca="1" si="127"/>
        <v>41.495769059408019</v>
      </c>
      <c r="H297" s="307">
        <f t="shared" ca="1" si="128"/>
        <v>177.76226624624206</v>
      </c>
      <c r="I297" s="304">
        <f t="shared" ca="1" si="129"/>
        <v>182.54128889331196</v>
      </c>
      <c r="J297" s="306">
        <f t="shared" ca="1" si="130"/>
        <v>65.453435276567191</v>
      </c>
      <c r="K297" s="307">
        <f t="shared" ca="1" si="131"/>
        <v>301.36125535551406</v>
      </c>
      <c r="L297" s="304">
        <f t="shared" ca="1" si="116"/>
        <v>308.38735126291272</v>
      </c>
      <c r="M297" s="306">
        <f t="shared" ca="1" si="132"/>
        <v>1.341468861643152</v>
      </c>
      <c r="N297" s="304">
        <f t="shared" ca="1" si="133"/>
        <v>76.860504120371573</v>
      </c>
      <c r="P297" s="310">
        <f t="shared" ca="1" si="134"/>
        <v>7</v>
      </c>
      <c r="Q297" s="304">
        <f t="shared" ca="1" si="135"/>
        <v>426.19148936170592</v>
      </c>
      <c r="R297" s="306">
        <f t="shared" ca="1" si="136"/>
        <v>0.21388565151583155</v>
      </c>
      <c r="S297" s="307">
        <f t="shared" ca="1" si="137"/>
        <v>7.8753052690214806</v>
      </c>
      <c r="T297" s="304">
        <f t="shared" ca="1" si="117"/>
        <v>77.256744689100728</v>
      </c>
      <c r="U297" s="311">
        <f t="shared" ca="1" si="118"/>
        <v>0</v>
      </c>
      <c r="V297" s="306">
        <f t="shared" ca="1" si="119"/>
        <v>1.188631252784774</v>
      </c>
      <c r="W297" s="304">
        <f t="shared" ca="1" si="120"/>
        <v>129.04193757545667</v>
      </c>
      <c r="Y297" s="314" t="str">
        <f t="shared" ca="1" si="138"/>
        <v/>
      </c>
      <c r="Z297" s="315" t="str">
        <f t="shared" ca="1" si="139"/>
        <v/>
      </c>
      <c r="AA297" s="316" t="str">
        <f t="shared" ca="1" si="140"/>
        <v/>
      </c>
      <c r="AC297" s="310" t="e">
        <f t="shared" ca="1" si="141"/>
        <v>#N/A</v>
      </c>
      <c r="AD297" s="323" t="e">
        <f t="shared" ca="1" si="142"/>
        <v>#N/A</v>
      </c>
      <c r="AE297" s="324">
        <f t="shared" ca="1" si="121"/>
        <v>301.36125535551406</v>
      </c>
      <c r="AG297" s="306">
        <f t="shared" ca="1" si="143"/>
        <v>28.226104666055562</v>
      </c>
      <c r="AH297" s="304">
        <f t="shared" ca="1" si="144"/>
        <v>37.779546158687801</v>
      </c>
    </row>
    <row r="298" spans="1:34" x14ac:dyDescent="0.2">
      <c r="A298" s="347">
        <f t="shared" ca="1" si="122"/>
        <v>0.01</v>
      </c>
      <c r="B298" s="304">
        <f t="shared" ca="1" si="123"/>
        <v>2.9399999999999813</v>
      </c>
      <c r="D298" s="306">
        <f t="shared" ca="1" si="124"/>
        <v>8.5206400250774532</v>
      </c>
      <c r="E298" s="307">
        <f t="shared" ca="1" si="125"/>
        <v>26.691270251377581</v>
      </c>
      <c r="F298" s="304">
        <f t="shared" ca="1" si="126"/>
        <v>28.01830141298765</v>
      </c>
      <c r="G298" s="306">
        <f t="shared" ca="1" si="127"/>
        <v>41.580975459658795</v>
      </c>
      <c r="H298" s="307">
        <f t="shared" ca="1" si="128"/>
        <v>178.02917894875583</v>
      </c>
      <c r="I298" s="304">
        <f t="shared" ca="1" si="129"/>
        <v>182.82058439176063</v>
      </c>
      <c r="J298" s="306">
        <f t="shared" ca="1" si="130"/>
        <v>65.868818999162528</v>
      </c>
      <c r="K298" s="307">
        <f t="shared" ca="1" si="131"/>
        <v>303.14021258148904</v>
      </c>
      <c r="L298" s="304">
        <f t="shared" ca="1" si="116"/>
        <v>310.21394198245633</v>
      </c>
      <c r="M298" s="306">
        <f t="shared" ca="1" si="132"/>
        <v>1.3413468822071715</v>
      </c>
      <c r="N298" s="304">
        <f t="shared" ca="1" si="133"/>
        <v>76.853515213502504</v>
      </c>
      <c r="P298" s="310">
        <f t="shared" ca="1" si="134"/>
        <v>7</v>
      </c>
      <c r="Q298" s="304">
        <f t="shared" ca="1" si="135"/>
        <v>424.14893617021659</v>
      </c>
      <c r="R298" s="306">
        <f t="shared" ca="1" si="136"/>
        <v>0.21286058923509071</v>
      </c>
      <c r="S298" s="307">
        <f t="shared" ca="1" si="137"/>
        <v>7.8731766631291293</v>
      </c>
      <c r="T298" s="304">
        <f t="shared" ca="1" si="117"/>
        <v>77.235863065296769</v>
      </c>
      <c r="U298" s="311">
        <f t="shared" ca="1" si="118"/>
        <v>0</v>
      </c>
      <c r="V298" s="306">
        <f t="shared" ca="1" si="119"/>
        <v>1.1884197708803483</v>
      </c>
      <c r="W298" s="304">
        <f t="shared" ca="1" si="120"/>
        <v>129.41408883205037</v>
      </c>
      <c r="Y298" s="314" t="str">
        <f t="shared" ca="1" si="138"/>
        <v/>
      </c>
      <c r="Z298" s="315" t="str">
        <f t="shared" ca="1" si="139"/>
        <v/>
      </c>
      <c r="AA298" s="316" t="str">
        <f t="shared" ca="1" si="140"/>
        <v/>
      </c>
      <c r="AC298" s="310" t="e">
        <f t="shared" ca="1" si="141"/>
        <v>#N/A</v>
      </c>
      <c r="AD298" s="323" t="e">
        <f t="shared" ca="1" si="142"/>
        <v>#N/A</v>
      </c>
      <c r="AE298" s="324">
        <f t="shared" ca="1" si="121"/>
        <v>303.14021258148904</v>
      </c>
      <c r="AG298" s="306">
        <f t="shared" ca="1" si="143"/>
        <v>27.92941383565271</v>
      </c>
      <c r="AH298" s="304">
        <f t="shared" ca="1" si="144"/>
        <v>37.482583107372072</v>
      </c>
    </row>
    <row r="299" spans="1:34" x14ac:dyDescent="0.2">
      <c r="A299" s="347">
        <f t="shared" ca="1" si="122"/>
        <v>0.01</v>
      </c>
      <c r="B299" s="304">
        <f t="shared" ca="1" si="123"/>
        <v>2.9499999999999811</v>
      </c>
      <c r="D299" s="306">
        <f t="shared" ca="1" si="124"/>
        <v>8.4576116484858854</v>
      </c>
      <c r="E299" s="307">
        <f t="shared" ca="1" si="125"/>
        <v>26.40131156743022</v>
      </c>
      <c r="F299" s="304">
        <f t="shared" ca="1" si="126"/>
        <v>27.722922776596427</v>
      </c>
      <c r="G299" s="306">
        <f t="shared" ca="1" si="127"/>
        <v>41.665551576143656</v>
      </c>
      <c r="H299" s="307">
        <f t="shared" ca="1" si="128"/>
        <v>178.29319206443012</v>
      </c>
      <c r="I299" s="304">
        <f t="shared" ca="1" si="129"/>
        <v>183.09691566126409</v>
      </c>
      <c r="J299" s="306">
        <f t="shared" ca="1" si="130"/>
        <v>66.285051634341542</v>
      </c>
      <c r="K299" s="307">
        <f t="shared" ca="1" si="131"/>
        <v>304.92182443655497</v>
      </c>
      <c r="L299" s="304">
        <f t="shared" ca="1" si="116"/>
        <v>312.04330963487195</v>
      </c>
      <c r="M299" s="306">
        <f t="shared" ca="1" si="132"/>
        <v>1.3412250232210432</v>
      </c>
      <c r="N299" s="304">
        <f t="shared" ca="1" si="133"/>
        <v>76.846533207901615</v>
      </c>
      <c r="P299" s="310">
        <f t="shared" ca="1" si="134"/>
        <v>7</v>
      </c>
      <c r="Q299" s="304">
        <f t="shared" ca="1" si="135"/>
        <v>422.10638297872731</v>
      </c>
      <c r="R299" s="306">
        <f t="shared" ca="1" si="136"/>
        <v>0.21183552695434993</v>
      </c>
      <c r="S299" s="307">
        <f t="shared" ca="1" si="137"/>
        <v>7.8710583078595855</v>
      </c>
      <c r="T299" s="304">
        <f t="shared" ca="1" si="117"/>
        <v>77.215082000102541</v>
      </c>
      <c r="U299" s="311">
        <f t="shared" ca="1" si="118"/>
        <v>0</v>
      </c>
      <c r="V299" s="306">
        <f t="shared" ca="1" si="119"/>
        <v>1.188208010534151</v>
      </c>
      <c r="W299" s="304">
        <f t="shared" ca="1" si="120"/>
        <v>129.78247078414117</v>
      </c>
      <c r="Y299" s="314" t="str">
        <f t="shared" ca="1" si="138"/>
        <v/>
      </c>
      <c r="Z299" s="315" t="str">
        <f t="shared" ca="1" si="139"/>
        <v/>
      </c>
      <c r="AA299" s="316" t="str">
        <f t="shared" ca="1" si="140"/>
        <v/>
      </c>
      <c r="AC299" s="310" t="e">
        <f t="shared" ca="1" si="141"/>
        <v>#N/A</v>
      </c>
      <c r="AD299" s="323" t="e">
        <f t="shared" ca="1" si="142"/>
        <v>#N/A</v>
      </c>
      <c r="AE299" s="324">
        <f t="shared" ca="1" si="121"/>
        <v>304.92182443655497</v>
      </c>
      <c r="AG299" s="306">
        <f t="shared" ca="1" si="143"/>
        <v>27.63299100443411</v>
      </c>
      <c r="AH299" s="304">
        <f t="shared" ca="1" si="144"/>
        <v>37.185888186650999</v>
      </c>
    </row>
    <row r="300" spans="1:34" x14ac:dyDescent="0.2">
      <c r="A300" s="347">
        <f t="shared" ca="1" si="122"/>
        <v>0.01</v>
      </c>
      <c r="B300" s="304">
        <f t="shared" ca="1" si="123"/>
        <v>2.9599999999999809</v>
      </c>
      <c r="D300" s="306">
        <f t="shared" ca="1" si="124"/>
        <v>8.3945700520774604</v>
      </c>
      <c r="E300" s="307">
        <f t="shared" ca="1" si="125"/>
        <v>26.11163391520585</v>
      </c>
      <c r="F300" s="304">
        <f t="shared" ca="1" si="126"/>
        <v>27.427836810090657</v>
      </c>
      <c r="G300" s="306">
        <f t="shared" ca="1" si="127"/>
        <v>41.749497276664428</v>
      </c>
      <c r="H300" s="307">
        <f t="shared" ca="1" si="128"/>
        <v>178.55430840358218</v>
      </c>
      <c r="I300" s="304">
        <f t="shared" ca="1" si="129"/>
        <v>183.37028541270189</v>
      </c>
      <c r="J300" s="306">
        <f t="shared" ca="1" si="130"/>
        <v>66.702126878605583</v>
      </c>
      <c r="K300" s="307">
        <f t="shared" ca="1" si="131"/>
        <v>306.706061938895</v>
      </c>
      <c r="L300" s="304">
        <f t="shared" ca="1" si="116"/>
        <v>313.8754245878369</v>
      </c>
      <c r="M300" s="306">
        <f t="shared" ca="1" si="132"/>
        <v>1.3411032824201639</v>
      </c>
      <c r="N300" s="304">
        <f t="shared" ca="1" si="133"/>
        <v>76.839557973816682</v>
      </c>
      <c r="P300" s="310">
        <f t="shared" ca="1" si="134"/>
        <v>7</v>
      </c>
      <c r="Q300" s="304">
        <f t="shared" ca="1" si="135"/>
        <v>420.06382978723798</v>
      </c>
      <c r="R300" s="306">
        <f t="shared" ca="1" si="136"/>
        <v>0.21081046467360912</v>
      </c>
      <c r="S300" s="307">
        <f t="shared" ca="1" si="137"/>
        <v>7.8689502032128491</v>
      </c>
      <c r="T300" s="304">
        <f t="shared" ca="1" si="117"/>
        <v>77.194401493518058</v>
      </c>
      <c r="U300" s="311">
        <f t="shared" ca="1" si="118"/>
        <v>0</v>
      </c>
      <c r="V300" s="306">
        <f t="shared" ca="1" si="119"/>
        <v>1.187995975346356</v>
      </c>
      <c r="W300" s="304">
        <f t="shared" ca="1" si="120"/>
        <v>130.14707030028788</v>
      </c>
      <c r="Y300" s="314" t="str">
        <f t="shared" ca="1" si="138"/>
        <v/>
      </c>
      <c r="Z300" s="315" t="str">
        <f t="shared" ca="1" si="139"/>
        <v/>
      </c>
      <c r="AA300" s="316" t="str">
        <f t="shared" ca="1" si="140"/>
        <v/>
      </c>
      <c r="AC300" s="310" t="e">
        <f t="shared" ca="1" si="141"/>
        <v>#N/A</v>
      </c>
      <c r="AD300" s="323" t="e">
        <f t="shared" ca="1" si="142"/>
        <v>#N/A</v>
      </c>
      <c r="AE300" s="324">
        <f t="shared" ca="1" si="121"/>
        <v>306.706061938895</v>
      </c>
      <c r="AG300" s="306">
        <f t="shared" ca="1" si="143"/>
        <v>27.336839258855878</v>
      </c>
      <c r="AH300" s="304">
        <f t="shared" ca="1" si="144"/>
        <v>36.889464478320946</v>
      </c>
    </row>
    <row r="301" spans="1:34" x14ac:dyDescent="0.2">
      <c r="A301" s="347">
        <f t="shared" ca="1" si="122"/>
        <v>0.01</v>
      </c>
      <c r="B301" s="304">
        <f t="shared" ca="1" si="123"/>
        <v>2.9699999999999807</v>
      </c>
      <c r="D301" s="306">
        <f t="shared" ca="1" si="124"/>
        <v>8.3315162142120744</v>
      </c>
      <c r="E301" s="307">
        <f t="shared" ca="1" si="125"/>
        <v>25.82224020935378</v>
      </c>
      <c r="F301" s="304">
        <f t="shared" ca="1" si="126"/>
        <v>27.133047227638215</v>
      </c>
      <c r="G301" s="306">
        <f t="shared" ca="1" si="127"/>
        <v>41.832812438806549</v>
      </c>
      <c r="H301" s="307">
        <f t="shared" ca="1" si="128"/>
        <v>178.81253080567572</v>
      </c>
      <c r="I301" s="304">
        <f t="shared" ca="1" si="129"/>
        <v>183.64069638745954</v>
      </c>
      <c r="J301" s="306">
        <f t="shared" ca="1" si="130"/>
        <v>67.120038427182934</v>
      </c>
      <c r="K301" s="307">
        <f t="shared" ca="1" si="131"/>
        <v>308.4928961349413</v>
      </c>
      <c r="L301" s="304">
        <f t="shared" ca="1" si="116"/>
        <v>315.71025723626752</v>
      </c>
      <c r="M301" s="306">
        <f t="shared" ca="1" si="132"/>
        <v>1.3409816575563951</v>
      </c>
      <c r="N301" s="304">
        <f t="shared" ca="1" si="133"/>
        <v>76.832589382438883</v>
      </c>
      <c r="P301" s="310">
        <f t="shared" ca="1" si="134"/>
        <v>7</v>
      </c>
      <c r="Q301" s="304">
        <f t="shared" ca="1" si="135"/>
        <v>418.02127659574865</v>
      </c>
      <c r="R301" s="306">
        <f t="shared" ca="1" si="136"/>
        <v>0.2097854023928683</v>
      </c>
      <c r="S301" s="307">
        <f t="shared" ca="1" si="137"/>
        <v>7.8668523491889202</v>
      </c>
      <c r="T301" s="304">
        <f t="shared" ca="1" si="117"/>
        <v>77.173821545543305</v>
      </c>
      <c r="U301" s="311">
        <f t="shared" ca="1" si="118"/>
        <v>0</v>
      </c>
      <c r="V301" s="306">
        <f t="shared" ca="1" si="119"/>
        <v>1.1877836689115202</v>
      </c>
      <c r="W301" s="304">
        <f t="shared" ca="1" si="120"/>
        <v>130.50787453906969</v>
      </c>
      <c r="Y301" s="314" t="str">
        <f t="shared" ca="1" si="138"/>
        <v/>
      </c>
      <c r="Z301" s="315" t="str">
        <f t="shared" ca="1" si="139"/>
        <v/>
      </c>
      <c r="AA301" s="316" t="str">
        <f t="shared" ca="1" si="140"/>
        <v/>
      </c>
      <c r="AC301" s="310" t="e">
        <f t="shared" ca="1" si="141"/>
        <v>#N/A</v>
      </c>
      <c r="AD301" s="323" t="e">
        <f t="shared" ca="1" si="142"/>
        <v>#N/A</v>
      </c>
      <c r="AE301" s="324">
        <f t="shared" ca="1" si="121"/>
        <v>308.4928961349413</v>
      </c>
      <c r="AG301" s="306">
        <f t="shared" ca="1" si="143"/>
        <v>27.040961649529056</v>
      </c>
      <c r="AH301" s="304">
        <f t="shared" ca="1" si="144"/>
        <v>36.593315028359584</v>
      </c>
    </row>
    <row r="302" spans="1:34" x14ac:dyDescent="0.2">
      <c r="A302" s="347">
        <f t="shared" ca="1" si="122"/>
        <v>0.01</v>
      </c>
      <c r="B302" s="304">
        <f t="shared" ca="1" si="123"/>
        <v>2.9799999999999804</v>
      </c>
      <c r="D302" s="306">
        <f t="shared" ca="1" si="124"/>
        <v>8.177120880076945</v>
      </c>
      <c r="E302" s="307">
        <f t="shared" ca="1" si="125"/>
        <v>25.142746278041244</v>
      </c>
      <c r="F302" s="304">
        <f t="shared" ca="1" si="126"/>
        <v>26.43904302900064</v>
      </c>
      <c r="G302" s="306">
        <f t="shared" ca="1" si="127"/>
        <v>41.914583647607316</v>
      </c>
      <c r="H302" s="307">
        <f t="shared" ca="1" si="128"/>
        <v>179.06395826845613</v>
      </c>
      <c r="I302" s="304">
        <f t="shared" ca="1" si="129"/>
        <v>183.90414207711493</v>
      </c>
      <c r="J302" s="306">
        <f t="shared" ca="1" si="130"/>
        <v>67.538775407615006</v>
      </c>
      <c r="K302" s="307">
        <f t="shared" ca="1" si="131"/>
        <v>310.28227858031198</v>
      </c>
      <c r="L302" s="304">
        <f t="shared" ca="1" si="116"/>
        <v>317.54775795862673</v>
      </c>
      <c r="M302" s="306">
        <f t="shared" ca="1" si="132"/>
        <v>1.3408601437487147</v>
      </c>
      <c r="N302" s="304">
        <f t="shared" ca="1" si="133"/>
        <v>76.825627154106229</v>
      </c>
      <c r="P302" s="310">
        <f t="shared" ca="1" si="134"/>
        <v>8</v>
      </c>
      <c r="Q302" s="304">
        <f t="shared" ca="1" si="135"/>
        <v>412.82608695653812</v>
      </c>
      <c r="R302" s="306">
        <f t="shared" ca="1" si="136"/>
        <v>0.20717817876577282</v>
      </c>
      <c r="S302" s="307">
        <f t="shared" ca="1" si="137"/>
        <v>7.8647805674012625</v>
      </c>
      <c r="T302" s="304">
        <f t="shared" ca="1" si="117"/>
        <v>77.153497366206395</v>
      </c>
      <c r="U302" s="311">
        <f t="shared" ca="1" si="118"/>
        <v>0</v>
      </c>
      <c r="V302" s="306">
        <f t="shared" ca="1" si="119"/>
        <v>1.187571097137164</v>
      </c>
      <c r="W302" s="304">
        <f t="shared" ca="1" si="120"/>
        <v>130.85916544019008</v>
      </c>
      <c r="Y302" s="314" t="str">
        <f t="shared" ca="1" si="138"/>
        <v/>
      </c>
      <c r="Z302" s="315" t="str">
        <f t="shared" ca="1" si="139"/>
        <v/>
      </c>
      <c r="AA302" s="316" t="str">
        <f t="shared" ca="1" si="140"/>
        <v/>
      </c>
      <c r="AC302" s="310" t="e">
        <f t="shared" ca="1" si="141"/>
        <v>#N/A</v>
      </c>
      <c r="AD302" s="323" t="e">
        <f t="shared" ca="1" si="142"/>
        <v>#N/A</v>
      </c>
      <c r="AE302" s="324">
        <f t="shared" ca="1" si="121"/>
        <v>310.28227858031198</v>
      </c>
      <c r="AG302" s="306">
        <f t="shared" ca="1" si="143"/>
        <v>26.344433192737654</v>
      </c>
      <c r="AH302" s="304">
        <f t="shared" ca="1" si="144"/>
        <v>35.896514848443388</v>
      </c>
    </row>
    <row r="303" spans="1:34" x14ac:dyDescent="0.2">
      <c r="A303" s="347">
        <f t="shared" ca="1" si="122"/>
        <v>0.01</v>
      </c>
      <c r="B303" s="304">
        <f t="shared" ca="1" si="123"/>
        <v>2.9899999999999802</v>
      </c>
      <c r="D303" s="306">
        <f t="shared" ca="1" si="124"/>
        <v>7.9313212985182</v>
      </c>
      <c r="E303" s="307">
        <f t="shared" ca="1" si="125"/>
        <v>24.07352364303285</v>
      </c>
      <c r="F303" s="304">
        <f t="shared" ca="1" si="126"/>
        <v>25.346407992691784</v>
      </c>
      <c r="G303" s="306">
        <f t="shared" ca="1" si="127"/>
        <v>41.9938968605925</v>
      </c>
      <c r="H303" s="307">
        <f t="shared" ca="1" si="128"/>
        <v>179.30469350488647</v>
      </c>
      <c r="I303" s="304">
        <f t="shared" ca="1" si="129"/>
        <v>184.15661944773899</v>
      </c>
      <c r="J303" s="306">
        <f t="shared" ca="1" si="130"/>
        <v>67.958317810156004</v>
      </c>
      <c r="K303" s="307">
        <f t="shared" ca="1" si="131"/>
        <v>312.0741218391787</v>
      </c>
      <c r="L303" s="304">
        <f t="shared" ca="1" si="116"/>
        <v>319.38783709039507</v>
      </c>
      <c r="M303" s="306">
        <f t="shared" ca="1" si="132"/>
        <v>1.3407387335080612</v>
      </c>
      <c r="N303" s="304">
        <f t="shared" ca="1" si="133"/>
        <v>76.818670859727106</v>
      </c>
      <c r="P303" s="310">
        <f t="shared" ca="1" si="134"/>
        <v>8</v>
      </c>
      <c r="Q303" s="304">
        <f t="shared" ca="1" si="135"/>
        <v>404.47826086958179</v>
      </c>
      <c r="R303" s="306">
        <f t="shared" ca="1" si="136"/>
        <v>0.20298879379231038</v>
      </c>
      <c r="S303" s="307">
        <f t="shared" ca="1" si="137"/>
        <v>7.8627506794633391</v>
      </c>
      <c r="T303" s="304">
        <f t="shared" ca="1" si="117"/>
        <v>77.133584165535353</v>
      </c>
      <c r="U303" s="311">
        <f t="shared" ca="1" si="118"/>
        <v>0</v>
      </c>
      <c r="V303" s="306">
        <f t="shared" ca="1" si="119"/>
        <v>1.1873582705577113</v>
      </c>
      <c r="W303" s="304">
        <f t="shared" ca="1" si="120"/>
        <v>131.19520267120205</v>
      </c>
      <c r="Y303" s="314" t="str">
        <f t="shared" ca="1" si="138"/>
        <v/>
      </c>
      <c r="Z303" s="315" t="str">
        <f t="shared" ca="1" si="139"/>
        <v/>
      </c>
      <c r="AA303" s="316" t="str">
        <f t="shared" ca="1" si="140"/>
        <v/>
      </c>
      <c r="AC303" s="310" t="e">
        <f t="shared" ca="1" si="141"/>
        <v>#N/A</v>
      </c>
      <c r="AD303" s="323" t="e">
        <f t="shared" ca="1" si="142"/>
        <v>#N/A</v>
      </c>
      <c r="AE303" s="324">
        <f t="shared" ca="1" si="121"/>
        <v>312.0741218391787</v>
      </c>
      <c r="AG303" s="306">
        <f t="shared" ca="1" si="143"/>
        <v>25.247601334865806</v>
      </c>
      <c r="AH303" s="304">
        <f t="shared" ca="1" si="144"/>
        <v>34.79941137445136</v>
      </c>
    </row>
    <row r="304" spans="1:34" x14ac:dyDescent="0.2">
      <c r="A304" s="347">
        <f t="shared" ca="1" si="122"/>
        <v>0.01</v>
      </c>
      <c r="B304" s="304">
        <f t="shared" ca="1" si="123"/>
        <v>2.99999999999998</v>
      </c>
      <c r="D304" s="306">
        <f t="shared" ca="1" si="124"/>
        <v>7.6855309225844195</v>
      </c>
      <c r="E304" s="307">
        <f t="shared" ca="1" si="125"/>
        <v>23.005524862364091</v>
      </c>
      <c r="F304" s="304">
        <f t="shared" ca="1" si="126"/>
        <v>24.255340850106677</v>
      </c>
      <c r="G304" s="306">
        <f t="shared" ca="1" si="127"/>
        <v>42.070752169818341</v>
      </c>
      <c r="H304" s="307">
        <f t="shared" ca="1" si="128"/>
        <v>179.53474875351012</v>
      </c>
      <c r="I304" s="304">
        <f t="shared" ca="1" si="129"/>
        <v>184.39814044105836</v>
      </c>
      <c r="J304" s="306">
        <f t="shared" ca="1" si="130"/>
        <v>68.378641055308051</v>
      </c>
      <c r="K304" s="307">
        <f t="shared" ca="1" si="131"/>
        <v>313.86831905047069</v>
      </c>
      <c r="L304" s="304">
        <f t="shared" ca="1" si="116"/>
        <v>321.2303850138382</v>
      </c>
      <c r="M304" s="306">
        <f t="shared" ca="1" si="132"/>
        <v>1.34061741939859</v>
      </c>
      <c r="N304" s="304">
        <f t="shared" ca="1" si="133"/>
        <v>76.811720073259025</v>
      </c>
      <c r="P304" s="310">
        <f t="shared" ca="1" si="134"/>
        <v>8</v>
      </c>
      <c r="Q304" s="304">
        <f t="shared" ca="1" si="135"/>
        <v>396.13043478262546</v>
      </c>
      <c r="R304" s="306">
        <f t="shared" ca="1" si="136"/>
        <v>0.19879940881884794</v>
      </c>
      <c r="S304" s="307">
        <f t="shared" ca="1" si="137"/>
        <v>7.8607626853751507</v>
      </c>
      <c r="T304" s="304">
        <f t="shared" ca="1" si="117"/>
        <v>77.114081943530238</v>
      </c>
      <c r="U304" s="311">
        <f t="shared" ca="1" si="118"/>
        <v>0</v>
      </c>
      <c r="V304" s="306">
        <f t="shared" ca="1" si="119"/>
        <v>1.1871452020070201</v>
      </c>
      <c r="W304" s="304">
        <f t="shared" ca="1" si="120"/>
        <v>131.51594830596966</v>
      </c>
      <c r="Y304" s="314" t="str">
        <f t="shared" ca="1" si="138"/>
        <v/>
      </c>
      <c r="Z304" s="315" t="str">
        <f t="shared" ca="1" si="139"/>
        <v/>
      </c>
      <c r="AA304" s="316" t="str">
        <f t="shared" ca="1" si="140"/>
        <v/>
      </c>
      <c r="AC304" s="310">
        <f t="shared" ca="1" si="141"/>
        <v>2.99999999999998</v>
      </c>
      <c r="AD304" s="323">
        <f t="shared" ca="1" si="142"/>
        <v>68.378641055308051</v>
      </c>
      <c r="AE304" s="324">
        <f t="shared" ca="1" si="121"/>
        <v>313.86831905047069</v>
      </c>
      <c r="AG304" s="306">
        <f t="shared" ca="1" si="143"/>
        <v>24.151963641520631</v>
      </c>
      <c r="AH304" s="304">
        <f t="shared" ca="1" si="144"/>
        <v>33.703502155628236</v>
      </c>
    </row>
    <row r="305" spans="1:34" x14ac:dyDescent="0.2">
      <c r="A305" s="347">
        <f t="shared" ca="1" si="122"/>
        <v>0.01</v>
      </c>
      <c r="B305" s="304">
        <f t="shared" ca="1" si="123"/>
        <v>3.0099999999999798</v>
      </c>
      <c r="D305" s="306">
        <f t="shared" ca="1" si="124"/>
        <v>7.4397560611661433</v>
      </c>
      <c r="E305" s="307">
        <f t="shared" ca="1" si="125"/>
        <v>21.938772397444744</v>
      </c>
      <c r="F305" s="304">
        <f t="shared" ca="1" si="126"/>
        <v>23.165916872779757</v>
      </c>
      <c r="G305" s="306">
        <f t="shared" ca="1" si="127"/>
        <v>42.145149730430006</v>
      </c>
      <c r="H305" s="307">
        <f t="shared" ca="1" si="128"/>
        <v>179.75413647748456</v>
      </c>
      <c r="I305" s="304">
        <f t="shared" ca="1" si="129"/>
        <v>184.62871723154691</v>
      </c>
      <c r="J305" s="306">
        <f t="shared" ca="1" si="130"/>
        <v>68.799720564809292</v>
      </c>
      <c r="K305" s="307">
        <f t="shared" ca="1" si="131"/>
        <v>315.66476347662564</v>
      </c>
      <c r="L305" s="304">
        <f t="shared" ca="1" si="116"/>
        <v>323.07529223162493</v>
      </c>
      <c r="M305" s="306">
        <f t="shared" ca="1" si="132"/>
        <v>1.340496194034895</v>
      </c>
      <c r="N305" s="304">
        <f t="shared" ca="1" si="133"/>
        <v>76.804774371549357</v>
      </c>
      <c r="P305" s="310">
        <f t="shared" ca="1" si="134"/>
        <v>8</v>
      </c>
      <c r="Q305" s="304">
        <f t="shared" ca="1" si="135"/>
        <v>387.78260869566913</v>
      </c>
      <c r="R305" s="306">
        <f t="shared" ca="1" si="136"/>
        <v>0.1946100238453855</v>
      </c>
      <c r="S305" s="307">
        <f t="shared" ca="1" si="137"/>
        <v>7.8588165851366965</v>
      </c>
      <c r="T305" s="304">
        <f t="shared" ca="1" si="117"/>
        <v>77.094990700190991</v>
      </c>
      <c r="U305" s="311">
        <f t="shared" ca="1" si="118"/>
        <v>0</v>
      </c>
      <c r="V305" s="306">
        <f t="shared" ca="1" si="119"/>
        <v>1.1869319042954425</v>
      </c>
      <c r="W305" s="304">
        <f t="shared" ca="1" si="120"/>
        <v>131.82136769227051</v>
      </c>
      <c r="Y305" s="314" t="str">
        <f t="shared" ca="1" si="138"/>
        <v/>
      </c>
      <c r="Z305" s="315" t="str">
        <f t="shared" ca="1" si="139"/>
        <v/>
      </c>
      <c r="AA305" s="316" t="str">
        <f t="shared" ca="1" si="140"/>
        <v/>
      </c>
      <c r="AC305" s="310" t="e">
        <f t="shared" ca="1" si="141"/>
        <v>#N/A</v>
      </c>
      <c r="AD305" s="323" t="e">
        <f t="shared" ca="1" si="142"/>
        <v>#N/A</v>
      </c>
      <c r="AE305" s="324">
        <f t="shared" ca="1" si="121"/>
        <v>315.66476347662564</v>
      </c>
      <c r="AG305" s="306">
        <f t="shared" ca="1" si="143"/>
        <v>23.057543387472283</v>
      </c>
      <c r="AH305" s="304">
        <f t="shared" ca="1" si="144"/>
        <v>32.608810450465803</v>
      </c>
    </row>
    <row r="306" spans="1:34" x14ac:dyDescent="0.2">
      <c r="A306" s="347">
        <f t="shared" ca="1" si="122"/>
        <v>0.01</v>
      </c>
      <c r="B306" s="304">
        <f t="shared" ca="1" si="123"/>
        <v>3.0199999999999796</v>
      </c>
      <c r="D306" s="306">
        <f t="shared" ca="1" si="124"/>
        <v>7.1940029014242279</v>
      </c>
      <c r="E306" s="307">
        <f t="shared" ca="1" si="125"/>
        <v>20.873288293749674</v>
      </c>
      <c r="F306" s="304">
        <f t="shared" ca="1" si="126"/>
        <v>22.078220986748171</v>
      </c>
      <c r="G306" s="306">
        <f t="shared" ca="1" si="127"/>
        <v>42.217089759444249</v>
      </c>
      <c r="H306" s="307">
        <f t="shared" ca="1" si="128"/>
        <v>179.96286936042205</v>
      </c>
      <c r="I306" s="304">
        <f t="shared" ca="1" si="129"/>
        <v>184.84836222210168</v>
      </c>
      <c r="J306" s="306">
        <f t="shared" ca="1" si="130"/>
        <v>69.221531762258664</v>
      </c>
      <c r="K306" s="307">
        <f t="shared" ca="1" si="131"/>
        <v>317.46334850581519</v>
      </c>
      <c r="L306" s="304">
        <f t="shared" ca="1" si="116"/>
        <v>324.92244936913494</v>
      </c>
      <c r="M306" s="306">
        <f t="shared" ca="1" si="132"/>
        <v>1.3403750500792795</v>
      </c>
      <c r="N306" s="304">
        <f t="shared" ca="1" si="133"/>
        <v>76.797833334179074</v>
      </c>
      <c r="P306" s="310">
        <f t="shared" ca="1" si="134"/>
        <v>8</v>
      </c>
      <c r="Q306" s="304">
        <f t="shared" ca="1" si="135"/>
        <v>379.43478260871274</v>
      </c>
      <c r="R306" s="306">
        <f t="shared" ca="1" si="136"/>
        <v>0.19042063887192304</v>
      </c>
      <c r="S306" s="307">
        <f t="shared" ca="1" si="137"/>
        <v>7.8569123787479773</v>
      </c>
      <c r="T306" s="304">
        <f t="shared" ca="1" si="117"/>
        <v>77.076310435517655</v>
      </c>
      <c r="U306" s="311">
        <f t="shared" ca="1" si="118"/>
        <v>0</v>
      </c>
      <c r="V306" s="306">
        <f t="shared" ca="1" si="119"/>
        <v>1.1867183902095513</v>
      </c>
      <c r="W306" s="304">
        <f t="shared" ca="1" si="120"/>
        <v>132.11142943298671</v>
      </c>
      <c r="Y306" s="314" t="str">
        <f t="shared" ca="1" si="138"/>
        <v/>
      </c>
      <c r="Z306" s="315" t="str">
        <f t="shared" ca="1" si="139"/>
        <v/>
      </c>
      <c r="AA306" s="316" t="str">
        <f t="shared" ca="1" si="140"/>
        <v/>
      </c>
      <c r="AC306" s="310" t="e">
        <f t="shared" ca="1" si="141"/>
        <v>#N/A</v>
      </c>
      <c r="AD306" s="323" t="e">
        <f t="shared" ca="1" si="142"/>
        <v>#N/A</v>
      </c>
      <c r="AE306" s="324">
        <f t="shared" ca="1" si="121"/>
        <v>317.46334850581519</v>
      </c>
      <c r="AG306" s="306">
        <f t="shared" ca="1" si="143"/>
        <v>21.964363415061001</v>
      </c>
      <c r="AH306" s="304">
        <f t="shared" ca="1" si="144"/>
        <v>31.515359085104137</v>
      </c>
    </row>
    <row r="307" spans="1:34" x14ac:dyDescent="0.2">
      <c r="A307" s="347">
        <f t="shared" ca="1" si="122"/>
        <v>0.01</v>
      </c>
      <c r="B307" s="304">
        <f t="shared" ca="1" si="123"/>
        <v>3.0299999999999794</v>
      </c>
      <c r="D307" s="306">
        <f t="shared" ca="1" si="124"/>
        <v>6.9482775091024864</v>
      </c>
      <c r="E307" s="307">
        <f t="shared" ca="1" si="125"/>
        <v>19.809094181423049</v>
      </c>
      <c r="F307" s="304">
        <f t="shared" ca="1" si="126"/>
        <v>20.992350336062611</v>
      </c>
      <c r="G307" s="306">
        <f t="shared" ca="1" si="127"/>
        <v>42.286572534535274</v>
      </c>
      <c r="H307" s="307">
        <f t="shared" ca="1" si="128"/>
        <v>180.16096030223628</v>
      </c>
      <c r="I307" s="304">
        <f t="shared" ca="1" si="129"/>
        <v>185.05708803972482</v>
      </c>
      <c r="J307" s="306">
        <f t="shared" ca="1" si="130"/>
        <v>69.644050073728565</v>
      </c>
      <c r="K307" s="307">
        <f t="shared" ca="1" si="131"/>
        <v>319.26396765412846</v>
      </c>
      <c r="L307" s="304">
        <f t="shared" ca="1" si="116"/>
        <v>326.77174717672335</v>
      </c>
      <c r="M307" s="306">
        <f t="shared" ca="1" si="132"/>
        <v>1.3402539802390721</v>
      </c>
      <c r="N307" s="304">
        <f t="shared" ca="1" si="133"/>
        <v>76.790896543308861</v>
      </c>
      <c r="P307" s="310">
        <f t="shared" ca="1" si="134"/>
        <v>8</v>
      </c>
      <c r="Q307" s="304">
        <f t="shared" ca="1" si="135"/>
        <v>371.08695652175641</v>
      </c>
      <c r="R307" s="306">
        <f t="shared" ca="1" si="136"/>
        <v>0.1862312538984606</v>
      </c>
      <c r="S307" s="307">
        <f t="shared" ca="1" si="137"/>
        <v>7.8550500662089924</v>
      </c>
      <c r="T307" s="304">
        <f t="shared" ca="1" si="117"/>
        <v>77.058041149510217</v>
      </c>
      <c r="U307" s="311">
        <f t="shared" ca="1" si="118"/>
        <v>0</v>
      </c>
      <c r="V307" s="306">
        <f t="shared" ca="1" si="119"/>
        <v>1.1865046725118695</v>
      </c>
      <c r="W307" s="304">
        <f t="shared" ca="1" si="120"/>
        <v>132.38610536698022</v>
      </c>
      <c r="Y307" s="314" t="str">
        <f t="shared" ca="1" si="138"/>
        <v/>
      </c>
      <c r="Z307" s="315" t="str">
        <f t="shared" ca="1" si="139"/>
        <v/>
      </c>
      <c r="AA307" s="316" t="str">
        <f t="shared" ca="1" si="140"/>
        <v/>
      </c>
      <c r="AC307" s="310" t="e">
        <f t="shared" ca="1" si="141"/>
        <v>#N/A</v>
      </c>
      <c r="AD307" s="323" t="e">
        <f t="shared" ca="1" si="142"/>
        <v>#N/A</v>
      </c>
      <c r="AE307" s="324">
        <f t="shared" ca="1" si="121"/>
        <v>319.26396765412846</v>
      </c>
      <c r="AG307" s="306">
        <f t="shared" ca="1" si="143"/>
        <v>20.872446134844488</v>
      </c>
      <c r="AH307" s="304">
        <f t="shared" ca="1" si="144"/>
        <v>30.423170453973206</v>
      </c>
    </row>
    <row r="308" spans="1:34" x14ac:dyDescent="0.2">
      <c r="A308" s="347">
        <f t="shared" ca="1" si="122"/>
        <v>0.01</v>
      </c>
      <c r="B308" s="304">
        <f t="shared" ca="1" si="123"/>
        <v>3.0399999999999792</v>
      </c>
      <c r="D308" s="306">
        <f t="shared" ca="1" si="124"/>
        <v>6.7025858288422189</v>
      </c>
      <c r="E308" s="307">
        <f t="shared" ca="1" si="125"/>
        <v>18.746211275959475</v>
      </c>
      <c r="F308" s="304">
        <f t="shared" ca="1" si="126"/>
        <v>19.908417666803825</v>
      </c>
      <c r="G308" s="306">
        <f t="shared" ca="1" si="127"/>
        <v>42.353598392823699</v>
      </c>
      <c r="H308" s="307">
        <f t="shared" ca="1" si="128"/>
        <v>180.34842241499587</v>
      </c>
      <c r="I308" s="304">
        <f t="shared" ca="1" si="129"/>
        <v>185.25490753121329</v>
      </c>
      <c r="J308" s="306">
        <f t="shared" ca="1" si="130"/>
        <v>70.067250928365354</v>
      </c>
      <c r="K308" s="307">
        <f t="shared" ca="1" si="131"/>
        <v>321.06651456771465</v>
      </c>
      <c r="L308" s="304">
        <f t="shared" ca="1" si="116"/>
        <v>328.62307653194267</v>
      </c>
      <c r="M308" s="306">
        <f t="shared" ca="1" si="132"/>
        <v>1.3401329772639856</v>
      </c>
      <c r="N308" s="304">
        <f t="shared" ca="1" si="133"/>
        <v>76.783963583527878</v>
      </c>
      <c r="P308" s="310">
        <f t="shared" ca="1" si="134"/>
        <v>8</v>
      </c>
      <c r="Q308" s="304">
        <f t="shared" ca="1" si="135"/>
        <v>362.73913043480007</v>
      </c>
      <c r="R308" s="306">
        <f t="shared" ca="1" si="136"/>
        <v>0.18204186892499816</v>
      </c>
      <c r="S308" s="307">
        <f t="shared" ca="1" si="137"/>
        <v>7.8532296475197425</v>
      </c>
      <c r="T308" s="304">
        <f t="shared" ca="1" si="117"/>
        <v>77.040182842168676</v>
      </c>
      <c r="U308" s="311">
        <f t="shared" ca="1" si="118"/>
        <v>0</v>
      </c>
      <c r="V308" s="306">
        <f t="shared" ca="1" si="119"/>
        <v>1.1862907639406133</v>
      </c>
      <c r="W308" s="304">
        <f t="shared" ca="1" si="120"/>
        <v>132.64537054966664</v>
      </c>
      <c r="Y308" s="314" t="str">
        <f t="shared" ca="1" si="138"/>
        <v/>
      </c>
      <c r="Z308" s="315" t="str">
        <f t="shared" ca="1" si="139"/>
        <v/>
      </c>
      <c r="AA308" s="316" t="str">
        <f t="shared" ca="1" si="140"/>
        <v/>
      </c>
      <c r="AC308" s="310" t="e">
        <f t="shared" ca="1" si="141"/>
        <v>#N/A</v>
      </c>
      <c r="AD308" s="323" t="e">
        <f t="shared" ca="1" si="142"/>
        <v>#N/A</v>
      </c>
      <c r="AE308" s="324">
        <f t="shared" ca="1" si="121"/>
        <v>321.06651456771465</v>
      </c>
      <c r="AG308" s="306">
        <f t="shared" ca="1" si="143"/>
        <v>19.781813526320725</v>
      </c>
      <c r="AH308" s="304">
        <f t="shared" ca="1" si="144"/>
        <v>29.332266520509997</v>
      </c>
    </row>
    <row r="309" spans="1:34" x14ac:dyDescent="0.2">
      <c r="A309" s="347">
        <f t="shared" ca="1" si="122"/>
        <v>0.01</v>
      </c>
      <c r="B309" s="304">
        <f t="shared" ca="1" si="123"/>
        <v>3.049999999999979</v>
      </c>
      <c r="D309" s="306">
        <f t="shared" ca="1" si="124"/>
        <v>6.4569336844986154</v>
      </c>
      <c r="E309" s="307">
        <f t="shared" ca="1" si="125"/>
        <v>17.684660378960423</v>
      </c>
      <c r="F309" s="304">
        <f t="shared" ca="1" si="126"/>
        <v>18.826555854037284</v>
      </c>
      <c r="G309" s="306">
        <f t="shared" ca="1" si="127"/>
        <v>42.418167729668681</v>
      </c>
      <c r="H309" s="307">
        <f t="shared" ca="1" si="128"/>
        <v>180.52526901878548</v>
      </c>
      <c r="I309" s="304">
        <f t="shared" ca="1" si="129"/>
        <v>185.44183375885598</v>
      </c>
      <c r="J309" s="306">
        <f t="shared" ca="1" si="130"/>
        <v>70.491109758977814</v>
      </c>
      <c r="K309" s="307">
        <f t="shared" ca="1" si="131"/>
        <v>322.87088302488354</v>
      </c>
      <c r="L309" s="304">
        <f t="shared" ca="1" si="116"/>
        <v>330.47632844172108</v>
      </c>
      <c r="M309" s="306">
        <f t="shared" ca="1" si="132"/>
        <v>1.3400120339435164</v>
      </c>
      <c r="N309" s="304">
        <f t="shared" ca="1" si="133"/>
        <v>76.777034041704709</v>
      </c>
      <c r="P309" s="310">
        <f t="shared" ca="1" si="134"/>
        <v>8</v>
      </c>
      <c r="Q309" s="304">
        <f t="shared" ca="1" si="135"/>
        <v>354.39130434784374</v>
      </c>
      <c r="R309" s="306">
        <f t="shared" ca="1" si="136"/>
        <v>0.17785248395153572</v>
      </c>
      <c r="S309" s="307">
        <f t="shared" ca="1" si="137"/>
        <v>7.8514511226802268</v>
      </c>
      <c r="T309" s="304">
        <f t="shared" ca="1" si="117"/>
        <v>77.022735513493032</v>
      </c>
      <c r="U309" s="311">
        <f t="shared" ca="1" si="118"/>
        <v>0</v>
      </c>
      <c r="V309" s="306">
        <f t="shared" ca="1" si="119"/>
        <v>1.1860766772094344</v>
      </c>
      <c r="W309" s="304">
        <f t="shared" ca="1" si="120"/>
        <v>132.8892032332954</v>
      </c>
      <c r="Y309" s="314" t="str">
        <f t="shared" ca="1" si="138"/>
        <v/>
      </c>
      <c r="Z309" s="315" t="str">
        <f t="shared" ca="1" si="139"/>
        <v/>
      </c>
      <c r="AA309" s="316" t="str">
        <f t="shared" ca="1" si="140"/>
        <v/>
      </c>
      <c r="AC309" s="310" t="e">
        <f t="shared" ca="1" si="141"/>
        <v>#N/A</v>
      </c>
      <c r="AD309" s="323" t="e">
        <f t="shared" ca="1" si="142"/>
        <v>#N/A</v>
      </c>
      <c r="AE309" s="324">
        <f t="shared" ca="1" si="121"/>
        <v>322.87088302488354</v>
      </c>
      <c r="AG309" s="306">
        <f t="shared" ca="1" si="143"/>
        <v>18.69248713872474</v>
      </c>
      <c r="AH309" s="304">
        <f t="shared" ca="1" si="144"/>
        <v>28.242668817949713</v>
      </c>
    </row>
    <row r="310" spans="1:34" x14ac:dyDescent="0.2">
      <c r="A310" s="347">
        <f t="shared" ca="1" si="122"/>
        <v>0.01</v>
      </c>
      <c r="B310" s="304">
        <f t="shared" ca="1" si="123"/>
        <v>3.0599999999999787</v>
      </c>
      <c r="D310" s="306">
        <f t="shared" ca="1" si="124"/>
        <v>6.2113267794592302</v>
      </c>
      <c r="E310" s="307">
        <f t="shared" ca="1" si="125"/>
        <v>16.624461878964858</v>
      </c>
      <c r="F310" s="304">
        <f t="shared" ca="1" si="126"/>
        <v>17.746924046898471</v>
      </c>
      <c r="G310" s="306">
        <f t="shared" ca="1" si="127"/>
        <v>42.480280997463275</v>
      </c>
      <c r="H310" s="307">
        <f t="shared" ca="1" si="128"/>
        <v>180.69151363757513</v>
      </c>
      <c r="I310" s="304">
        <f t="shared" ca="1" si="129"/>
        <v>185.61787999614003</v>
      </c>
      <c r="J310" s="306">
        <f t="shared" ca="1" si="130"/>
        <v>70.915602002613468</v>
      </c>
      <c r="K310" s="307">
        <f t="shared" ca="1" si="131"/>
        <v>324.67696693816532</v>
      </c>
      <c r="L310" s="304">
        <f t="shared" ca="1" si="116"/>
        <v>332.33139404449827</v>
      </c>
      <c r="M310" s="306">
        <f t="shared" ca="1" si="132"/>
        <v>1.3398911431043798</v>
      </c>
      <c r="N310" s="304">
        <f t="shared" ca="1" si="133"/>
        <v>76.770107506840375</v>
      </c>
      <c r="P310" s="310">
        <f t="shared" ca="1" si="134"/>
        <v>8</v>
      </c>
      <c r="Q310" s="304">
        <f t="shared" ca="1" si="135"/>
        <v>346.04347826088735</v>
      </c>
      <c r="R310" s="306">
        <f t="shared" ca="1" si="136"/>
        <v>0.17366309897807322</v>
      </c>
      <c r="S310" s="307">
        <f t="shared" ca="1" si="137"/>
        <v>7.8497144916904462</v>
      </c>
      <c r="T310" s="304">
        <f t="shared" ca="1" si="117"/>
        <v>77.005699163483285</v>
      </c>
      <c r="U310" s="311">
        <f t="shared" ca="1" si="118"/>
        <v>0</v>
      </c>
      <c r="V310" s="306">
        <f t="shared" ca="1" si="119"/>
        <v>1.1858624250071741</v>
      </c>
      <c r="W310" s="304">
        <f t="shared" ca="1" si="120"/>
        <v>133.1175848469511</v>
      </c>
      <c r="Y310" s="314" t="str">
        <f t="shared" ca="1" si="138"/>
        <v/>
      </c>
      <c r="Z310" s="315" t="str">
        <f t="shared" ca="1" si="139"/>
        <v/>
      </c>
      <c r="AA310" s="316" t="str">
        <f t="shared" ca="1" si="140"/>
        <v/>
      </c>
      <c r="AC310" s="310" t="e">
        <f t="shared" ca="1" si="141"/>
        <v>#N/A</v>
      </c>
      <c r="AD310" s="323" t="e">
        <f t="shared" ca="1" si="142"/>
        <v>#N/A</v>
      </c>
      <c r="AE310" s="324">
        <f t="shared" ca="1" si="121"/>
        <v>324.67696693816532</v>
      </c>
      <c r="AG310" s="306">
        <f t="shared" ca="1" si="143"/>
        <v>17.604488091898276</v>
      </c>
      <c r="AH310" s="304">
        <f t="shared" ca="1" si="144"/>
        <v>27.154398450189863</v>
      </c>
    </row>
    <row r="311" spans="1:34" x14ac:dyDescent="0.2">
      <c r="A311" s="347">
        <f t="shared" ca="1" si="122"/>
        <v>0.01</v>
      </c>
      <c r="B311" s="304">
        <f t="shared" ca="1" si="123"/>
        <v>3.0699999999999785</v>
      </c>
      <c r="D311" s="306">
        <f t="shared" ca="1" si="124"/>
        <v>5.9657706969644453</v>
      </c>
      <c r="E311" s="307">
        <f t="shared" ca="1" si="125"/>
        <v>15.565635752352202</v>
      </c>
      <c r="F311" s="304">
        <f t="shared" ca="1" si="126"/>
        <v>16.669716145863575</v>
      </c>
      <c r="G311" s="306">
        <f t="shared" ca="1" si="127"/>
        <v>42.53993870443292</v>
      </c>
      <c r="H311" s="307">
        <f t="shared" ca="1" si="128"/>
        <v>180.84716999509865</v>
      </c>
      <c r="I311" s="304">
        <f t="shared" ca="1" si="129"/>
        <v>185.78305972346624</v>
      </c>
      <c r="J311" s="306">
        <f t="shared" ca="1" si="130"/>
        <v>71.340703101122955</v>
      </c>
      <c r="K311" s="307">
        <f t="shared" ca="1" si="131"/>
        <v>326.48466035632867</v>
      </c>
      <c r="L311" s="304">
        <f t="shared" ca="1" si="116"/>
        <v>334.18816461231819</v>
      </c>
      <c r="M311" s="306">
        <f t="shared" ca="1" si="132"/>
        <v>1.3397702976079839</v>
      </c>
      <c r="N311" s="304">
        <f t="shared" ca="1" si="133"/>
        <v>76.76318356992374</v>
      </c>
      <c r="P311" s="310">
        <f t="shared" ca="1" si="134"/>
        <v>8</v>
      </c>
      <c r="Q311" s="304">
        <f t="shared" ca="1" si="135"/>
        <v>337.69565217393102</v>
      </c>
      <c r="R311" s="306">
        <f t="shared" ca="1" si="136"/>
        <v>0.16947371400461078</v>
      </c>
      <c r="S311" s="307">
        <f t="shared" ca="1" si="137"/>
        <v>7.8480197545503998</v>
      </c>
      <c r="T311" s="304">
        <f t="shared" ca="1" si="117"/>
        <v>76.989073792139422</v>
      </c>
      <c r="U311" s="311">
        <f t="shared" ca="1" si="118"/>
        <v>0</v>
      </c>
      <c r="V311" s="306">
        <f t="shared" ca="1" si="119"/>
        <v>1.1856480199976214</v>
      </c>
      <c r="W311" s="304">
        <f t="shared" ca="1" si="120"/>
        <v>133.33049997628416</v>
      </c>
      <c r="Y311" s="314" t="str">
        <f t="shared" ca="1" si="138"/>
        <v/>
      </c>
      <c r="Z311" s="315" t="str">
        <f t="shared" ca="1" si="139"/>
        <v/>
      </c>
      <c r="AA311" s="316" t="str">
        <f t="shared" ca="1" si="140"/>
        <v/>
      </c>
      <c r="AC311" s="310" t="e">
        <f t="shared" ca="1" si="141"/>
        <v>#N/A</v>
      </c>
      <c r="AD311" s="323" t="e">
        <f t="shared" ca="1" si="142"/>
        <v>#N/A</v>
      </c>
      <c r="AE311" s="324">
        <f t="shared" ca="1" si="121"/>
        <v>326.48466035632867</v>
      </c>
      <c r="AG311" s="306">
        <f t="shared" ca="1" si="143"/>
        <v>16.517837077230467</v>
      </c>
      <c r="AH311" s="304">
        <f t="shared" ca="1" si="144"/>
        <v>26.067476092725492</v>
      </c>
    </row>
    <row r="312" spans="1:34" x14ac:dyDescent="0.2">
      <c r="A312" s="347">
        <f t="shared" ca="1" si="122"/>
        <v>0.01</v>
      </c>
      <c r="B312" s="304">
        <f t="shared" ca="1" si="123"/>
        <v>3.0799999999999783</v>
      </c>
      <c r="D312" s="306">
        <f t="shared" ca="1" si="124"/>
        <v>5.7202709004299486</v>
      </c>
      <c r="E312" s="307">
        <f t="shared" ca="1" si="125"/>
        <v>14.508201564316545</v>
      </c>
      <c r="F312" s="304">
        <f t="shared" ca="1" si="126"/>
        <v>15.595172708410212</v>
      </c>
      <c r="G312" s="306">
        <f t="shared" ca="1" si="127"/>
        <v>42.597141413437221</v>
      </c>
      <c r="H312" s="307">
        <f t="shared" ca="1" si="128"/>
        <v>180.99225201074182</v>
      </c>
      <c r="I312" s="304">
        <f t="shared" ca="1" si="129"/>
        <v>185.93738662387466</v>
      </c>
      <c r="J312" s="306">
        <f t="shared" ca="1" si="130"/>
        <v>71.766388501712299</v>
      </c>
      <c r="K312" s="307">
        <f t="shared" ca="1" si="131"/>
        <v>328.29385746635785</v>
      </c>
      <c r="L312" s="304">
        <f t="shared" ca="1" si="116"/>
        <v>336.04653155287883</v>
      </c>
      <c r="M312" s="306">
        <f t="shared" ca="1" si="132"/>
        <v>1.3396494903479337</v>
      </c>
      <c r="N312" s="304">
        <f t="shared" ca="1" si="133"/>
        <v>76.756261823788307</v>
      </c>
      <c r="P312" s="310">
        <f t="shared" ca="1" si="134"/>
        <v>8</v>
      </c>
      <c r="Q312" s="304">
        <f t="shared" ca="1" si="135"/>
        <v>329.34782608697469</v>
      </c>
      <c r="R312" s="306">
        <f t="shared" ca="1" si="136"/>
        <v>0.16528432903114834</v>
      </c>
      <c r="S312" s="307">
        <f t="shared" ca="1" si="137"/>
        <v>7.8463669112600885</v>
      </c>
      <c r="T312" s="304">
        <f t="shared" ca="1" si="117"/>
        <v>76.97285939946147</v>
      </c>
      <c r="U312" s="311">
        <f t="shared" ca="1" si="118"/>
        <v>0</v>
      </c>
      <c r="V312" s="306">
        <f t="shared" ca="1" si="119"/>
        <v>1.1854334748192774</v>
      </c>
      <c r="W312" s="304">
        <f t="shared" ca="1" si="120"/>
        <v>133.52793634298348</v>
      </c>
      <c r="Y312" s="314" t="str">
        <f t="shared" ca="1" si="138"/>
        <v/>
      </c>
      <c r="Z312" s="315" t="str">
        <f t="shared" ca="1" si="139"/>
        <v/>
      </c>
      <c r="AA312" s="316" t="str">
        <f t="shared" ca="1" si="140"/>
        <v/>
      </c>
      <c r="AC312" s="310" t="e">
        <f t="shared" ca="1" si="141"/>
        <v>#N/A</v>
      </c>
      <c r="AD312" s="323" t="e">
        <f t="shared" ca="1" si="142"/>
        <v>#N/A</v>
      </c>
      <c r="AE312" s="324">
        <f t="shared" ca="1" si="121"/>
        <v>328.29385746635785</v>
      </c>
      <c r="AG312" s="306">
        <f t="shared" ca="1" si="143"/>
        <v>15.432554358668517</v>
      </c>
      <c r="AH312" s="304">
        <f t="shared" ca="1" si="144"/>
        <v>24.981921993654399</v>
      </c>
    </row>
    <row r="313" spans="1:34" x14ac:dyDescent="0.2">
      <c r="A313" s="347">
        <f t="shared" ca="1" si="122"/>
        <v>0.01</v>
      </c>
      <c r="B313" s="304">
        <f t="shared" ca="1" si="123"/>
        <v>3.0899999999999781</v>
      </c>
      <c r="D313" s="306">
        <f t="shared" ca="1" si="124"/>
        <v>5.4748327337712954</v>
      </c>
      <c r="E313" s="307">
        <f t="shared" ca="1" si="125"/>
        <v>13.452178469910512</v>
      </c>
      <c r="F313" s="304">
        <f t="shared" ca="1" si="126"/>
        <v>14.523598006317085</v>
      </c>
      <c r="G313" s="306">
        <f t="shared" ca="1" si="127"/>
        <v>42.651889740774934</v>
      </c>
      <c r="H313" s="307">
        <f t="shared" ca="1" si="128"/>
        <v>181.12677379544093</v>
      </c>
      <c r="I313" s="304">
        <f t="shared" ca="1" si="129"/>
        <v>186.08087457878105</v>
      </c>
      <c r="J313" s="306">
        <f t="shared" ca="1" si="130"/>
        <v>72.192633657483356</v>
      </c>
      <c r="K313" s="307">
        <f t="shared" ca="1" si="131"/>
        <v>330.10445259538875</v>
      </c>
      <c r="L313" s="304">
        <f t="shared" ca="1" si="116"/>
        <v>337.90638641153981</v>
      </c>
      <c r="M313" s="306">
        <f t="shared" ca="1" si="132"/>
        <v>1.3395287142475674</v>
      </c>
      <c r="N313" s="304">
        <f t="shared" ca="1" si="133"/>
        <v>76.749341862971278</v>
      </c>
      <c r="P313" s="310">
        <f t="shared" ca="1" si="134"/>
        <v>8</v>
      </c>
      <c r="Q313" s="304">
        <f t="shared" ca="1" si="135"/>
        <v>321.00000000001836</v>
      </c>
      <c r="R313" s="306">
        <f t="shared" ca="1" si="136"/>
        <v>0.1610949440576859</v>
      </c>
      <c r="S313" s="307">
        <f t="shared" ca="1" si="137"/>
        <v>7.8447559618195113</v>
      </c>
      <c r="T313" s="304">
        <f t="shared" ca="1" si="117"/>
        <v>76.957055985449415</v>
      </c>
      <c r="U313" s="311">
        <f t="shared" ca="1" si="118"/>
        <v>0</v>
      </c>
      <c r="V313" s="306">
        <f t="shared" ca="1" si="119"/>
        <v>1.1852188020851291</v>
      </c>
      <c r="W313" s="304">
        <f t="shared" ca="1" si="120"/>
        <v>133.7098847840021</v>
      </c>
      <c r="Y313" s="314" t="str">
        <f t="shared" ca="1" si="138"/>
        <v/>
      </c>
      <c r="Z313" s="315" t="str">
        <f t="shared" ca="1" si="139"/>
        <v/>
      </c>
      <c r="AA313" s="316" t="str">
        <f t="shared" ca="1" si="140"/>
        <v/>
      </c>
      <c r="AC313" s="310" t="e">
        <f t="shared" ca="1" si="141"/>
        <v>#N/A</v>
      </c>
      <c r="AD313" s="323" t="e">
        <f t="shared" ca="1" si="142"/>
        <v>#N/A</v>
      </c>
      <c r="AE313" s="324">
        <f t="shared" ca="1" si="121"/>
        <v>330.10445259538875</v>
      </c>
      <c r="AG313" s="306">
        <f t="shared" ca="1" si="143"/>
        <v>14.348659773796777</v>
      </c>
      <c r="AH313" s="304">
        <f t="shared" ca="1" si="144"/>
        <v>23.89775597475089</v>
      </c>
    </row>
    <row r="314" spans="1:34" x14ac:dyDescent="0.2">
      <c r="A314" s="347">
        <f t="shared" ca="1" si="122"/>
        <v>0.01</v>
      </c>
      <c r="B314" s="304">
        <f t="shared" ca="1" si="123"/>
        <v>3.0999999999999779</v>
      </c>
      <c r="D314" s="306">
        <f t="shared" ca="1" si="124"/>
        <v>5.2294614217304352</v>
      </c>
      <c r="E314" s="307">
        <f t="shared" ca="1" si="125"/>
        <v>12.397585215157315</v>
      </c>
      <c r="F314" s="304">
        <f t="shared" ca="1" si="126"/>
        <v>13.455385015987249</v>
      </c>
      <c r="G314" s="306">
        <f t="shared" ca="1" si="127"/>
        <v>42.704184354992236</v>
      </c>
      <c r="H314" s="307">
        <f t="shared" ca="1" si="128"/>
        <v>181.2507496475925</v>
      </c>
      <c r="I314" s="304">
        <f t="shared" ca="1" si="129"/>
        <v>186.21353766372471</v>
      </c>
      <c r="J314" s="306">
        <f t="shared" ca="1" si="130"/>
        <v>72.619414027962193</v>
      </c>
      <c r="K314" s="307">
        <f t="shared" ca="1" si="131"/>
        <v>331.91634021260393</v>
      </c>
      <c r="L314" s="304">
        <f t="shared" ca="1" si="116"/>
        <v>339.76762087328689</v>
      </c>
      <c r="M314" s="306">
        <f t="shared" ca="1" si="132"/>
        <v>1.339407962257521</v>
      </c>
      <c r="N314" s="304">
        <f t="shared" ca="1" si="133"/>
        <v>76.742423283573814</v>
      </c>
      <c r="P314" s="310">
        <f t="shared" ca="1" si="134"/>
        <v>8</v>
      </c>
      <c r="Q314" s="304">
        <f t="shared" ca="1" si="135"/>
        <v>312.65217391306203</v>
      </c>
      <c r="R314" s="306">
        <f t="shared" ca="1" si="136"/>
        <v>0.15690555908422346</v>
      </c>
      <c r="S314" s="307">
        <f t="shared" ca="1" si="137"/>
        <v>7.8431869062286692</v>
      </c>
      <c r="T314" s="304">
        <f t="shared" ca="1" si="117"/>
        <v>76.941663550103243</v>
      </c>
      <c r="U314" s="311">
        <f t="shared" ca="1" si="118"/>
        <v>0</v>
      </c>
      <c r="V314" s="306">
        <f t="shared" ca="1" si="119"/>
        <v>1.1850040143824252</v>
      </c>
      <c r="W314" s="304">
        <f t="shared" ca="1" si="120"/>
        <v>133.87633923054568</v>
      </c>
      <c r="Y314" s="314" t="str">
        <f t="shared" ca="1" si="138"/>
        <v/>
      </c>
      <c r="Z314" s="315" t="str">
        <f t="shared" ca="1" si="139"/>
        <v/>
      </c>
      <c r="AA314" s="316" t="str">
        <f t="shared" ca="1" si="140"/>
        <v/>
      </c>
      <c r="AC314" s="310" t="e">
        <f t="shared" ca="1" si="141"/>
        <v>#N/A</v>
      </c>
      <c r="AD314" s="323" t="e">
        <f t="shared" ca="1" si="142"/>
        <v>#N/A</v>
      </c>
      <c r="AE314" s="324">
        <f t="shared" ca="1" si="121"/>
        <v>331.91634021260393</v>
      </c>
      <c r="AG314" s="306">
        <f t="shared" ca="1" si="143"/>
        <v>13.266172734982829</v>
      </c>
      <c r="AH314" s="304">
        <f t="shared" ca="1" si="144"/>
        <v>22.814997432606489</v>
      </c>
    </row>
    <row r="315" spans="1:34" x14ac:dyDescent="0.2">
      <c r="A315" s="347">
        <f t="shared" ca="1" si="122"/>
        <v>0.01</v>
      </c>
      <c r="B315" s="304">
        <f t="shared" ca="1" si="123"/>
        <v>3.1099999999999777</v>
      </c>
      <c r="D315" s="306">
        <f t="shared" ca="1" si="124"/>
        <v>4.9841620702042135</v>
      </c>
      <c r="E315" s="307">
        <f t="shared" ca="1" si="125"/>
        <v>11.344440138229738</v>
      </c>
      <c r="F315" s="304">
        <f t="shared" ca="1" si="126"/>
        <v>12.391052965423894</v>
      </c>
      <c r="G315" s="306">
        <f t="shared" ca="1" si="127"/>
        <v>42.754025975694276</v>
      </c>
      <c r="H315" s="307">
        <f t="shared" ca="1" si="128"/>
        <v>181.36419404897481</v>
      </c>
      <c r="I315" s="304">
        <f t="shared" ca="1" si="129"/>
        <v>186.33539014412835</v>
      </c>
      <c r="J315" s="306">
        <f t="shared" ca="1" si="130"/>
        <v>73.04670507961562</v>
      </c>
      <c r="K315" s="307">
        <f t="shared" ca="1" si="131"/>
        <v>333.72941493108675</v>
      </c>
      <c r="L315" s="304">
        <f t="shared" ca="1" si="116"/>
        <v>341.63012676465434</v>
      </c>
      <c r="M315" s="306">
        <f t="shared" ca="1" si="132"/>
        <v>1.3392872273533198</v>
      </c>
      <c r="N315" s="304">
        <f t="shared" ca="1" si="133"/>
        <v>76.735505683123165</v>
      </c>
      <c r="P315" s="310">
        <f t="shared" ca="1" si="134"/>
        <v>8</v>
      </c>
      <c r="Q315" s="304">
        <f t="shared" ca="1" si="135"/>
        <v>304.30434782610564</v>
      </c>
      <c r="R315" s="306">
        <f t="shared" ca="1" si="136"/>
        <v>0.15271617411076099</v>
      </c>
      <c r="S315" s="307">
        <f t="shared" ca="1" si="137"/>
        <v>7.8416597444875613</v>
      </c>
      <c r="T315" s="304">
        <f t="shared" ca="1" si="117"/>
        <v>76.926682093422983</v>
      </c>
      <c r="U315" s="311">
        <f t="shared" ca="1" si="118"/>
        <v>0</v>
      </c>
      <c r="V315" s="306">
        <f t="shared" ca="1" si="119"/>
        <v>1.1847891242724626</v>
      </c>
      <c r="W315" s="304">
        <f t="shared" ca="1" si="120"/>
        <v>134.02729668683611</v>
      </c>
      <c r="Y315" s="314" t="str">
        <f t="shared" ca="1" si="138"/>
        <v/>
      </c>
      <c r="Z315" s="315" t="str">
        <f t="shared" ca="1" si="139"/>
        <v/>
      </c>
      <c r="AA315" s="316" t="str">
        <f t="shared" ca="1" si="140"/>
        <v/>
      </c>
      <c r="AC315" s="310" t="e">
        <f t="shared" ca="1" si="141"/>
        <v>#N/A</v>
      </c>
      <c r="AD315" s="323" t="e">
        <f t="shared" ca="1" si="142"/>
        <v>#N/A</v>
      </c>
      <c r="AE315" s="324">
        <f t="shared" ca="1" si="121"/>
        <v>333.72941493108675</v>
      </c>
      <c r="AG315" s="306">
        <f t="shared" ca="1" si="143"/>
        <v>12.185112230589219</v>
      </c>
      <c r="AH315" s="304">
        <f t="shared" ca="1" si="144"/>
        <v>21.733665339836438</v>
      </c>
    </row>
    <row r="316" spans="1:34" x14ac:dyDescent="0.2">
      <c r="A316" s="347">
        <f t="shared" ca="1" si="122"/>
        <v>0.01</v>
      </c>
      <c r="B316" s="304">
        <f t="shared" ca="1" si="123"/>
        <v>3.1199999999999775</v>
      </c>
      <c r="D316" s="306">
        <f t="shared" ca="1" si="124"/>
        <v>4.7389396665747414</v>
      </c>
      <c r="E316" s="307">
        <f t="shared" ca="1" si="125"/>
        <v>10.292761170694371</v>
      </c>
      <c r="F316" s="304">
        <f t="shared" ca="1" si="126"/>
        <v>11.331305382893415</v>
      </c>
      <c r="G316" s="306">
        <f t="shared" ca="1" si="127"/>
        <v>42.801415372360026</v>
      </c>
      <c r="H316" s="307">
        <f t="shared" ca="1" si="128"/>
        <v>181.46712166068176</v>
      </c>
      <c r="I316" s="304">
        <f t="shared" ca="1" si="129"/>
        <v>186.44644647107108</v>
      </c>
      <c r="J316" s="306">
        <f t="shared" ca="1" si="130"/>
        <v>73.474482286355894</v>
      </c>
      <c r="K316" s="307">
        <f t="shared" ca="1" si="131"/>
        <v>335.54357150963506</v>
      </c>
      <c r="L316" s="304">
        <f t="shared" ca="1" si="116"/>
        <v>343.49379605560506</v>
      </c>
      <c r="M316" s="306">
        <f t="shared" ca="1" si="132"/>
        <v>1.3391665025329929</v>
      </c>
      <c r="N316" s="304">
        <f t="shared" ca="1" si="133"/>
        <v>76.72858866043596</v>
      </c>
      <c r="P316" s="310">
        <f t="shared" ca="1" si="134"/>
        <v>8</v>
      </c>
      <c r="Q316" s="304">
        <f t="shared" ca="1" si="135"/>
        <v>295.95652173914931</v>
      </c>
      <c r="R316" s="306">
        <f t="shared" ca="1" si="136"/>
        <v>0.14852678913729855</v>
      </c>
      <c r="S316" s="307">
        <f t="shared" ca="1" si="137"/>
        <v>7.8401744765961885</v>
      </c>
      <c r="T316" s="304">
        <f t="shared" ca="1" si="117"/>
        <v>76.91211161540862</v>
      </c>
      <c r="U316" s="311">
        <f t="shared" ca="1" si="118"/>
        <v>0</v>
      </c>
      <c r="V316" s="306">
        <f t="shared" ca="1" si="119"/>
        <v>1.1845741442903768</v>
      </c>
      <c r="W316" s="304">
        <f t="shared" ca="1" si="120"/>
        <v>134.16275720865985</v>
      </c>
      <c r="Y316" s="314" t="str">
        <f t="shared" ca="1" si="138"/>
        <v/>
      </c>
      <c r="Z316" s="315" t="str">
        <f t="shared" ca="1" si="139"/>
        <v/>
      </c>
      <c r="AA316" s="316" t="str">
        <f t="shared" ca="1" si="140"/>
        <v/>
      </c>
      <c r="AC316" s="310" t="e">
        <f t="shared" ca="1" si="141"/>
        <v>#N/A</v>
      </c>
      <c r="AD316" s="323" t="e">
        <f t="shared" ca="1" si="142"/>
        <v>#N/A</v>
      </c>
      <c r="AE316" s="324">
        <f t="shared" ca="1" si="121"/>
        <v>335.54357150963506</v>
      </c>
      <c r="AG316" s="306">
        <f t="shared" ca="1" si="143"/>
        <v>11.105496826249347</v>
      </c>
      <c r="AH316" s="304">
        <f t="shared" ca="1" si="144"/>
        <v>20.653778246350299</v>
      </c>
    </row>
    <row r="317" spans="1:34" x14ac:dyDescent="0.2">
      <c r="A317" s="347">
        <f t="shared" ca="1" si="122"/>
        <v>0.01</v>
      </c>
      <c r="B317" s="304">
        <f t="shared" ca="1" si="123"/>
        <v>3.1299999999999772</v>
      </c>
      <c r="D317" s="306">
        <f t="shared" ca="1" si="124"/>
        <v>4.4937990800415868</v>
      </c>
      <c r="E317" s="307">
        <f t="shared" ca="1" si="125"/>
        <v>9.2425658388198801</v>
      </c>
      <c r="F317" s="304">
        <f t="shared" ca="1" si="126"/>
        <v>10.277122819967797</v>
      </c>
      <c r="G317" s="306">
        <f t="shared" ca="1" si="127"/>
        <v>42.846353363160439</v>
      </c>
      <c r="H317" s="307">
        <f t="shared" ca="1" si="128"/>
        <v>181.55954731906996</v>
      </c>
      <c r="I317" s="304">
        <f t="shared" ca="1" si="129"/>
        <v>186.5467212770742</v>
      </c>
      <c r="J317" s="306">
        <f t="shared" ca="1" si="130"/>
        <v>73.902721130033498</v>
      </c>
      <c r="K317" s="307">
        <f t="shared" ca="1" si="131"/>
        <v>337.35870485453381</v>
      </c>
      <c r="L317" s="304">
        <f t="shared" ca="1" si="116"/>
        <v>345.35852086136799</v>
      </c>
      <c r="M317" s="306">
        <f t="shared" ca="1" si="132"/>
        <v>1.3390457808147112</v>
      </c>
      <c r="N317" s="304">
        <f t="shared" ca="1" si="133"/>
        <v>76.72167181548285</v>
      </c>
      <c r="P317" s="310">
        <f t="shared" ca="1" si="134"/>
        <v>8</v>
      </c>
      <c r="Q317" s="304">
        <f t="shared" ca="1" si="135"/>
        <v>287.60869565219298</v>
      </c>
      <c r="R317" s="306">
        <f t="shared" ca="1" si="136"/>
        <v>0.14433740416383611</v>
      </c>
      <c r="S317" s="307">
        <f t="shared" ca="1" si="137"/>
        <v>7.8387311025545499</v>
      </c>
      <c r="T317" s="304">
        <f t="shared" ca="1" si="117"/>
        <v>76.897952116060139</v>
      </c>
      <c r="U317" s="311">
        <f t="shared" ca="1" si="118"/>
        <v>0</v>
      </c>
      <c r="V317" s="306">
        <f t="shared" ca="1" si="119"/>
        <v>1.1843590869449376</v>
      </c>
      <c r="W317" s="304">
        <f t="shared" ca="1" si="120"/>
        <v>134.28272388171155</v>
      </c>
      <c r="Y317" s="314" t="str">
        <f t="shared" ca="1" si="138"/>
        <v/>
      </c>
      <c r="Z317" s="315" t="str">
        <f t="shared" ca="1" si="139"/>
        <v/>
      </c>
      <c r="AA317" s="316" t="str">
        <f t="shared" ca="1" si="140"/>
        <v/>
      </c>
      <c r="AC317" s="310" t="e">
        <f t="shared" ca="1" si="141"/>
        <v>#N/A</v>
      </c>
      <c r="AD317" s="323" t="e">
        <f t="shared" ca="1" si="142"/>
        <v>#N/A</v>
      </c>
      <c r="AE317" s="324">
        <f t="shared" ca="1" si="121"/>
        <v>337.35870485453381</v>
      </c>
      <c r="AG317" s="306">
        <f t="shared" ca="1" si="143"/>
        <v>10.02734466620611</v>
      </c>
      <c r="AH317" s="304">
        <f t="shared" ca="1" si="144"/>
        <v>19.575354280685417</v>
      </c>
    </row>
    <row r="318" spans="1:34" x14ac:dyDescent="0.2">
      <c r="A318" s="347">
        <f t="shared" ca="1" si="122"/>
        <v>0.01</v>
      </c>
      <c r="B318" s="304">
        <f t="shared" ca="1" si="123"/>
        <v>3.139999999999977</v>
      </c>
      <c r="D318" s="306">
        <f t="shared" ca="1" si="124"/>
        <v>4.2487450619556713</v>
      </c>
      <c r="E318" s="307">
        <f t="shared" ca="1" si="125"/>
        <v>8.1938712649478465</v>
      </c>
      <c r="F318" s="304">
        <f t="shared" ca="1" si="126"/>
        <v>9.2299166251938978</v>
      </c>
      <c r="G318" s="306">
        <f t="shared" ca="1" si="127"/>
        <v>42.888840813779993</v>
      </c>
      <c r="H318" s="307">
        <f t="shared" ca="1" si="128"/>
        <v>181.64148603171944</v>
      </c>
      <c r="I318" s="304">
        <f t="shared" ca="1" si="129"/>
        <v>186.63622937190166</v>
      </c>
      <c r="J318" s="306">
        <f t="shared" ca="1" si="130"/>
        <v>74.331397100918196</v>
      </c>
      <c r="K318" s="307">
        <f t="shared" ca="1" si="131"/>
        <v>339.17471002128775</v>
      </c>
      <c r="L318" s="304">
        <f t="shared" ca="1" si="116"/>
        <v>347.22419344423429</v>
      </c>
      <c r="M318" s="306">
        <f t="shared" ca="1" si="132"/>
        <v>1.3389250552344452</v>
      </c>
      <c r="N318" s="304">
        <f t="shared" ca="1" si="133"/>
        <v>76.71475474925434</v>
      </c>
      <c r="P318" s="310">
        <f t="shared" ca="1" si="134"/>
        <v>8</v>
      </c>
      <c r="Q318" s="304">
        <f t="shared" ca="1" si="135"/>
        <v>279.26086956523659</v>
      </c>
      <c r="R318" s="306">
        <f t="shared" ca="1" si="136"/>
        <v>0.14014801919037362</v>
      </c>
      <c r="S318" s="307">
        <f t="shared" ca="1" si="137"/>
        <v>7.8373296223626463</v>
      </c>
      <c r="T318" s="304">
        <f t="shared" ca="1" si="117"/>
        <v>76.884203595377571</v>
      </c>
      <c r="U318" s="311">
        <f t="shared" ca="1" si="118"/>
        <v>0</v>
      </c>
      <c r="V318" s="306">
        <f t="shared" ca="1" si="119"/>
        <v>1.1841439647183558</v>
      </c>
      <c r="W318" s="304">
        <f t="shared" ca="1" si="120"/>
        <v>134.38720279974564</v>
      </c>
      <c r="Y318" s="314" t="str">
        <f t="shared" ca="1" si="138"/>
        <v/>
      </c>
      <c r="Z318" s="315" t="str">
        <f t="shared" ca="1" si="139"/>
        <v/>
      </c>
      <c r="AA318" s="316" t="str">
        <f t="shared" ca="1" si="140"/>
        <v/>
      </c>
      <c r="AC318" s="310" t="e">
        <f t="shared" ca="1" si="141"/>
        <v>#N/A</v>
      </c>
      <c r="AD318" s="323" t="e">
        <f t="shared" ca="1" si="142"/>
        <v>#N/A</v>
      </c>
      <c r="AE318" s="324">
        <f t="shared" ca="1" si="121"/>
        <v>339.17471002128775</v>
      </c>
      <c r="AG318" s="306">
        <f t="shared" ca="1" si="143"/>
        <v>8.9506734747120014</v>
      </c>
      <c r="AH318" s="304">
        <f t="shared" ca="1" si="144"/>
        <v>18.498411151401825</v>
      </c>
    </row>
    <row r="319" spans="1:34" x14ac:dyDescent="0.2">
      <c r="A319" s="347">
        <f t="shared" ca="1" si="122"/>
        <v>0.01</v>
      </c>
      <c r="B319" s="304">
        <f t="shared" ca="1" si="123"/>
        <v>3.1499999999999768</v>
      </c>
      <c r="D319" s="306">
        <f t="shared" ca="1" si="124"/>
        <v>4.0037822461547155</v>
      </c>
      <c r="E319" s="307">
        <f t="shared" ca="1" si="125"/>
        <v>7.1466941689245811</v>
      </c>
      <c r="F319" s="304">
        <f t="shared" ca="1" si="126"/>
        <v>8.1917952744660489</v>
      </c>
      <c r="G319" s="306">
        <f t="shared" ca="1" si="127"/>
        <v>42.928878636241542</v>
      </c>
      <c r="H319" s="307">
        <f t="shared" ca="1" si="128"/>
        <v>181.71295297340868</v>
      </c>
      <c r="I319" s="304">
        <f t="shared" ca="1" si="129"/>
        <v>186.71498573837448</v>
      </c>
      <c r="J319" s="306">
        <f t="shared" ca="1" si="130"/>
        <v>74.76048569816831</v>
      </c>
      <c r="K319" s="307">
        <f t="shared" ca="1" si="131"/>
        <v>340.99148221631339</v>
      </c>
      <c r="L319" s="304">
        <f t="shared" ca="1" si="116"/>
        <v>349.09070621531072</v>
      </c>
      <c r="M319" s="306">
        <f t="shared" ca="1" si="132"/>
        <v>1.3388043188436412</v>
      </c>
      <c r="N319" s="304">
        <f t="shared" ca="1" si="133"/>
        <v>76.707837063627622</v>
      </c>
      <c r="P319" s="310">
        <f t="shared" ca="1" si="134"/>
        <v>8</v>
      </c>
      <c r="Q319" s="304">
        <f t="shared" ca="1" si="135"/>
        <v>270.91304347828031</v>
      </c>
      <c r="R319" s="306">
        <f t="shared" ca="1" si="136"/>
        <v>0.13595863421691121</v>
      </c>
      <c r="S319" s="307">
        <f t="shared" ca="1" si="137"/>
        <v>7.8359700360204769</v>
      </c>
      <c r="T319" s="304">
        <f t="shared" ca="1" si="117"/>
        <v>76.870866053360885</v>
      </c>
      <c r="U319" s="311">
        <f t="shared" ca="1" si="118"/>
        <v>0</v>
      </c>
      <c r="V319" s="306">
        <f t="shared" ca="1" si="119"/>
        <v>1.1839287900660909</v>
      </c>
      <c r="W319" s="304">
        <f t="shared" ca="1" si="120"/>
        <v>134.47620304254252</v>
      </c>
      <c r="Y319" s="314" t="str">
        <f t="shared" ca="1" si="138"/>
        <v/>
      </c>
      <c r="Z319" s="315" t="str">
        <f t="shared" ca="1" si="139"/>
        <v/>
      </c>
      <c r="AA319" s="316" t="str">
        <f t="shared" ca="1" si="140"/>
        <v/>
      </c>
      <c r="AC319" s="310" t="e">
        <f t="shared" ca="1" si="141"/>
        <v>#N/A</v>
      </c>
      <c r="AD319" s="323" t="e">
        <f t="shared" ca="1" si="142"/>
        <v>#N/A</v>
      </c>
      <c r="AE319" s="324">
        <f t="shared" ca="1" si="121"/>
        <v>340.99148221631339</v>
      </c>
      <c r="AG319" s="306">
        <f t="shared" ca="1" si="143"/>
        <v>7.8755005574889836</v>
      </c>
      <c r="AH319" s="304">
        <f t="shared" ca="1" si="144"/>
        <v>17.422966148536954</v>
      </c>
    </row>
    <row r="320" spans="1:34" x14ac:dyDescent="0.2">
      <c r="A320" s="347">
        <f t="shared" ca="1" si="122"/>
        <v>0.01</v>
      </c>
      <c r="B320" s="304">
        <f t="shared" ca="1" si="123"/>
        <v>3.1599999999999766</v>
      </c>
      <c r="D320" s="306">
        <f t="shared" ca="1" si="124"/>
        <v>3.7589151493001669</v>
      </c>
      <c r="E320" s="307">
        <f t="shared" ca="1" si="125"/>
        <v>6.1010508695928003</v>
      </c>
      <c r="F320" s="304">
        <f t="shared" ca="1" si="126"/>
        <v>7.1660494564995405</v>
      </c>
      <c r="G320" s="306">
        <f t="shared" ca="1" si="127"/>
        <v>42.966467787734544</v>
      </c>
      <c r="H320" s="307">
        <f t="shared" ca="1" si="128"/>
        <v>181.77396348210459</v>
      </c>
      <c r="I320" s="304">
        <f t="shared" ca="1" si="129"/>
        <v>186.78300552820087</v>
      </c>
      <c r="J320" s="306">
        <f t="shared" ca="1" si="130"/>
        <v>75.18996243028819</v>
      </c>
      <c r="K320" s="307">
        <f t="shared" ca="1" si="131"/>
        <v>342.80891679859093</v>
      </c>
      <c r="L320" s="304">
        <f t="shared" ca="1" si="116"/>
        <v>350.95795173623208</v>
      </c>
      <c r="M320" s="306">
        <f t="shared" ca="1" si="132"/>
        <v>1.3386835647069124</v>
      </c>
      <c r="N320" s="304">
        <f t="shared" ca="1" si="133"/>
        <v>76.700918361234329</v>
      </c>
      <c r="P320" s="310">
        <f t="shared" ca="1" si="134"/>
        <v>8</v>
      </c>
      <c r="Q320" s="304">
        <f t="shared" ca="1" si="135"/>
        <v>262.56521739132393</v>
      </c>
      <c r="R320" s="306">
        <f t="shared" ca="1" si="136"/>
        <v>0.13176924924344874</v>
      </c>
      <c r="S320" s="307">
        <f t="shared" ca="1" si="137"/>
        <v>7.8346523435280426</v>
      </c>
      <c r="T320" s="304">
        <f t="shared" ca="1" si="117"/>
        <v>76.857939490010097</v>
      </c>
      <c r="U320" s="311">
        <f t="shared" ca="1" si="118"/>
        <v>0</v>
      </c>
      <c r="V320" s="306">
        <f t="shared" ca="1" si="119"/>
        <v>1.1837135754166674</v>
      </c>
      <c r="W320" s="304">
        <f t="shared" ca="1" si="120"/>
        <v>134.5497366537038</v>
      </c>
      <c r="Y320" s="314" t="str">
        <f t="shared" ca="1" si="138"/>
        <v/>
      </c>
      <c r="Z320" s="315" t="str">
        <f t="shared" ca="1" si="139"/>
        <v/>
      </c>
      <c r="AA320" s="316" t="str">
        <f t="shared" ca="1" si="140"/>
        <v/>
      </c>
      <c r="AC320" s="310" t="e">
        <f t="shared" ca="1" si="141"/>
        <v>#N/A</v>
      </c>
      <c r="AD320" s="323" t="e">
        <f t="shared" ca="1" si="142"/>
        <v>#N/A</v>
      </c>
      <c r="AE320" s="324">
        <f t="shared" ca="1" si="121"/>
        <v>342.80891679859093</v>
      </c>
      <c r="AG320" s="306">
        <f t="shared" ca="1" si="143"/>
        <v>6.8018428032469949</v>
      </c>
      <c r="AH320" s="304">
        <f t="shared" ca="1" si="144"/>
        <v>16.349036145119019</v>
      </c>
    </row>
    <row r="321" spans="1:34" x14ac:dyDescent="0.2">
      <c r="A321" s="347">
        <f t="shared" ca="1" si="122"/>
        <v>0.01</v>
      </c>
      <c r="B321" s="304">
        <f t="shared" ca="1" si="123"/>
        <v>3.1699999999999764</v>
      </c>
      <c r="D321" s="306">
        <f t="shared" ca="1" si="124"/>
        <v>3.514148171215429</v>
      </c>
      <c r="E321" s="307">
        <f t="shared" ca="1" si="125"/>
        <v>5.0569572863415182</v>
      </c>
      <c r="F321" s="304">
        <f t="shared" ca="1" si="126"/>
        <v>6.1580885317717966</v>
      </c>
      <c r="G321" s="306">
        <f t="shared" ca="1" si="127"/>
        <v>43.001609269446696</v>
      </c>
      <c r="H321" s="307">
        <f t="shared" ca="1" si="128"/>
        <v>181.82453305496801</v>
      </c>
      <c r="I321" s="304">
        <f t="shared" ca="1" si="129"/>
        <v>186.84030405782187</v>
      </c>
      <c r="J321" s="306">
        <f t="shared" ca="1" si="130"/>
        <v>75.61980281557409</v>
      </c>
      <c r="K321" s="307">
        <f t="shared" ca="1" si="131"/>
        <v>344.62690928127631</v>
      </c>
      <c r="L321" s="304">
        <f t="shared" ca="1" si="116"/>
        <v>352.82582272083113</v>
      </c>
      <c r="M321" s="306">
        <f t="shared" ca="1" si="132"/>
        <v>1.3385627858997464</v>
      </c>
      <c r="N321" s="304">
        <f t="shared" ca="1" si="133"/>
        <v>76.693998245329084</v>
      </c>
      <c r="P321" s="310">
        <f t="shared" ca="1" si="134"/>
        <v>8</v>
      </c>
      <c r="Q321" s="304">
        <f t="shared" ca="1" si="135"/>
        <v>254.2173913043676</v>
      </c>
      <c r="R321" s="306">
        <f t="shared" ca="1" si="136"/>
        <v>0.1275798642699863</v>
      </c>
      <c r="S321" s="307">
        <f t="shared" ca="1" si="137"/>
        <v>7.8333765448853425</v>
      </c>
      <c r="T321" s="304">
        <f t="shared" ca="1" si="117"/>
        <v>76.845423905325219</v>
      </c>
      <c r="U321" s="311">
        <f t="shared" ca="1" si="118"/>
        <v>0</v>
      </c>
      <c r="V321" s="306">
        <f t="shared" ca="1" si="119"/>
        <v>1.1834983331715001</v>
      </c>
      <c r="W321" s="304">
        <f t="shared" ca="1" si="120"/>
        <v>134.60781861828409</v>
      </c>
      <c r="Y321" s="314" t="str">
        <f t="shared" ca="1" si="138"/>
        <v/>
      </c>
      <c r="Z321" s="315" t="str">
        <f t="shared" ca="1" si="139"/>
        <v/>
      </c>
      <c r="AA321" s="316" t="str">
        <f t="shared" ca="1" si="140"/>
        <v/>
      </c>
      <c r="AC321" s="310" t="e">
        <f t="shared" ca="1" si="141"/>
        <v>#N/A</v>
      </c>
      <c r="AD321" s="323" t="e">
        <f t="shared" ca="1" si="142"/>
        <v>#N/A</v>
      </c>
      <c r="AE321" s="324">
        <f t="shared" ca="1" si="121"/>
        <v>344.62690928127631</v>
      </c>
      <c r="AG321" s="306">
        <f t="shared" ca="1" si="143"/>
        <v>5.729716685259552</v>
      </c>
      <c r="AH321" s="304">
        <f t="shared" ca="1" si="144"/>
        <v>15.276637598737489</v>
      </c>
    </row>
    <row r="322" spans="1:34" x14ac:dyDescent="0.2">
      <c r="A322" s="347">
        <f t="shared" ca="1" si="122"/>
        <v>0.01</v>
      </c>
      <c r="B322" s="304">
        <f t="shared" ca="1" si="123"/>
        <v>3.1799999999999762</v>
      </c>
      <c r="D322" s="306">
        <f t="shared" ca="1" si="124"/>
        <v>3.2694855952251753</v>
      </c>
      <c r="E322" s="307">
        <f t="shared" ca="1" si="125"/>
        <v>4.0144289407127811</v>
      </c>
      <c r="F322" s="304">
        <f t="shared" ca="1" si="126"/>
        <v>5.1773715124005983</v>
      </c>
      <c r="G322" s="306">
        <f t="shared" ca="1" si="127"/>
        <v>43.034304125398947</v>
      </c>
      <c r="H322" s="307">
        <f t="shared" ca="1" si="128"/>
        <v>181.86467734437514</v>
      </c>
      <c r="I322" s="304">
        <f t="shared" ca="1" si="129"/>
        <v>186.88689680427305</v>
      </c>
      <c r="J322" s="306">
        <f t="shared" ca="1" si="130"/>
        <v>76.049982382548322</v>
      </c>
      <c r="K322" s="307">
        <f t="shared" ca="1" si="131"/>
        <v>346.44535533327303</v>
      </c>
      <c r="L322" s="304">
        <f t="shared" ca="1" si="116"/>
        <v>354.69421203676796</v>
      </c>
      <c r="M322" s="306">
        <f t="shared" ca="1" si="132"/>
        <v>1.3384419755062229</v>
      </c>
      <c r="N322" s="304">
        <f t="shared" ca="1" si="133"/>
        <v>76.687076319658885</v>
      </c>
      <c r="P322" s="310">
        <f t="shared" ca="1" si="134"/>
        <v>8</v>
      </c>
      <c r="Q322" s="304">
        <f t="shared" ca="1" si="135"/>
        <v>245.86956521741126</v>
      </c>
      <c r="R322" s="306">
        <f t="shared" ca="1" si="136"/>
        <v>0.12339047929652386</v>
      </c>
      <c r="S322" s="307">
        <f t="shared" ca="1" si="137"/>
        <v>7.8321426400923775</v>
      </c>
      <c r="T322" s="304">
        <f t="shared" ca="1" si="117"/>
        <v>76.833319299306226</v>
      </c>
      <c r="U322" s="311">
        <f t="shared" ca="1" si="118"/>
        <v>0</v>
      </c>
      <c r="V322" s="306">
        <f t="shared" ca="1" si="119"/>
        <v>1.1832830757047188</v>
      </c>
      <c r="W322" s="304">
        <f t="shared" ca="1" si="120"/>
        <v>134.65046684027004</v>
      </c>
      <c r="Y322" s="314" t="str">
        <f t="shared" ca="1" si="138"/>
        <v/>
      </c>
      <c r="Z322" s="315" t="str">
        <f t="shared" ca="1" si="139"/>
        <v/>
      </c>
      <c r="AA322" s="316" t="str">
        <f t="shared" ca="1" si="140"/>
        <v/>
      </c>
      <c r="AC322" s="310" t="e">
        <f t="shared" ca="1" si="141"/>
        <v>#N/A</v>
      </c>
      <c r="AD322" s="323" t="e">
        <f t="shared" ca="1" si="142"/>
        <v>#N/A</v>
      </c>
      <c r="AE322" s="324">
        <f t="shared" ca="1" si="121"/>
        <v>346.44535533327303</v>
      </c>
      <c r="AG322" s="306">
        <f t="shared" ca="1" si="143"/>
        <v>4.6591382629949525</v>
      </c>
      <c r="AH322" s="304">
        <f t="shared" ca="1" si="144"/>
        <v>14.205786553169171</v>
      </c>
    </row>
    <row r="323" spans="1:34" x14ac:dyDescent="0.2">
      <c r="A323" s="347">
        <f t="shared" ca="1" si="122"/>
        <v>0.01</v>
      </c>
      <c r="B323" s="304">
        <f t="shared" ca="1" si="123"/>
        <v>3.189999999999976</v>
      </c>
      <c r="D323" s="306">
        <f t="shared" ca="1" si="124"/>
        <v>3.0249315884956776</v>
      </c>
      <c r="E323" s="307">
        <f t="shared" ca="1" si="125"/>
        <v>2.9734809580640427</v>
      </c>
      <c r="F323" s="304">
        <f t="shared" ca="1" si="126"/>
        <v>4.2416742122714286</v>
      </c>
      <c r="G323" s="306">
        <f t="shared" ca="1" si="127"/>
        <v>43.064553441283905</v>
      </c>
      <c r="H323" s="307">
        <f t="shared" ca="1" si="128"/>
        <v>181.89441215395578</v>
      </c>
      <c r="I323" s="304">
        <f t="shared" ca="1" si="129"/>
        <v>186.9227994010638</v>
      </c>
      <c r="J323" s="306">
        <f t="shared" ca="1" si="130"/>
        <v>76.480476670381734</v>
      </c>
      <c r="K323" s="307">
        <f t="shared" ca="1" si="131"/>
        <v>348.26415078076468</v>
      </c>
      <c r="L323" s="304">
        <f t="shared" ca="1" si="116"/>
        <v>356.56301270711748</v>
      </c>
      <c r="M323" s="306">
        <f t="shared" ca="1" si="132"/>
        <v>1.3383211266167441</v>
      </c>
      <c r="N323" s="304">
        <f t="shared" ca="1" si="133"/>
        <v>76.680152188332897</v>
      </c>
      <c r="P323" s="310">
        <f t="shared" ca="1" si="134"/>
        <v>8</v>
      </c>
      <c r="Q323" s="304">
        <f t="shared" ca="1" si="135"/>
        <v>237.5217391304549</v>
      </c>
      <c r="R323" s="306">
        <f t="shared" ca="1" si="136"/>
        <v>0.1192010943230614</v>
      </c>
      <c r="S323" s="307">
        <f t="shared" ca="1" si="137"/>
        <v>7.8309506291491466</v>
      </c>
      <c r="T323" s="304">
        <f t="shared" ca="1" si="117"/>
        <v>76.821625671953129</v>
      </c>
      <c r="U323" s="311">
        <f t="shared" ca="1" si="118"/>
        <v>0</v>
      </c>
      <c r="V323" s="306">
        <f t="shared" ca="1" si="119"/>
        <v>1.1830678153630056</v>
      </c>
      <c r="W323" s="304">
        <f t="shared" ca="1" si="120"/>
        <v>134.67770211991822</v>
      </c>
      <c r="Y323" s="314" t="str">
        <f t="shared" ca="1" si="138"/>
        <v/>
      </c>
      <c r="Z323" s="315" t="str">
        <f t="shared" ca="1" si="139"/>
        <v/>
      </c>
      <c r="AA323" s="316" t="str">
        <f t="shared" ca="1" si="140"/>
        <v/>
      </c>
      <c r="AC323" s="310" t="e">
        <f t="shared" ca="1" si="141"/>
        <v>#N/A</v>
      </c>
      <c r="AD323" s="323" t="e">
        <f t="shared" ca="1" si="142"/>
        <v>#N/A</v>
      </c>
      <c r="AE323" s="324">
        <f t="shared" ca="1" si="121"/>
        <v>348.26415078076468</v>
      </c>
      <c r="AG323" s="306">
        <f t="shared" ca="1" si="143"/>
        <v>3.590123183801877</v>
      </c>
      <c r="AH323" s="304">
        <f t="shared" ca="1" si="144"/>
        <v>13.136498640058734</v>
      </c>
    </row>
    <row r="324" spans="1:34" x14ac:dyDescent="0.2">
      <c r="A324" s="347">
        <f t="shared" ca="1" si="122"/>
        <v>0.01</v>
      </c>
      <c r="B324" s="304">
        <f t="shared" ca="1" si="123"/>
        <v>3.1999999999999758</v>
      </c>
      <c r="D324" s="306">
        <f t="shared" ca="1" si="124"/>
        <v>2.7804902023758267</v>
      </c>
      <c r="E324" s="307">
        <f t="shared" ca="1" si="125"/>
        <v>1.9341280692844958</v>
      </c>
      <c r="F324" s="304">
        <f t="shared" ca="1" si="126"/>
        <v>3.3870307282193557</v>
      </c>
      <c r="G324" s="306">
        <f t="shared" ca="1" si="127"/>
        <v>43.092358343307666</v>
      </c>
      <c r="H324" s="307">
        <f t="shared" ca="1" si="128"/>
        <v>181.91375343464864</v>
      </c>
      <c r="I324" s="304">
        <f t="shared" ca="1" si="129"/>
        <v>186.94802763407316</v>
      </c>
      <c r="J324" s="306">
        <f t="shared" ca="1" si="130"/>
        <v>76.911261229304685</v>
      </c>
      <c r="K324" s="307">
        <f t="shared" ca="1" si="131"/>
        <v>350.08319160870769</v>
      </c>
      <c r="L324" s="304">
        <f t="shared" ref="L324:L387" ca="1" si="145">SQRT(pos_x^2+pos_z^2)</f>
        <v>358.43211791191578</v>
      </c>
      <c r="M324" s="306">
        <f t="shared" ca="1" si="132"/>
        <v>1.3382002323257705</v>
      </c>
      <c r="N324" s="304">
        <f t="shared" ca="1" si="133"/>
        <v>76.673225455692886</v>
      </c>
      <c r="P324" s="310">
        <f t="shared" ca="1" si="134"/>
        <v>8</v>
      </c>
      <c r="Q324" s="304">
        <f t="shared" ca="1" si="135"/>
        <v>229.17391304349857</v>
      </c>
      <c r="R324" s="306">
        <f t="shared" ca="1" si="136"/>
        <v>0.11501170934959895</v>
      </c>
      <c r="S324" s="307">
        <f t="shared" ca="1" si="137"/>
        <v>7.8298005120556509</v>
      </c>
      <c r="T324" s="304">
        <f t="shared" ref="T324:T387" ca="1" si="146">m*g</f>
        <v>76.810343023265943</v>
      </c>
      <c r="U324" s="311">
        <f t="shared" ref="U324:U387" ca="1" si="147">IF(pos_xz&lt;L_rampe,Poids*COS(Beta),0)</f>
        <v>0</v>
      </c>
      <c r="V324" s="306">
        <f t="shared" ref="V324:V387" ca="1" si="148">Rho_moyen*(20000-Alt_rampe-pos_z)/(20000+Alt_rampe+pos_z)</f>
        <v>1.1828525644654364</v>
      </c>
      <c r="W324" s="304">
        <f t="shared" ref="W324:W387" ca="1" si="149">1/2*Rho*Sref*Cx*vit_xz^2</f>
        <v>134.68954813095948</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350.08319160870769</v>
      </c>
      <c r="AG324" s="306">
        <f t="shared" ca="1" si="143"/>
        <v>2.5226866846477627</v>
      </c>
      <c r="AH324" s="304">
        <f t="shared" ca="1" si="144"/>
        <v>12.068789080651959</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2.5729126005343219</v>
      </c>
      <c r="E325" s="307">
        <f t="shared" ref="E325:E388" ca="1" si="154">IF(AND(L324&lt;L_rampe,Poussee&lt;Poids*SIN(M324)),0,(-W324+Poussee)/m*SIN(M324)+U324/m*COS(M324)-Poids/m)</f>
        <v>1.0515124912324545</v>
      </c>
      <c r="F325" s="304">
        <f t="shared" ref="F325:F388" ca="1" si="155">SQRT(acc_x^2+acc_z^2)</f>
        <v>2.7794887604029217</v>
      </c>
      <c r="G325" s="306">
        <f t="shared" ref="G325:G388" ca="1" si="156">G324+acc_x*pas</f>
        <v>43.118087469313011</v>
      </c>
      <c r="H325" s="307">
        <f t="shared" ref="H325:H388" ca="1" si="157">H324+acc_z*pas</f>
        <v>181.92426855956097</v>
      </c>
      <c r="I325" s="304">
        <f t="shared" ref="I325:I388" ca="1" si="158">SQRT(vit_x^2+vit_z^2)</f>
        <v>186.96419164626843</v>
      </c>
      <c r="J325" s="306">
        <f t="shared" ref="J325:J388" ca="1" si="159">J324+0.5*(vit_x+G324)*pas*(K324&gt;=0)</f>
        <v>77.342313458367784</v>
      </c>
      <c r="K325" s="307">
        <f t="shared" ref="K325:K388" ca="1" si="160">K324+0.5*(vit_z+H324)*pas</f>
        <v>351.90238171867873</v>
      </c>
      <c r="L325" s="304">
        <f t="shared" ca="1" si="145"/>
        <v>360.30142895965747</v>
      </c>
      <c r="M325" s="306">
        <f t="shared" ref="M325:M388" ca="1" si="161">IF(AND(L324&gt;L_rampe,G325&gt;0),ATAN2(G325,H325),$M$4)</f>
        <v>1.3380792867608562</v>
      </c>
      <c r="N325" s="304">
        <f t="shared" ref="N325:N388" ca="1" si="162">DEGREES(Beta)</f>
        <v>76.666295785272467</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7.8286860257460056</v>
      </c>
      <c r="T325" s="304">
        <f t="shared" ca="1" si="146"/>
        <v>76.799409912568322</v>
      </c>
      <c r="U325" s="311">
        <f t="shared" ca="1" si="147"/>
        <v>0</v>
      </c>
      <c r="V325" s="306">
        <f t="shared" ca="1" si="148"/>
        <v>1.1826373343857424</v>
      </c>
      <c r="W325" s="304">
        <f t="shared" ca="1" si="149"/>
        <v>134.68832820791468</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351.90238171867873</v>
      </c>
      <c r="AG325" s="306">
        <f t="shared" ref="AG325:AG388" ca="1" si="172">IF(AND(L324&lt;L_rampe,Poussee&lt;Poids*SIN(M324)),0,(-W324+Poussee)/m-Poids*SIN(M324)/m)</f>
        <v>1.6162644755107269</v>
      </c>
      <c r="AH325" s="304">
        <f t="shared" ref="AH325:AH388" ca="1" si="173">IF(AND(L324&lt;L_rampe,Poussee&lt;Poids*SIN(M324)), g*SIN(M324), (-W324+Poussee)/m)</f>
        <v>11.162093569182572</v>
      </c>
    </row>
    <row r="326" spans="1:34" x14ac:dyDescent="0.2">
      <c r="A326" s="347">
        <f t="shared" ca="1" si="151"/>
        <v>0.01</v>
      </c>
      <c r="B326" s="304">
        <f t="shared" ca="1" si="152"/>
        <v>3.2199999999999753</v>
      </c>
      <c r="D326" s="306">
        <f t="shared" ca="1" si="153"/>
        <v>2.4022077436806137</v>
      </c>
      <c r="E326" s="307">
        <f t="shared" ca="1" si="154"/>
        <v>0.32541908620679649</v>
      </c>
      <c r="F326" s="304">
        <f t="shared" ca="1" si="155"/>
        <v>2.4241492580834976</v>
      </c>
      <c r="G326" s="306">
        <f t="shared" ca="1" si="156"/>
        <v>43.142109546749815</v>
      </c>
      <c r="H326" s="307">
        <f t="shared" ca="1" si="157"/>
        <v>181.92752275042304</v>
      </c>
      <c r="I326" s="304">
        <f t="shared" ca="1" si="158"/>
        <v>186.97289950752076</v>
      </c>
      <c r="J326" s="306">
        <f t="shared" ca="1" si="159"/>
        <v>77.773614443448096</v>
      </c>
      <c r="K326" s="307">
        <f t="shared" ca="1" si="160"/>
        <v>353.72164067522863</v>
      </c>
      <c r="L326" s="304">
        <f t="shared" ca="1" si="145"/>
        <v>362.17086324768547</v>
      </c>
      <c r="M326" s="306">
        <f t="shared" ca="1" si="161"/>
        <v>1.3379582850813154</v>
      </c>
      <c r="N326" s="304">
        <f t="shared" ca="1" si="162"/>
        <v>76.65936289972079</v>
      </c>
      <c r="P326" s="310">
        <f t="shared" ca="1" si="163"/>
        <v>9</v>
      </c>
      <c r="Q326" s="304">
        <f t="shared" ca="1" si="164"/>
        <v>216.2222222222367</v>
      </c>
      <c r="R326" s="306">
        <f t="shared" ca="1" si="165"/>
        <v>0.1085118591679681</v>
      </c>
      <c r="S326" s="307">
        <f t="shared" ca="1" si="166"/>
        <v>7.8276009071543262</v>
      </c>
      <c r="T326" s="304">
        <f t="shared" ca="1" si="146"/>
        <v>76.788764899183946</v>
      </c>
      <c r="U326" s="311">
        <f t="shared" ca="1" si="147"/>
        <v>0</v>
      </c>
      <c r="V326" s="306">
        <f t="shared" ca="1" si="148"/>
        <v>1.1824221346369188</v>
      </c>
      <c r="W326" s="304">
        <f t="shared" ca="1" si="149"/>
        <v>134.67636374843082</v>
      </c>
      <c r="Y326" s="314" t="str">
        <f t="shared" ca="1" si="167"/>
        <v/>
      </c>
      <c r="Z326" s="315" t="str">
        <f t="shared" ca="1" si="168"/>
        <v/>
      </c>
      <c r="AA326" s="316" t="str">
        <f t="shared" ca="1" si="169"/>
        <v/>
      </c>
      <c r="AC326" s="310" t="e">
        <f t="shared" ca="1" si="170"/>
        <v>#N/A</v>
      </c>
      <c r="AD326" s="323" t="e">
        <f t="shared" ca="1" si="171"/>
        <v>#N/A</v>
      </c>
      <c r="AE326" s="324">
        <f t="shared" ca="1" si="150"/>
        <v>353.72164067522863</v>
      </c>
      <c r="AG326" s="306">
        <f t="shared" ca="1" si="172"/>
        <v>0.87064924792096043</v>
      </c>
      <c r="AH326" s="304">
        <f t="shared" ca="1" si="173"/>
        <v>10.416204783741732</v>
      </c>
    </row>
    <row r="327" spans="1:34" x14ac:dyDescent="0.2">
      <c r="A327" s="347">
        <f t="shared" ca="1" si="151"/>
        <v>0.01</v>
      </c>
      <c r="B327" s="304">
        <f t="shared" ca="1" si="152"/>
        <v>3.2299999999999751</v>
      </c>
      <c r="D327" s="306">
        <f t="shared" ca="1" si="153"/>
        <v>2.2315884903615233</v>
      </c>
      <c r="E327" s="307">
        <f t="shared" ca="1" si="154"/>
        <v>-0.39953374985312706</v>
      </c>
      <c r="F327" s="304">
        <f t="shared" ca="1" si="155"/>
        <v>2.2670717693945472</v>
      </c>
      <c r="G327" s="306">
        <f t="shared" ca="1" si="156"/>
        <v>43.164425431653427</v>
      </c>
      <c r="H327" s="307">
        <f t="shared" ca="1" si="157"/>
        <v>181.9235274129245</v>
      </c>
      <c r="I327" s="304">
        <f t="shared" ca="1" si="158"/>
        <v>186.97416251772825</v>
      </c>
      <c r="J327" s="306">
        <f t="shared" ca="1" si="159"/>
        <v>78.205147118340108</v>
      </c>
      <c r="K327" s="307">
        <f t="shared" ca="1" si="160"/>
        <v>355.54089592604538</v>
      </c>
      <c r="L327" s="304">
        <f t="shared" ca="1" si="145"/>
        <v>364.04034626905883</v>
      </c>
      <c r="M327" s="306">
        <f t="shared" ca="1" si="161"/>
        <v>1.3378372224452744</v>
      </c>
      <c r="N327" s="304">
        <f t="shared" ca="1" si="162"/>
        <v>76.652426521618906</v>
      </c>
      <c r="P327" s="310">
        <f t="shared" ca="1" si="163"/>
        <v>9</v>
      </c>
      <c r="Q327" s="304">
        <f t="shared" ca="1" si="164"/>
        <v>210.37037037038499</v>
      </c>
      <c r="R327" s="306">
        <f t="shared" ca="1" si="165"/>
        <v>0.10557508737137039</v>
      </c>
      <c r="S327" s="307">
        <f t="shared" ca="1" si="166"/>
        <v>7.8265451562806128</v>
      </c>
      <c r="T327" s="304">
        <f t="shared" ca="1" si="146"/>
        <v>76.778407983112814</v>
      </c>
      <c r="U327" s="311">
        <f t="shared" ca="1" si="147"/>
        <v>0</v>
      </c>
      <c r="V327" s="306">
        <f t="shared" ca="1" si="148"/>
        <v>1.1822069737929122</v>
      </c>
      <c r="W327" s="304">
        <f t="shared" ca="1" si="149"/>
        <v>134.65367636906007</v>
      </c>
      <c r="Y327" s="314" t="str">
        <f t="shared" ca="1" si="167"/>
        <v/>
      </c>
      <c r="Z327" s="315" t="str">
        <f t="shared" ca="1" si="168"/>
        <v/>
      </c>
      <c r="AA327" s="316" t="str">
        <f t="shared" ca="1" si="169"/>
        <v/>
      </c>
      <c r="AC327" s="310" t="e">
        <f t="shared" ca="1" si="170"/>
        <v>#N/A</v>
      </c>
      <c r="AD327" s="323" t="e">
        <f t="shared" ca="1" si="171"/>
        <v>#N/A</v>
      </c>
      <c r="AE327" s="324">
        <f t="shared" ca="1" si="150"/>
        <v>355.54089592604538</v>
      </c>
      <c r="AG327" s="306">
        <f t="shared" ca="1" si="172"/>
        <v>0.12616400457290311</v>
      </c>
      <c r="AH327" s="304">
        <f t="shared" ca="1" si="173"/>
        <v>9.6714457158931193</v>
      </c>
    </row>
    <row r="328" spans="1:34" x14ac:dyDescent="0.2">
      <c r="A328" s="347">
        <f t="shared" ca="1" si="151"/>
        <v>0.01</v>
      </c>
      <c r="B328" s="304">
        <f t="shared" ca="1" si="152"/>
        <v>3.2399999999999749</v>
      </c>
      <c r="D328" s="306">
        <f t="shared" ca="1" si="153"/>
        <v>2.0610565707133661</v>
      </c>
      <c r="E328" s="307">
        <f t="shared" ca="1" si="154"/>
        <v>-1.1233401454523069</v>
      </c>
      <c r="F328" s="304">
        <f t="shared" ca="1" si="155"/>
        <v>2.3473063860658563</v>
      </c>
      <c r="G328" s="306">
        <f t="shared" ca="1" si="156"/>
        <v>43.185035997360558</v>
      </c>
      <c r="H328" s="307">
        <f t="shared" ca="1" si="157"/>
        <v>181.91229401146998</v>
      </c>
      <c r="I328" s="304">
        <f t="shared" ca="1" si="158"/>
        <v>186.96799203769831</v>
      </c>
      <c r="J328" s="306">
        <f t="shared" ca="1" si="159"/>
        <v>78.636894425485181</v>
      </c>
      <c r="K328" s="307">
        <f t="shared" ca="1" si="160"/>
        <v>357.36007503316733</v>
      </c>
      <c r="L328" s="304">
        <f t="shared" ca="1" si="145"/>
        <v>365.90980363006929</v>
      </c>
      <c r="M328" s="306">
        <f t="shared" ca="1" si="161"/>
        <v>1.3377160940085671</v>
      </c>
      <c r="N328" s="304">
        <f t="shared" ca="1" si="162"/>
        <v>76.64548637341656</v>
      </c>
      <c r="P328" s="310">
        <f t="shared" ca="1" si="163"/>
        <v>9</v>
      </c>
      <c r="Q328" s="304">
        <f t="shared" ca="1" si="164"/>
        <v>204.51851851853326</v>
      </c>
      <c r="R328" s="306">
        <f t="shared" ca="1" si="165"/>
        <v>0.10263831557477268</v>
      </c>
      <c r="S328" s="307">
        <f t="shared" ca="1" si="166"/>
        <v>7.8255187731248652</v>
      </c>
      <c r="T328" s="304">
        <f t="shared" ca="1" si="146"/>
        <v>76.768339164354927</v>
      </c>
      <c r="U328" s="311">
        <f t="shared" ca="1" si="147"/>
        <v>0</v>
      </c>
      <c r="V328" s="306">
        <f t="shared" ca="1" si="148"/>
        <v>1.1819918604080184</v>
      </c>
      <c r="W328" s="304">
        <f t="shared" ca="1" si="149"/>
        <v>134.62028904157481</v>
      </c>
      <c r="Y328" s="314" t="str">
        <f t="shared" ca="1" si="167"/>
        <v/>
      </c>
      <c r="Z328" s="315" t="str">
        <f t="shared" ca="1" si="168"/>
        <v/>
      </c>
      <c r="AA328" s="316" t="str">
        <f t="shared" ca="1" si="169"/>
        <v/>
      </c>
      <c r="AC328" s="310" t="e">
        <f t="shared" ca="1" si="170"/>
        <v>#N/A</v>
      </c>
      <c r="AD328" s="323" t="e">
        <f t="shared" ca="1" si="171"/>
        <v>#N/A</v>
      </c>
      <c r="AE328" s="324">
        <f t="shared" ca="1" si="150"/>
        <v>357.36007503316733</v>
      </c>
      <c r="AG328" s="306">
        <f t="shared" ca="1" si="172"/>
        <v>-0.61718516363090181</v>
      </c>
      <c r="AH328" s="304">
        <f t="shared" ca="1" si="173"/>
        <v>8.9278224453833808</v>
      </c>
    </row>
    <row r="329" spans="1:34" x14ac:dyDescent="0.2">
      <c r="A329" s="347">
        <f t="shared" ca="1" si="151"/>
        <v>0.01</v>
      </c>
      <c r="B329" s="304">
        <f t="shared" ca="1" si="152"/>
        <v>3.2499999999999747</v>
      </c>
      <c r="D329" s="306">
        <f t="shared" ca="1" si="153"/>
        <v>1.8906136589608824</v>
      </c>
      <c r="E329" s="307">
        <f t="shared" ca="1" si="154"/>
        <v>-1.8459944168620481</v>
      </c>
      <c r="F329" s="304">
        <f t="shared" ca="1" si="155"/>
        <v>2.6423692767165057</v>
      </c>
      <c r="G329" s="306">
        <f t="shared" ca="1" si="156"/>
        <v>43.203942133950164</v>
      </c>
      <c r="H329" s="307">
        <f t="shared" ca="1" si="157"/>
        <v>181.89383406730136</v>
      </c>
      <c r="I329" s="304">
        <f t="shared" ca="1" si="158"/>
        <v>186.95439948719226</v>
      </c>
      <c r="J329" s="306">
        <f t="shared" ca="1" si="159"/>
        <v>79.068839316141734</v>
      </c>
      <c r="K329" s="307">
        <f t="shared" ca="1" si="160"/>
        <v>359.1791056735612</v>
      </c>
      <c r="L329" s="304">
        <f t="shared" ca="1" si="145"/>
        <v>367.77916105084188</v>
      </c>
      <c r="M329" s="306">
        <f t="shared" ca="1" si="161"/>
        <v>1.3375948949236331</v>
      </c>
      <c r="N329" s="304">
        <f t="shared" ca="1" si="162"/>
        <v>76.638542177369004</v>
      </c>
      <c r="P329" s="310">
        <f t="shared" ca="1" si="163"/>
        <v>9</v>
      </c>
      <c r="Q329" s="304">
        <f t="shared" ca="1" si="164"/>
        <v>198.66666666668152</v>
      </c>
      <c r="R329" s="306">
        <f t="shared" ca="1" si="165"/>
        <v>9.9701543778174959E-2</v>
      </c>
      <c r="S329" s="307">
        <f t="shared" ca="1" si="166"/>
        <v>7.8245217576870836</v>
      </c>
      <c r="T329" s="304">
        <f t="shared" ca="1" si="146"/>
        <v>76.758558442910299</v>
      </c>
      <c r="U329" s="311">
        <f t="shared" ca="1" si="147"/>
        <v>0</v>
      </c>
      <c r="V329" s="306">
        <f t="shared" ca="1" si="148"/>
        <v>1.1817768030168274</v>
      </c>
      <c r="W329" s="304">
        <f t="shared" ca="1" si="149"/>
        <v>134.57622608162421</v>
      </c>
      <c r="Y329" s="314" t="str">
        <f t="shared" ca="1" si="167"/>
        <v/>
      </c>
      <c r="Z329" s="315" t="str">
        <f t="shared" ca="1" si="168"/>
        <v/>
      </c>
      <c r="AA329" s="316" t="str">
        <f t="shared" ca="1" si="169"/>
        <v/>
      </c>
      <c r="AC329" s="310" t="e">
        <f t="shared" ca="1" si="170"/>
        <v>#N/A</v>
      </c>
      <c r="AD329" s="323" t="e">
        <f t="shared" ca="1" si="171"/>
        <v>#N/A</v>
      </c>
      <c r="AE329" s="324">
        <f t="shared" ca="1" si="150"/>
        <v>359.1791056735612</v>
      </c>
      <c r="AG329" s="306">
        <f t="shared" ca="1" si="172"/>
        <v>-1.3593923613041046</v>
      </c>
      <c r="AH329" s="304">
        <f t="shared" ca="1" si="173"/>
        <v>8.1853408564153227</v>
      </c>
    </row>
    <row r="330" spans="1:34" x14ac:dyDescent="0.2">
      <c r="A330" s="347">
        <f t="shared" ca="1" si="151"/>
        <v>0.01</v>
      </c>
      <c r="B330" s="304">
        <f t="shared" ca="1" si="152"/>
        <v>3.2599999999999745</v>
      </c>
      <c r="D330" s="306">
        <f t="shared" ca="1" si="153"/>
        <v>1.7202613736151739</v>
      </c>
      <c r="E330" s="307">
        <f t="shared" ca="1" si="154"/>
        <v>-2.5674910670278424</v>
      </c>
      <c r="F330" s="304">
        <f t="shared" ca="1" si="155"/>
        <v>3.0905193047156549</v>
      </c>
      <c r="G330" s="306">
        <f t="shared" ca="1" si="156"/>
        <v>43.221144747686317</v>
      </c>
      <c r="H330" s="307">
        <f t="shared" ca="1" si="157"/>
        <v>181.86815915663107</v>
      </c>
      <c r="I330" s="304">
        <f t="shared" ca="1" si="158"/>
        <v>186.93339634298133</v>
      </c>
      <c r="J330" s="306">
        <f t="shared" ca="1" si="159"/>
        <v>79.500964750549912</v>
      </c>
      <c r="K330" s="307">
        <f t="shared" ca="1" si="160"/>
        <v>360.99791563968085</v>
      </c>
      <c r="L330" s="304">
        <f t="shared" ca="1" si="145"/>
        <v>369.64834436591531</v>
      </c>
      <c r="M330" s="306">
        <f t="shared" ca="1" si="161"/>
        <v>1.3374736203384134</v>
      </c>
      <c r="N330" s="304">
        <f t="shared" ca="1" si="162"/>
        <v>76.631593655473708</v>
      </c>
      <c r="P330" s="310">
        <f t="shared" ca="1" si="163"/>
        <v>9</v>
      </c>
      <c r="Q330" s="304">
        <f t="shared" ca="1" si="164"/>
        <v>192.81481481482979</v>
      </c>
      <c r="R330" s="306">
        <f t="shared" ca="1" si="165"/>
        <v>9.6764771981577249E-2</v>
      </c>
      <c r="S330" s="307">
        <f t="shared" ca="1" si="166"/>
        <v>7.8235541099672679</v>
      </c>
      <c r="T330" s="304">
        <f t="shared" ca="1" si="146"/>
        <v>76.749065818778902</v>
      </c>
      <c r="U330" s="311">
        <f t="shared" ca="1" si="147"/>
        <v>0</v>
      </c>
      <c r="V330" s="306">
        <f t="shared" ca="1" si="148"/>
        <v>1.1815618101341756</v>
      </c>
      <c r="W330" s="304">
        <f t="shared" ca="1" si="149"/>
        <v>134.52151313738412</v>
      </c>
      <c r="Y330" s="314" t="str">
        <f t="shared" ca="1" si="167"/>
        <v/>
      </c>
      <c r="Z330" s="315" t="str">
        <f t="shared" ca="1" si="168"/>
        <v/>
      </c>
      <c r="AA330" s="316" t="str">
        <f t="shared" ca="1" si="169"/>
        <v/>
      </c>
      <c r="AC330" s="310" t="e">
        <f t="shared" ca="1" si="170"/>
        <v>#N/A</v>
      </c>
      <c r="AD330" s="323" t="e">
        <f t="shared" ca="1" si="171"/>
        <v>#N/A</v>
      </c>
      <c r="AE330" s="324">
        <f t="shared" ca="1" si="150"/>
        <v>360.99791563968085</v>
      </c>
      <c r="AG330" s="306">
        <f t="shared" ca="1" si="172"/>
        <v>-2.1004518874732501</v>
      </c>
      <c r="AH330" s="304">
        <f t="shared" ca="1" si="173"/>
        <v>7.4440066387486432</v>
      </c>
    </row>
    <row r="331" spans="1:34" x14ac:dyDescent="0.2">
      <c r="A331" s="347">
        <f t="shared" ca="1" si="151"/>
        <v>0.01</v>
      </c>
      <c r="B331" s="304">
        <f t="shared" ca="1" si="152"/>
        <v>3.2699999999999743</v>
      </c>
      <c r="D331" s="306">
        <f t="shared" ca="1" si="153"/>
        <v>1.5500012776710126</v>
      </c>
      <c r="E331" s="307">
        <f t="shared" ca="1" si="154"/>
        <v>-3.2878247844640134</v>
      </c>
      <c r="F331" s="304">
        <f t="shared" ca="1" si="155"/>
        <v>3.6348721812627205</v>
      </c>
      <c r="G331" s="306">
        <f t="shared" ca="1" si="156"/>
        <v>43.23664476046303</v>
      </c>
      <c r="H331" s="307">
        <f t="shared" ca="1" si="157"/>
        <v>181.83528090878642</v>
      </c>
      <c r="I331" s="304">
        <f t="shared" ca="1" si="158"/>
        <v>186.9049941369137</v>
      </c>
      <c r="J331" s="306">
        <f t="shared" ca="1" si="159"/>
        <v>79.933253698090653</v>
      </c>
      <c r="K331" s="307">
        <f t="shared" ca="1" si="160"/>
        <v>362.81643284000796</v>
      </c>
      <c r="L331" s="304">
        <f t="shared" ca="1" si="145"/>
        <v>371.517279524804</v>
      </c>
      <c r="M331" s="306">
        <f t="shared" ca="1" si="161"/>
        <v>1.3373522653952468</v>
      </c>
      <c r="N331" s="304">
        <f t="shared" ca="1" si="162"/>
        <v>76.624640529407216</v>
      </c>
      <c r="P331" s="310">
        <f t="shared" ca="1" si="163"/>
        <v>9</v>
      </c>
      <c r="Q331" s="304">
        <f t="shared" ca="1" si="164"/>
        <v>186.96296296297808</v>
      </c>
      <c r="R331" s="306">
        <f t="shared" ca="1" si="165"/>
        <v>9.382800018497954E-2</v>
      </c>
      <c r="S331" s="307">
        <f t="shared" ca="1" si="166"/>
        <v>7.822615829965418</v>
      </c>
      <c r="T331" s="304">
        <f t="shared" ca="1" si="146"/>
        <v>76.73986129196075</v>
      </c>
      <c r="U331" s="311">
        <f t="shared" ca="1" si="147"/>
        <v>0</v>
      </c>
      <c r="V331" s="306">
        <f t="shared" ca="1" si="148"/>
        <v>1.1813468902550999</v>
      </c>
      <c r="W331" s="304">
        <f t="shared" ca="1" si="149"/>
        <v>134.45617717820147</v>
      </c>
      <c r="Y331" s="314" t="str">
        <f t="shared" ca="1" si="167"/>
        <v/>
      </c>
      <c r="Z331" s="315" t="str">
        <f t="shared" ca="1" si="168"/>
        <v/>
      </c>
      <c r="AA331" s="316" t="str">
        <f t="shared" ca="1" si="169"/>
        <v/>
      </c>
      <c r="AC331" s="310" t="e">
        <f t="shared" ca="1" si="170"/>
        <v>#N/A</v>
      </c>
      <c r="AD331" s="323" t="e">
        <f t="shared" ca="1" si="171"/>
        <v>#N/A</v>
      </c>
      <c r="AE331" s="324">
        <f t="shared" ca="1" si="150"/>
        <v>362.81643284000796</v>
      </c>
      <c r="AG331" s="306">
        <f t="shared" ca="1" si="172"/>
        <v>-2.8403582344618075</v>
      </c>
      <c r="AH331" s="304">
        <f t="shared" ca="1" si="173"/>
        <v>6.7038252888133707</v>
      </c>
    </row>
    <row r="332" spans="1:34" x14ac:dyDescent="0.2">
      <c r="A332" s="347">
        <f t="shared" ca="1" si="151"/>
        <v>0.01</v>
      </c>
      <c r="B332" s="304">
        <f t="shared" ca="1" si="152"/>
        <v>3.279999999999974</v>
      </c>
      <c r="D332" s="306">
        <f t="shared" ca="1" si="153"/>
        <v>1.3798348788034216</v>
      </c>
      <c r="E332" s="307">
        <f t="shared" ca="1" si="154"/>
        <v>-4.0069904421354474</v>
      </c>
      <c r="F332" s="304">
        <f t="shared" ca="1" si="155"/>
        <v>4.2379141916899741</v>
      </c>
      <c r="G332" s="306">
        <f t="shared" ca="1" si="156"/>
        <v>43.250443109251066</v>
      </c>
      <c r="H332" s="307">
        <f t="shared" ca="1" si="157"/>
        <v>181.79521100436506</v>
      </c>
      <c r="I332" s="304">
        <f t="shared" ca="1" si="158"/>
        <v>186.86920445399284</v>
      </c>
      <c r="J332" s="306">
        <f t="shared" ca="1" si="159"/>
        <v>80.365689137439219</v>
      </c>
      <c r="K332" s="307">
        <f t="shared" ca="1" si="160"/>
        <v>364.6345852995737</v>
      </c>
      <c r="L332" s="304">
        <f t="shared" ca="1" si="145"/>
        <v>373.38589259253973</v>
      </c>
      <c r="M332" s="306">
        <f t="shared" ca="1" si="161"/>
        <v>1.3372308252297638</v>
      </c>
      <c r="N332" s="304">
        <f t="shared" ca="1" si="162"/>
        <v>76.61768252046167</v>
      </c>
      <c r="P332" s="310">
        <f t="shared" ca="1" si="163"/>
        <v>9</v>
      </c>
      <c r="Q332" s="304">
        <f t="shared" ca="1" si="164"/>
        <v>181.11111111112635</v>
      </c>
      <c r="R332" s="306">
        <f t="shared" ca="1" si="165"/>
        <v>9.0891228388381831E-2</v>
      </c>
      <c r="S332" s="307">
        <f t="shared" ca="1" si="166"/>
        <v>7.8217069176815341</v>
      </c>
      <c r="T332" s="304">
        <f t="shared" ca="1" si="146"/>
        <v>76.730944862455857</v>
      </c>
      <c r="U332" s="311">
        <f t="shared" ca="1" si="147"/>
        <v>0</v>
      </c>
      <c r="V332" s="306">
        <f t="shared" ca="1" si="148"/>
        <v>1.1811320518547959</v>
      </c>
      <c r="W332" s="304">
        <f t="shared" ca="1" si="149"/>
        <v>134.38024648323696</v>
      </c>
      <c r="Y332" s="314" t="str">
        <f t="shared" ca="1" si="167"/>
        <v/>
      </c>
      <c r="Z332" s="315" t="str">
        <f t="shared" ca="1" si="168"/>
        <v/>
      </c>
      <c r="AA332" s="316" t="str">
        <f t="shared" ca="1" si="169"/>
        <v/>
      </c>
      <c r="AC332" s="310" t="e">
        <f t="shared" ca="1" si="170"/>
        <v>#N/A</v>
      </c>
      <c r="AD332" s="323" t="e">
        <f t="shared" ca="1" si="171"/>
        <v>#N/A</v>
      </c>
      <c r="AE332" s="324">
        <f t="shared" ca="1" si="150"/>
        <v>364.6345852995737</v>
      </c>
      <c r="AG332" s="306">
        <f t="shared" ca="1" si="172"/>
        <v>-3.5791060867617723</v>
      </c>
      <c r="AH332" s="304">
        <f t="shared" ca="1" si="173"/>
        <v>5.9648021108356826</v>
      </c>
    </row>
    <row r="333" spans="1:34" x14ac:dyDescent="0.2">
      <c r="A333" s="347">
        <f t="shared" ca="1" si="151"/>
        <v>0.01</v>
      </c>
      <c r="B333" s="304">
        <f t="shared" ca="1" si="152"/>
        <v>3.2899999999999738</v>
      </c>
      <c r="D333" s="306">
        <f t="shared" ca="1" si="153"/>
        <v>1.2097636295634595</v>
      </c>
      <c r="E333" s="307">
        <f t="shared" ca="1" si="154"/>
        <v>-4.724983096326846</v>
      </c>
      <c r="F333" s="304">
        <f t="shared" ca="1" si="155"/>
        <v>4.8773961598366178</v>
      </c>
      <c r="G333" s="306">
        <f t="shared" ca="1" si="156"/>
        <v>43.262540745546701</v>
      </c>
      <c r="H333" s="307">
        <f t="shared" ca="1" si="157"/>
        <v>181.74796117340179</v>
      </c>
      <c r="I333" s="304">
        <f t="shared" ca="1" si="158"/>
        <v>186.82603893046723</v>
      </c>
      <c r="J333" s="306">
        <f t="shared" ca="1" si="159"/>
        <v>80.798254056713205</v>
      </c>
      <c r="K333" s="307">
        <f t="shared" ca="1" si="160"/>
        <v>366.45230116046253</v>
      </c>
      <c r="L333" s="304">
        <f t="shared" ca="1" si="145"/>
        <v>375.25410975019514</v>
      </c>
      <c r="M333" s="306">
        <f t="shared" ca="1" si="161"/>
        <v>1.3371092949697783</v>
      </c>
      <c r="N333" s="304">
        <f t="shared" ca="1" si="162"/>
        <v>76.610719349481371</v>
      </c>
      <c r="P333" s="310">
        <f t="shared" ca="1" si="163"/>
        <v>9</v>
      </c>
      <c r="Q333" s="304">
        <f t="shared" ca="1" si="164"/>
        <v>175.25925925927461</v>
      </c>
      <c r="R333" s="306">
        <f t="shared" ca="1" si="165"/>
        <v>8.7954456591784108E-2</v>
      </c>
      <c r="S333" s="307">
        <f t="shared" ca="1" si="166"/>
        <v>7.8208273731156162</v>
      </c>
      <c r="T333" s="304">
        <f t="shared" ca="1" si="146"/>
        <v>76.722316530264195</v>
      </c>
      <c r="U333" s="311">
        <f t="shared" ca="1" si="147"/>
        <v>0</v>
      </c>
      <c r="V333" s="306">
        <f t="shared" ca="1" si="148"/>
        <v>1.1809173033885743</v>
      </c>
      <c r="W333" s="304">
        <f t="shared" ca="1" si="149"/>
        <v>134.29375063010809</v>
      </c>
      <c r="Y333" s="314" t="str">
        <f t="shared" ca="1" si="167"/>
        <v/>
      </c>
      <c r="Z333" s="315" t="str">
        <f t="shared" ca="1" si="168"/>
        <v/>
      </c>
      <c r="AA333" s="316" t="str">
        <f t="shared" ca="1" si="169"/>
        <v/>
      </c>
      <c r="AC333" s="310" t="e">
        <f t="shared" ca="1" si="170"/>
        <v>#N/A</v>
      </c>
      <c r="AD333" s="323" t="e">
        <f t="shared" ca="1" si="171"/>
        <v>#N/A</v>
      </c>
      <c r="AE333" s="324">
        <f t="shared" ca="1" si="150"/>
        <v>366.45230116046253</v>
      </c>
      <c r="AG333" s="306">
        <f t="shared" ca="1" si="172"/>
        <v>-4.3166903198933477</v>
      </c>
      <c r="AH333" s="304">
        <f t="shared" ca="1" si="173"/>
        <v>5.2269422179756555</v>
      </c>
    </row>
    <row r="334" spans="1:34" x14ac:dyDescent="0.2">
      <c r="A334" s="347">
        <f t="shared" ca="1" si="151"/>
        <v>0.01</v>
      </c>
      <c r="B334" s="304">
        <f t="shared" ca="1" si="152"/>
        <v>3.2999999999999736</v>
      </c>
      <c r="D334" s="306">
        <f t="shared" ca="1" si="153"/>
        <v>1.0397889275730918</v>
      </c>
      <c r="E334" s="307">
        <f t="shared" ca="1" si="154"/>
        <v>-5.4417979854999556</v>
      </c>
      <c r="F334" s="304">
        <f t="shared" ca="1" si="155"/>
        <v>5.5402460531004376</v>
      </c>
      <c r="G334" s="306">
        <f t="shared" ca="1" si="156"/>
        <v>43.272938634822431</v>
      </c>
      <c r="H334" s="307">
        <f t="shared" ca="1" si="157"/>
        <v>181.69354319354679</v>
      </c>
      <c r="I334" s="304">
        <f t="shared" ca="1" si="158"/>
        <v>186.77550925193154</v>
      </c>
      <c r="J334" s="306">
        <f t="shared" ca="1" si="159"/>
        <v>81.230931453615057</v>
      </c>
      <c r="K334" s="307">
        <f t="shared" ca="1" si="160"/>
        <v>368.26950868229727</v>
      </c>
      <c r="L334" s="304">
        <f t="shared" ca="1" si="145"/>
        <v>377.12185729538743</v>
      </c>
      <c r="M334" s="306">
        <f t="shared" ca="1" si="161"/>
        <v>1.3369876697341783</v>
      </c>
      <c r="N334" s="304">
        <f t="shared" ca="1" si="162"/>
        <v>76.603750736799199</v>
      </c>
      <c r="P334" s="310">
        <f t="shared" ca="1" si="163"/>
        <v>9</v>
      </c>
      <c r="Q334" s="304">
        <f t="shared" ca="1" si="164"/>
        <v>169.40740740742291</v>
      </c>
      <c r="R334" s="306">
        <f t="shared" ca="1" si="165"/>
        <v>8.5017684795186413E-2</v>
      </c>
      <c r="S334" s="307">
        <f t="shared" ca="1" si="166"/>
        <v>7.8199771962676641</v>
      </c>
      <c r="T334" s="304">
        <f t="shared" ca="1" si="146"/>
        <v>76.713976295385791</v>
      </c>
      <c r="U334" s="311">
        <f t="shared" ca="1" si="147"/>
        <v>0</v>
      </c>
      <c r="V334" s="306">
        <f t="shared" ca="1" si="148"/>
        <v>1.1807026532918261</v>
      </c>
      <c r="W334" s="304">
        <f t="shared" ca="1" si="149"/>
        <v>134.19672048353661</v>
      </c>
      <c r="Y334" s="314" t="str">
        <f t="shared" ca="1" si="167"/>
        <v/>
      </c>
      <c r="Z334" s="315" t="str">
        <f t="shared" ca="1" si="168"/>
        <v/>
      </c>
      <c r="AA334" s="316" t="str">
        <f t="shared" ca="1" si="169"/>
        <v/>
      </c>
      <c r="AC334" s="310" t="e">
        <f t="shared" ca="1" si="170"/>
        <v>#N/A</v>
      </c>
      <c r="AD334" s="323" t="e">
        <f t="shared" ca="1" si="171"/>
        <v>#N/A</v>
      </c>
      <c r="AE334" s="324">
        <f t="shared" ca="1" si="150"/>
        <v>368.26950868229727</v>
      </c>
      <c r="AG334" s="306">
        <f t="shared" ca="1" si="172"/>
        <v>-5.0531059992531322</v>
      </c>
      <c r="AH334" s="304">
        <f t="shared" ca="1" si="173"/>
        <v>4.490250533476484</v>
      </c>
    </row>
    <row r="335" spans="1:34" x14ac:dyDescent="0.2">
      <c r="A335" s="347">
        <f t="shared" ca="1" si="151"/>
        <v>0.01</v>
      </c>
      <c r="B335" s="304">
        <f t="shared" ca="1" si="152"/>
        <v>3.3099999999999734</v>
      </c>
      <c r="D335" s="306">
        <f t="shared" ca="1" si="153"/>
        <v>0.86991211571901728</v>
      </c>
      <c r="E335" s="307">
        <f t="shared" ca="1" si="154"/>
        <v>-6.1574305291392513</v>
      </c>
      <c r="F335" s="304">
        <f t="shared" ca="1" si="155"/>
        <v>6.218576831578976</v>
      </c>
      <c r="G335" s="306">
        <f t="shared" ca="1" si="156"/>
        <v>43.281637755979624</v>
      </c>
      <c r="H335" s="307">
        <f t="shared" ca="1" si="157"/>
        <v>181.63196888825539</v>
      </c>
      <c r="I335" s="304">
        <f t="shared" ca="1" si="158"/>
        <v>186.71762715143961</v>
      </c>
      <c r="J335" s="306">
        <f t="shared" ca="1" si="159"/>
        <v>81.663704335569065</v>
      </c>
      <c r="K335" s="307">
        <f t="shared" ca="1" si="160"/>
        <v>370.08613624270629</v>
      </c>
      <c r="L335" s="304">
        <f t="shared" ca="1" si="145"/>
        <v>378.98906164276326</v>
      </c>
      <c r="M335" s="306">
        <f t="shared" ca="1" si="161"/>
        <v>1.3368659446318094</v>
      </c>
      <c r="N335" s="304">
        <f t="shared" ca="1" si="162"/>
        <v>76.596776402172679</v>
      </c>
      <c r="P335" s="310">
        <f t="shared" ca="1" si="163"/>
        <v>9</v>
      </c>
      <c r="Q335" s="304">
        <f t="shared" ca="1" si="164"/>
        <v>163.55555555557117</v>
      </c>
      <c r="R335" s="306">
        <f t="shared" ca="1" si="165"/>
        <v>8.208091299858869E-2</v>
      </c>
      <c r="S335" s="307">
        <f t="shared" ca="1" si="166"/>
        <v>7.8191563871376779</v>
      </c>
      <c r="T335" s="304">
        <f t="shared" ca="1" si="146"/>
        <v>76.705924157820618</v>
      </c>
      <c r="U335" s="311">
        <f t="shared" ca="1" si="147"/>
        <v>0</v>
      </c>
      <c r="V335" s="306">
        <f t="shared" ca="1" si="148"/>
        <v>1.1804881099799869</v>
      </c>
      <c r="W335" s="304">
        <f t="shared" ca="1" si="149"/>
        <v>134.08918818400261</v>
      </c>
      <c r="Y335" s="314" t="str">
        <f t="shared" ca="1" si="167"/>
        <v/>
      </c>
      <c r="Z335" s="315" t="str">
        <f t="shared" ca="1" si="168"/>
        <v/>
      </c>
      <c r="AA335" s="316" t="str">
        <f t="shared" ca="1" si="169"/>
        <v/>
      </c>
      <c r="AC335" s="310" t="e">
        <f t="shared" ca="1" si="170"/>
        <v>#N/A</v>
      </c>
      <c r="AD335" s="323" t="e">
        <f t="shared" ca="1" si="171"/>
        <v>#N/A</v>
      </c>
      <c r="AE335" s="324">
        <f t="shared" ca="1" si="150"/>
        <v>370.08613624270629</v>
      </c>
      <c r="AG335" s="306">
        <f t="shared" ca="1" si="172"/>
        <v>-5.7883483789513406</v>
      </c>
      <c r="AH335" s="304">
        <f t="shared" ca="1" si="173"/>
        <v>3.7547317918246446</v>
      </c>
    </row>
    <row r="336" spans="1:34" x14ac:dyDescent="0.2">
      <c r="A336" s="347">
        <f t="shared" ca="1" si="151"/>
        <v>0.01</v>
      </c>
      <c r="B336" s="304">
        <f t="shared" ca="1" si="152"/>
        <v>3.3199999999999732</v>
      </c>
      <c r="D336" s="306">
        <f t="shared" ca="1" si="153"/>
        <v>0.70013448234538833</v>
      </c>
      <c r="E336" s="307">
        <f t="shared" ca="1" si="154"/>
        <v>-6.8718763265864773</v>
      </c>
      <c r="F336" s="304">
        <f t="shared" ca="1" si="155"/>
        <v>6.9074505095055656</v>
      </c>
      <c r="G336" s="306">
        <f t="shared" ca="1" si="156"/>
        <v>43.288639100803074</v>
      </c>
      <c r="H336" s="307">
        <f t="shared" ca="1" si="157"/>
        <v>181.56325012498951</v>
      </c>
      <c r="I336" s="304">
        <f t="shared" ca="1" si="158"/>
        <v>186.65240440762898</v>
      </c>
      <c r="J336" s="306">
        <f t="shared" ca="1" si="159"/>
        <v>82.096555719852972</v>
      </c>
      <c r="K336" s="307">
        <f t="shared" ca="1" si="160"/>
        <v>371.90211233777251</v>
      </c>
      <c r="L336" s="304">
        <f t="shared" ca="1" si="145"/>
        <v>380.85564932446528</v>
      </c>
      <c r="M336" s="306">
        <f t="shared" ca="1" si="161"/>
        <v>1.3367441147603591</v>
      </c>
      <c r="N336" s="304">
        <f t="shared" ca="1" si="162"/>
        <v>76.589796064719948</v>
      </c>
      <c r="P336" s="310">
        <f t="shared" ca="1" si="163"/>
        <v>9</v>
      </c>
      <c r="Q336" s="304">
        <f t="shared" ca="1" si="164"/>
        <v>157.70370370371944</v>
      </c>
      <c r="R336" s="306">
        <f t="shared" ca="1" si="165"/>
        <v>7.9144141201990981E-2</v>
      </c>
      <c r="S336" s="307">
        <f t="shared" ca="1" si="166"/>
        <v>7.8183649457256577</v>
      </c>
      <c r="T336" s="304">
        <f t="shared" ca="1" si="146"/>
        <v>76.698160117568705</v>
      </c>
      <c r="U336" s="311">
        <f t="shared" ca="1" si="147"/>
        <v>0</v>
      </c>
      <c r="V336" s="306">
        <f t="shared" ca="1" si="148"/>
        <v>1.1802736818485047</v>
      </c>
      <c r="W336" s="304">
        <f t="shared" ca="1" si="149"/>
        <v>133.97118713640796</v>
      </c>
      <c r="Y336" s="314" t="str">
        <f t="shared" ca="1" si="167"/>
        <v/>
      </c>
      <c r="Z336" s="315" t="str">
        <f t="shared" ca="1" si="168"/>
        <v/>
      </c>
      <c r="AA336" s="316" t="str">
        <f t="shared" ca="1" si="169"/>
        <v/>
      </c>
      <c r="AC336" s="310" t="e">
        <f t="shared" ca="1" si="170"/>
        <v>#N/A</v>
      </c>
      <c r="AD336" s="323" t="e">
        <f t="shared" ca="1" si="171"/>
        <v>#N/A</v>
      </c>
      <c r="AE336" s="324">
        <f t="shared" ca="1" si="150"/>
        <v>371.90211233777251</v>
      </c>
      <c r="AG336" s="306">
        <f t="shared" ca="1" si="172"/>
        <v>-6.5224129006384519</v>
      </c>
      <c r="AH336" s="304">
        <f t="shared" ca="1" si="173"/>
        <v>3.0203905399206281</v>
      </c>
    </row>
    <row r="337" spans="1:34" x14ac:dyDescent="0.2">
      <c r="A337" s="347">
        <f t="shared" ca="1" si="151"/>
        <v>0.01</v>
      </c>
      <c r="B337" s="304">
        <f t="shared" ca="1" si="152"/>
        <v>3.329999999999973</v>
      </c>
      <c r="D337" s="306">
        <f t="shared" ca="1" si="153"/>
        <v>0.53045726144527328</v>
      </c>
      <c r="E337" s="307">
        <f t="shared" ca="1" si="154"/>
        <v>-7.5851311558644419</v>
      </c>
      <c r="F337" s="304">
        <f t="shared" ca="1" si="155"/>
        <v>7.6036569858118579</v>
      </c>
      <c r="G337" s="306">
        <f t="shared" ca="1" si="156"/>
        <v>43.29394367341753</v>
      </c>
      <c r="H337" s="307">
        <f t="shared" ca="1" si="157"/>
        <v>181.48739881343087</v>
      </c>
      <c r="I337" s="304">
        <f t="shared" ca="1" si="158"/>
        <v>186.57985284285749</v>
      </c>
      <c r="J337" s="306">
        <f t="shared" ca="1" si="159"/>
        <v>82.529468633724079</v>
      </c>
      <c r="K337" s="307">
        <f t="shared" ca="1" si="160"/>
        <v>373.71736558246459</v>
      </c>
      <c r="L337" s="304">
        <f t="shared" ca="1" si="145"/>
        <v>382.7215469905795</v>
      </c>
      <c r="M337" s="306">
        <f t="shared" ca="1" si="161"/>
        <v>1.3366221752052319</v>
      </c>
      <c r="N337" s="304">
        <f t="shared" ca="1" si="162"/>
        <v>76.582809442855449</v>
      </c>
      <c r="P337" s="310">
        <f t="shared" ca="1" si="163"/>
        <v>9</v>
      </c>
      <c r="Q337" s="304">
        <f t="shared" ca="1" si="164"/>
        <v>151.85185185186771</v>
      </c>
      <c r="R337" s="306">
        <f t="shared" ca="1" si="165"/>
        <v>7.6207369405393258E-2</v>
      </c>
      <c r="S337" s="307">
        <f t="shared" ca="1" si="166"/>
        <v>7.8176028720316033</v>
      </c>
      <c r="T337" s="304">
        <f t="shared" ca="1" si="146"/>
        <v>76.690684174630036</v>
      </c>
      <c r="U337" s="311">
        <f t="shared" ca="1" si="147"/>
        <v>0</v>
      </c>
      <c r="V337" s="306">
        <f t="shared" ca="1" si="148"/>
        <v>1.1800593772728099</v>
      </c>
      <c r="W337" s="304">
        <f t="shared" ca="1" si="149"/>
        <v>133.84275199875256</v>
      </c>
      <c r="Y337" s="314" t="str">
        <f t="shared" ca="1" si="167"/>
        <v/>
      </c>
      <c r="Z337" s="315" t="str">
        <f t="shared" ca="1" si="168"/>
        <v/>
      </c>
      <c r="AA337" s="316" t="str">
        <f t="shared" ca="1" si="169"/>
        <v/>
      </c>
      <c r="AC337" s="310" t="e">
        <f t="shared" ca="1" si="170"/>
        <v>#N/A</v>
      </c>
      <c r="AD337" s="323" t="e">
        <f t="shared" ca="1" si="171"/>
        <v>#N/A</v>
      </c>
      <c r="AE337" s="324">
        <f t="shared" ca="1" si="150"/>
        <v>373.71736558246459</v>
      </c>
      <c r="AG337" s="306">
        <f t="shared" ca="1" si="172"/>
        <v>-7.2552951923217286</v>
      </c>
      <c r="AH337" s="304">
        <f t="shared" ca="1" si="173"/>
        <v>2.2872311382597768</v>
      </c>
    </row>
    <row r="338" spans="1:34" x14ac:dyDescent="0.2">
      <c r="A338" s="347">
        <f t="shared" ca="1" si="151"/>
        <v>0.01</v>
      </c>
      <c r="B338" s="304">
        <f t="shared" ca="1" si="152"/>
        <v>3.3399999999999728</v>
      </c>
      <c r="D338" s="306">
        <f t="shared" ca="1" si="153"/>
        <v>0.36088163285076985</v>
      </c>
      <c r="E338" s="307">
        <f t="shared" ca="1" si="154"/>
        <v>-8.2971909724905935</v>
      </c>
      <c r="F338" s="304">
        <f t="shared" ca="1" si="155"/>
        <v>8.3050354356202742</v>
      </c>
      <c r="G338" s="306">
        <f t="shared" ca="1" si="156"/>
        <v>43.297552489746039</v>
      </c>
      <c r="H338" s="307">
        <f t="shared" ca="1" si="157"/>
        <v>181.40442690370597</v>
      </c>
      <c r="I338" s="304">
        <f t="shared" ca="1" si="158"/>
        <v>186.49998432135141</v>
      </c>
      <c r="J338" s="306">
        <f t="shared" ca="1" si="159"/>
        <v>82.962426114539895</v>
      </c>
      <c r="K338" s="307">
        <f t="shared" ca="1" si="160"/>
        <v>375.53182471105026</v>
      </c>
      <c r="L338" s="304">
        <f t="shared" ca="1" si="145"/>
        <v>384.58668140956399</v>
      </c>
      <c r="M338" s="306">
        <f t="shared" ca="1" si="161"/>
        <v>1.3365001210384215</v>
      </c>
      <c r="N338" s="304">
        <f t="shared" ca="1" si="162"/>
        <v>76.575816254225231</v>
      </c>
      <c r="P338" s="310">
        <f t="shared" ca="1" si="163"/>
        <v>9</v>
      </c>
      <c r="Q338" s="304">
        <f t="shared" ca="1" si="164"/>
        <v>146.00000000001597</v>
      </c>
      <c r="R338" s="306">
        <f t="shared" ca="1" si="165"/>
        <v>7.3270597608795549E-2</v>
      </c>
      <c r="S338" s="307">
        <f t="shared" ca="1" si="166"/>
        <v>7.8168701660555158</v>
      </c>
      <c r="T338" s="304">
        <f t="shared" ca="1" si="146"/>
        <v>76.683496329004612</v>
      </c>
      <c r="U338" s="311">
        <f t="shared" ca="1" si="147"/>
        <v>0</v>
      </c>
      <c r="V338" s="306">
        <f t="shared" ca="1" si="148"/>
        <v>1.1798452046082915</v>
      </c>
      <c r="W338" s="304">
        <f t="shared" ca="1" si="149"/>
        <v>133.70391867082535</v>
      </c>
      <c r="Y338" s="314" t="str">
        <f t="shared" ca="1" si="167"/>
        <v/>
      </c>
      <c r="Z338" s="315" t="str">
        <f t="shared" ca="1" si="168"/>
        <v/>
      </c>
      <c r="AA338" s="316" t="str">
        <f t="shared" ca="1" si="169"/>
        <v/>
      </c>
      <c r="AC338" s="310" t="e">
        <f t="shared" ca="1" si="170"/>
        <v>#N/A</v>
      </c>
      <c r="AD338" s="323" t="e">
        <f t="shared" ca="1" si="171"/>
        <v>#N/A</v>
      </c>
      <c r="AE338" s="324">
        <f t="shared" ca="1" si="150"/>
        <v>375.53182471105026</v>
      </c>
      <c r="AG338" s="306">
        <f t="shared" ca="1" si="172"/>
        <v>-7.9869910671720934</v>
      </c>
      <c r="AH338" s="304">
        <f t="shared" ca="1" si="173"/>
        <v>1.555257762122727</v>
      </c>
    </row>
    <row r="339" spans="1:34" x14ac:dyDescent="0.2">
      <c r="A339" s="347">
        <f t="shared" ca="1" si="151"/>
        <v>0.01</v>
      </c>
      <c r="B339" s="304">
        <f t="shared" ca="1" si="152"/>
        <v>3.3499999999999726</v>
      </c>
      <c r="D339" s="306">
        <f t="shared" ca="1" si="153"/>
        <v>0.19140872242164972</v>
      </c>
      <c r="E339" s="307">
        <f t="shared" ca="1" si="154"/>
        <v>-9.0080519082806578</v>
      </c>
      <c r="F339" s="304">
        <f t="shared" ca="1" si="155"/>
        <v>9.0100852649293994</v>
      </c>
      <c r="G339" s="306">
        <f t="shared" ca="1" si="156"/>
        <v>43.299466576970254</v>
      </c>
      <c r="H339" s="307">
        <f t="shared" ca="1" si="157"/>
        <v>181.31434638462315</v>
      </c>
      <c r="I339" s="304">
        <f t="shared" ca="1" si="158"/>
        <v>186.41281074736594</v>
      </c>
      <c r="J339" s="306">
        <f t="shared" ca="1" si="159"/>
        <v>83.395411209873473</v>
      </c>
      <c r="K339" s="307">
        <f t="shared" ca="1" si="160"/>
        <v>377.3454185774919</v>
      </c>
      <c r="L339" s="304">
        <f t="shared" ca="1" si="145"/>
        <v>386.45097946865974</v>
      </c>
      <c r="M339" s="306">
        <f t="shared" ca="1" si="161"/>
        <v>1.3363779473173771</v>
      </c>
      <c r="N339" s="304">
        <f t="shared" ca="1" si="162"/>
        <v>76.568816215641988</v>
      </c>
      <c r="P339" s="310">
        <f t="shared" ca="1" si="163"/>
        <v>9</v>
      </c>
      <c r="Q339" s="304">
        <f t="shared" ca="1" si="164"/>
        <v>140.14814814816427</v>
      </c>
      <c r="R339" s="306">
        <f t="shared" ca="1" si="165"/>
        <v>7.0333825812197839E-2</v>
      </c>
      <c r="S339" s="307">
        <f t="shared" ca="1" si="166"/>
        <v>7.8161668277973941</v>
      </c>
      <c r="T339" s="304">
        <f t="shared" ca="1" si="146"/>
        <v>76.676596580692447</v>
      </c>
      <c r="U339" s="311">
        <f t="shared" ca="1" si="147"/>
        <v>0</v>
      </c>
      <c r="V339" s="306">
        <f t="shared" ca="1" si="148"/>
        <v>1.1796311721902688</v>
      </c>
      <c r="W339" s="304">
        <f t="shared" ca="1" si="149"/>
        <v>133.55472428291313</v>
      </c>
      <c r="Y339" s="314" t="str">
        <f t="shared" ca="1" si="167"/>
        <v/>
      </c>
      <c r="Z339" s="315" t="str">
        <f t="shared" ca="1" si="168"/>
        <v/>
      </c>
      <c r="AA339" s="316" t="str">
        <f t="shared" ca="1" si="169"/>
        <v/>
      </c>
      <c r="AC339" s="310" t="e">
        <f t="shared" ca="1" si="170"/>
        <v>#N/A</v>
      </c>
      <c r="AD339" s="323" t="e">
        <f t="shared" ca="1" si="171"/>
        <v>#N/A</v>
      </c>
      <c r="AE339" s="324">
        <f t="shared" ca="1" si="150"/>
        <v>377.3454185774919</v>
      </c>
      <c r="AG339" s="306">
        <f t="shared" ca="1" si="172"/>
        <v>-8.7174965223217491</v>
      </c>
      <c r="AH339" s="304">
        <f t="shared" ca="1" si="173"/>
        <v>0.82447440277511508</v>
      </c>
    </row>
    <row r="340" spans="1:34" x14ac:dyDescent="0.2">
      <c r="A340" s="347">
        <f t="shared" ca="1" si="151"/>
        <v>0.01</v>
      </c>
      <c r="B340" s="304">
        <f t="shared" ca="1" si="152"/>
        <v>3.3599999999999723</v>
      </c>
      <c r="D340" s="306">
        <f t="shared" ca="1" si="153"/>
        <v>2.2039602232415741E-2</v>
      </c>
      <c r="E340" s="307">
        <f t="shared" ca="1" si="154"/>
        <v>-9.7177102701428453</v>
      </c>
      <c r="F340" s="304">
        <f t="shared" ca="1" si="155"/>
        <v>9.7177352628329157</v>
      </c>
      <c r="G340" s="306">
        <f t="shared" ca="1" si="156"/>
        <v>43.299686972992575</v>
      </c>
      <c r="H340" s="307">
        <f t="shared" ca="1" si="157"/>
        <v>181.21716928192171</v>
      </c>
      <c r="I340" s="304">
        <f t="shared" ca="1" si="158"/>
        <v>186.3183440633579</v>
      </c>
      <c r="J340" s="306">
        <f t="shared" ca="1" si="159"/>
        <v>83.828406977623288</v>
      </c>
      <c r="K340" s="307">
        <f t="shared" ca="1" si="160"/>
        <v>379.15807615582463</v>
      </c>
      <c r="L340" s="304">
        <f t="shared" ca="1" si="145"/>
        <v>388.31436817428238</v>
      </c>
      <c r="M340" s="306">
        <f t="shared" ca="1" si="161"/>
        <v>1.336255649083862</v>
      </c>
      <c r="N340" s="304">
        <f t="shared" ca="1" si="162"/>
        <v>76.561809043019665</v>
      </c>
      <c r="P340" s="310">
        <f t="shared" ca="1" si="163"/>
        <v>9</v>
      </c>
      <c r="Q340" s="304">
        <f t="shared" ca="1" si="164"/>
        <v>134.29629629631253</v>
      </c>
      <c r="R340" s="306">
        <f t="shared" ca="1" si="165"/>
        <v>6.739705401560013E-2</v>
      </c>
      <c r="S340" s="307">
        <f t="shared" ca="1" si="166"/>
        <v>7.8154928572572384</v>
      </c>
      <c r="T340" s="304">
        <f t="shared" ca="1" si="146"/>
        <v>76.669984929693513</v>
      </c>
      <c r="U340" s="311">
        <f t="shared" ca="1" si="147"/>
        <v>0</v>
      </c>
      <c r="V340" s="306">
        <f t="shared" ca="1" si="148"/>
        <v>1.1794172883339742</v>
      </c>
      <c r="W340" s="304">
        <f t="shared" ca="1" si="149"/>
        <v>133.39520718453039</v>
      </c>
      <c r="Y340" s="314" t="str">
        <f t="shared" ca="1" si="167"/>
        <v/>
      </c>
      <c r="Z340" s="315" t="str">
        <f t="shared" ca="1" si="168"/>
        <v/>
      </c>
      <c r="AA340" s="316" t="str">
        <f t="shared" ca="1" si="169"/>
        <v/>
      </c>
      <c r="AC340" s="310" t="e">
        <f t="shared" ca="1" si="170"/>
        <v>#N/A</v>
      </c>
      <c r="AD340" s="323" t="e">
        <f t="shared" ca="1" si="171"/>
        <v>#N/A</v>
      </c>
      <c r="AE340" s="324">
        <f t="shared" ca="1" si="150"/>
        <v>379.15807615582463</v>
      </c>
      <c r="AG340" s="306">
        <f t="shared" ca="1" si="172"/>
        <v>-9.4468077376529802</v>
      </c>
      <c r="AH340" s="304">
        <f t="shared" ca="1" si="173"/>
        <v>9.4884868676043066E-2</v>
      </c>
    </row>
    <row r="341" spans="1:34" x14ac:dyDescent="0.2">
      <c r="A341" s="347">
        <f t="shared" ca="1" si="151"/>
        <v>0.01</v>
      </c>
      <c r="B341" s="304">
        <f t="shared" ca="1" si="152"/>
        <v>3.3699999999999721</v>
      </c>
      <c r="D341" s="306">
        <f t="shared" ca="1" si="153"/>
        <v>-0.14722470924235395</v>
      </c>
      <c r="E341" s="307">
        <f t="shared" ca="1" si="154"/>
        <v>-10.426162538863025</v>
      </c>
      <c r="F341" s="304">
        <f t="shared" ca="1" si="155"/>
        <v>10.427201944999538</v>
      </c>
      <c r="G341" s="306">
        <f t="shared" ca="1" si="156"/>
        <v>43.298214725900152</v>
      </c>
      <c r="H341" s="307">
        <f t="shared" ca="1" si="157"/>
        <v>181.11290765653308</v>
      </c>
      <c r="I341" s="304">
        <f t="shared" ca="1" si="158"/>
        <v>186.21659624817019</v>
      </c>
      <c r="J341" s="306">
        <f t="shared" ca="1" si="159"/>
        <v>84.261396486117746</v>
      </c>
      <c r="K341" s="307">
        <f t="shared" ca="1" si="160"/>
        <v>380.96972654051689</v>
      </c>
      <c r="L341" s="304">
        <f t="shared" ca="1" si="145"/>
        <v>390.17677465239643</v>
      </c>
      <c r="M341" s="306">
        <f t="shared" ca="1" si="161"/>
        <v>1.336133221362805</v>
      </c>
      <c r="N341" s="304">
        <f t="shared" ca="1" si="162"/>
        <v>76.554794451307686</v>
      </c>
      <c r="P341" s="310">
        <f t="shared" ca="1" si="163"/>
        <v>9</v>
      </c>
      <c r="Q341" s="304">
        <f t="shared" ca="1" si="164"/>
        <v>128.44444444446083</v>
      </c>
      <c r="R341" s="306">
        <f t="shared" ca="1" si="165"/>
        <v>6.4460282219002421E-2</v>
      </c>
      <c r="S341" s="307">
        <f t="shared" ca="1" si="166"/>
        <v>7.8148482544350486</v>
      </c>
      <c r="T341" s="304">
        <f t="shared" ca="1" si="146"/>
        <v>76.663661376007838</v>
      </c>
      <c r="U341" s="311">
        <f t="shared" ca="1" si="147"/>
        <v>0</v>
      </c>
      <c r="V341" s="306">
        <f t="shared" ca="1" si="148"/>
        <v>1.1792035613345324</v>
      </c>
      <c r="W341" s="304">
        <f t="shared" ca="1" si="149"/>
        <v>133.22540693317183</v>
      </c>
      <c r="Y341" s="314" t="str">
        <f t="shared" ca="1" si="167"/>
        <v/>
      </c>
      <c r="Z341" s="315" t="str">
        <f t="shared" ca="1" si="168"/>
        <v/>
      </c>
      <c r="AA341" s="316" t="str">
        <f t="shared" ca="1" si="169"/>
        <v/>
      </c>
      <c r="AC341" s="310" t="e">
        <f t="shared" ca="1" si="170"/>
        <v>#N/A</v>
      </c>
      <c r="AD341" s="323" t="e">
        <f t="shared" ca="1" si="171"/>
        <v>#N/A</v>
      </c>
      <c r="AE341" s="324">
        <f t="shared" ca="1" si="150"/>
        <v>380.96972654051689</v>
      </c>
      <c r="AG341" s="306">
        <f t="shared" ca="1" si="172"/>
        <v>-10.174921074578647</v>
      </c>
      <c r="AH341" s="304">
        <f t="shared" ca="1" si="173"/>
        <v>-0.63350721330512449</v>
      </c>
    </row>
    <row r="342" spans="1:34" x14ac:dyDescent="0.2">
      <c r="A342" s="347">
        <f t="shared" ca="1" si="151"/>
        <v>0.01</v>
      </c>
      <c r="B342" s="304">
        <f t="shared" ca="1" si="152"/>
        <v>3.3799999999999719</v>
      </c>
      <c r="D342" s="306">
        <f t="shared" ca="1" si="153"/>
        <v>-0.31638324694449516</v>
      </c>
      <c r="E342" s="307">
        <f t="shared" ca="1" si="154"/>
        <v>-11.133405367881277</v>
      </c>
      <c r="F342" s="304">
        <f t="shared" ca="1" si="155"/>
        <v>11.137899866874131</v>
      </c>
      <c r="G342" s="306">
        <f t="shared" ca="1" si="156"/>
        <v>43.295050893430705</v>
      </c>
      <c r="H342" s="307">
        <f t="shared" ca="1" si="157"/>
        <v>181.00157360285428</v>
      </c>
      <c r="I342" s="304">
        <f t="shared" ca="1" si="158"/>
        <v>186.10757931522895</v>
      </c>
      <c r="J342" s="306">
        <f t="shared" ca="1" si="159"/>
        <v>84.694362814214401</v>
      </c>
      <c r="K342" s="307">
        <f t="shared" ca="1" si="160"/>
        <v>382.78029894681384</v>
      </c>
      <c r="L342" s="304">
        <f t="shared" ca="1" si="145"/>
        <v>392.03812614887079</v>
      </c>
      <c r="M342" s="306">
        <f t="shared" ca="1" si="161"/>
        <v>1.3360106591611451</v>
      </c>
      <c r="N342" s="304">
        <f t="shared" ca="1" si="162"/>
        <v>76.547772154424749</v>
      </c>
      <c r="P342" s="310">
        <f t="shared" ca="1" si="163"/>
        <v>9</v>
      </c>
      <c r="Q342" s="304">
        <f t="shared" ca="1" si="164"/>
        <v>122.59259259260908</v>
      </c>
      <c r="R342" s="306">
        <f t="shared" ca="1" si="165"/>
        <v>6.1523510422404705E-2</v>
      </c>
      <c r="S342" s="307">
        <f t="shared" ca="1" si="166"/>
        <v>7.8142330193308247</v>
      </c>
      <c r="T342" s="304">
        <f t="shared" ca="1" si="146"/>
        <v>76.657625919635393</v>
      </c>
      <c r="U342" s="311">
        <f t="shared" ca="1" si="147"/>
        <v>0</v>
      </c>
      <c r="V342" s="306">
        <f t="shared" ca="1" si="148"/>
        <v>1.1789899994669446</v>
      </c>
      <c r="W342" s="304">
        <f t="shared" ca="1" si="149"/>
        <v>133.04536428309052</v>
      </c>
      <c r="Y342" s="314" t="str">
        <f t="shared" ca="1" si="167"/>
        <v/>
      </c>
      <c r="Z342" s="315" t="str">
        <f t="shared" ca="1" si="168"/>
        <v/>
      </c>
      <c r="AA342" s="316" t="str">
        <f t="shared" ca="1" si="169"/>
        <v/>
      </c>
      <c r="AC342" s="310" t="e">
        <f t="shared" ca="1" si="170"/>
        <v>#N/A</v>
      </c>
      <c r="AD342" s="323" t="e">
        <f t="shared" ca="1" si="171"/>
        <v>#N/A</v>
      </c>
      <c r="AE342" s="324">
        <f t="shared" ca="1" si="150"/>
        <v>382.78029894681384</v>
      </c>
      <c r="AG342" s="306">
        <f t="shared" ca="1" si="172"/>
        <v>-10.901833074814673</v>
      </c>
      <c r="AH342" s="304">
        <f t="shared" ca="1" si="173"/>
        <v>-1.3606983966640518</v>
      </c>
    </row>
    <row r="343" spans="1:34" x14ac:dyDescent="0.2">
      <c r="A343" s="347">
        <f t="shared" ca="1" si="151"/>
        <v>0.01</v>
      </c>
      <c r="B343" s="304">
        <f t="shared" ca="1" si="152"/>
        <v>3.3899999999999717</v>
      </c>
      <c r="D343" s="306">
        <f t="shared" ca="1" si="153"/>
        <v>-0.48543509905068682</v>
      </c>
      <c r="E343" s="307">
        <f t="shared" ca="1" si="154"/>
        <v>-11.839435582060112</v>
      </c>
      <c r="F343" s="304">
        <f t="shared" ca="1" si="155"/>
        <v>11.849383196485014</v>
      </c>
      <c r="G343" s="306">
        <f t="shared" ca="1" si="156"/>
        <v>43.290196542440199</v>
      </c>
      <c r="H343" s="307">
        <f t="shared" ca="1" si="157"/>
        <v>180.88317924703367</v>
      </c>
      <c r="I343" s="304">
        <f t="shared" ca="1" si="158"/>
        <v>185.99130531075267</v>
      </c>
      <c r="J343" s="306">
        <f t="shared" ca="1" si="159"/>
        <v>85.12728905139376</v>
      </c>
      <c r="K343" s="307">
        <f t="shared" ca="1" si="160"/>
        <v>384.5897227110633</v>
      </c>
      <c r="L343" s="304">
        <f t="shared" ca="1" si="145"/>
        <v>393.89835002981681</v>
      </c>
      <c r="M343" s="306">
        <f t="shared" ca="1" si="161"/>
        <v>1.335887957466666</v>
      </c>
      <c r="N343" s="304">
        <f t="shared" ca="1" si="162"/>
        <v>76.54074186519199</v>
      </c>
      <c r="P343" s="310">
        <f t="shared" ca="1" si="163"/>
        <v>9</v>
      </c>
      <c r="Q343" s="304">
        <f t="shared" ca="1" si="164"/>
        <v>116.74074074075736</v>
      </c>
      <c r="R343" s="306">
        <f t="shared" ca="1" si="165"/>
        <v>5.8586738625806996E-2</v>
      </c>
      <c r="S343" s="307">
        <f t="shared" ca="1" si="166"/>
        <v>7.8136471519445667</v>
      </c>
      <c r="T343" s="304">
        <f t="shared" ca="1" si="146"/>
        <v>76.651878560576208</v>
      </c>
      <c r="U343" s="311">
        <f t="shared" ca="1" si="147"/>
        <v>0</v>
      </c>
      <c r="V343" s="306">
        <f t="shared" ca="1" si="148"/>
        <v>1.1787766109860767</v>
      </c>
      <c r="W343" s="304">
        <f t="shared" ca="1" si="149"/>
        <v>132.85512117410454</v>
      </c>
      <c r="Y343" s="314" t="str">
        <f t="shared" ca="1" si="167"/>
        <v/>
      </c>
      <c r="Z343" s="315" t="str">
        <f t="shared" ca="1" si="168"/>
        <v/>
      </c>
      <c r="AA343" s="316" t="str">
        <f t="shared" ca="1" si="169"/>
        <v/>
      </c>
      <c r="AC343" s="310" t="e">
        <f t="shared" ca="1" si="170"/>
        <v>#N/A</v>
      </c>
      <c r="AD343" s="323" t="e">
        <f t="shared" ca="1" si="171"/>
        <v>#N/A</v>
      </c>
      <c r="AE343" s="324">
        <f t="shared" ca="1" si="150"/>
        <v>384.5897227110633</v>
      </c>
      <c r="AG343" s="306">
        <f t="shared" ca="1" si="172"/>
        <v>-11.627540459145006</v>
      </c>
      <c r="AH343" s="304">
        <f t="shared" ca="1" si="173"/>
        <v>-2.0866854140291529</v>
      </c>
    </row>
    <row r="344" spans="1:34" x14ac:dyDescent="0.2">
      <c r="A344" s="347">
        <f t="shared" ca="1" si="151"/>
        <v>0.01</v>
      </c>
      <c r="B344" s="304">
        <f t="shared" ca="1" si="152"/>
        <v>3.3999999999999715</v>
      </c>
      <c r="D344" s="306">
        <f t="shared" ca="1" si="153"/>
        <v>-0.6543794067929849</v>
      </c>
      <c r="E344" s="307">
        <f t="shared" ca="1" si="154"/>
        <v>-12.544250176444935</v>
      </c>
      <c r="F344" s="304">
        <f t="shared" ca="1" si="155"/>
        <v>12.561306655649862</v>
      </c>
      <c r="G344" s="306">
        <f t="shared" ca="1" si="156"/>
        <v>43.283652748372269</v>
      </c>
      <c r="H344" s="307">
        <f t="shared" ca="1" si="157"/>
        <v>180.75773674526923</v>
      </c>
      <c r="I344" s="304">
        <f t="shared" ca="1" si="158"/>
        <v>185.86778631197424</v>
      </c>
      <c r="J344" s="306">
        <f t="shared" ca="1" si="159"/>
        <v>85.560158297847821</v>
      </c>
      <c r="K344" s="307">
        <f t="shared" ca="1" si="160"/>
        <v>386.39792729102481</v>
      </c>
      <c r="L344" s="304">
        <f t="shared" ca="1" si="145"/>
        <v>395.75737378190803</v>
      </c>
      <c r="M344" s="306">
        <f t="shared" ca="1" si="161"/>
        <v>1.3357651112468223</v>
      </c>
      <c r="N344" s="304">
        <f t="shared" ca="1" si="162"/>
        <v>76.533703295265809</v>
      </c>
      <c r="P344" s="310">
        <f t="shared" ca="1" si="163"/>
        <v>9</v>
      </c>
      <c r="Q344" s="304">
        <f t="shared" ca="1" si="164"/>
        <v>110.88888888890563</v>
      </c>
      <c r="R344" s="306">
        <f t="shared" ca="1" si="165"/>
        <v>5.564996682920928E-2</v>
      </c>
      <c r="S344" s="307">
        <f t="shared" ca="1" si="166"/>
        <v>7.8130906522762746</v>
      </c>
      <c r="T344" s="304">
        <f t="shared" ca="1" si="146"/>
        <v>76.646419298830253</v>
      </c>
      <c r="U344" s="311">
        <f t="shared" ca="1" si="147"/>
        <v>0</v>
      </c>
      <c r="V344" s="306">
        <f t="shared" ca="1" si="148"/>
        <v>1.1785634041266453</v>
      </c>
      <c r="W344" s="304">
        <f t="shared" ca="1" si="149"/>
        <v>132.65472072043423</v>
      </c>
      <c r="Y344" s="314" t="str">
        <f t="shared" ca="1" si="167"/>
        <v/>
      </c>
      <c r="Z344" s="315" t="str">
        <f t="shared" ca="1" si="168"/>
        <v/>
      </c>
      <c r="AA344" s="316" t="str">
        <f t="shared" ca="1" si="169"/>
        <v/>
      </c>
      <c r="AC344" s="310" t="e">
        <f t="shared" ca="1" si="170"/>
        <v>#N/A</v>
      </c>
      <c r="AD344" s="323" t="e">
        <f t="shared" ca="1" si="171"/>
        <v>#N/A</v>
      </c>
      <c r="AE344" s="324">
        <f t="shared" ca="1" si="150"/>
        <v>386.39792729102481</v>
      </c>
      <c r="AG344" s="306">
        <f t="shared" ca="1" si="172"/>
        <v>-12.352040126179485</v>
      </c>
      <c r="AH344" s="304">
        <f t="shared" ca="1" si="173"/>
        <v>-2.811465175922315</v>
      </c>
    </row>
    <row r="345" spans="1:34" x14ac:dyDescent="0.2">
      <c r="A345" s="347">
        <f t="shared" ca="1" si="151"/>
        <v>0.01</v>
      </c>
      <c r="B345" s="304">
        <f t="shared" ca="1" si="152"/>
        <v>3.4099999999999713</v>
      </c>
      <c r="D345" s="306">
        <f t="shared" ca="1" si="153"/>
        <v>-0.82321536428155739</v>
      </c>
      <c r="E345" s="307">
        <f t="shared" ca="1" si="154"/>
        <v>-13.247846315016989</v>
      </c>
      <c r="F345" s="304">
        <f t="shared" ca="1" si="155"/>
        <v>13.273398793161396</v>
      </c>
      <c r="G345" s="306">
        <f t="shared" ca="1" si="156"/>
        <v>43.275420594729454</v>
      </c>
      <c r="H345" s="307">
        <f t="shared" ca="1" si="157"/>
        <v>180.62525828211906</v>
      </c>
      <c r="I345" s="304">
        <f t="shared" ca="1" si="158"/>
        <v>185.73703442537504</v>
      </c>
      <c r="J345" s="306">
        <f t="shared" ca="1" si="159"/>
        <v>85.992953664563331</v>
      </c>
      <c r="K345" s="307">
        <f t="shared" ca="1" si="160"/>
        <v>388.20484226616173</v>
      </c>
      <c r="L345" s="304">
        <f t="shared" ca="1" si="145"/>
        <v>397.61512501268265</v>
      </c>
      <c r="M345" s="306">
        <f t="shared" ca="1" si="161"/>
        <v>1.3356421154475551</v>
      </c>
      <c r="N345" s="304">
        <f t="shared" ca="1" si="162"/>
        <v>76.526656155069958</v>
      </c>
      <c r="P345" s="310">
        <f t="shared" ca="1" si="163"/>
        <v>9</v>
      </c>
      <c r="Q345" s="304">
        <f t="shared" ca="1" si="164"/>
        <v>105.03703703705391</v>
      </c>
      <c r="R345" s="306">
        <f t="shared" ca="1" si="165"/>
        <v>5.2713195032611571E-2</v>
      </c>
      <c r="S345" s="307">
        <f t="shared" ca="1" si="166"/>
        <v>7.8125635203259485</v>
      </c>
      <c r="T345" s="304">
        <f t="shared" ca="1" si="146"/>
        <v>76.641248134397557</v>
      </c>
      <c r="U345" s="311">
        <f t="shared" ca="1" si="147"/>
        <v>0</v>
      </c>
      <c r="V345" s="306">
        <f t="shared" ca="1" si="148"/>
        <v>1.1783503871032142</v>
      </c>
      <c r="W345" s="304">
        <f t="shared" ca="1" si="149"/>
        <v>132.44420719957284</v>
      </c>
      <c r="Y345" s="314" t="str">
        <f t="shared" ca="1" si="167"/>
        <v/>
      </c>
      <c r="Z345" s="315" t="str">
        <f t="shared" ca="1" si="168"/>
        <v/>
      </c>
      <c r="AA345" s="316" t="str">
        <f t="shared" ca="1" si="169"/>
        <v/>
      </c>
      <c r="AC345" s="310" t="e">
        <f t="shared" ca="1" si="170"/>
        <v>#N/A</v>
      </c>
      <c r="AD345" s="323" t="e">
        <f t="shared" ca="1" si="171"/>
        <v>#N/A</v>
      </c>
      <c r="AE345" s="324">
        <f t="shared" ca="1" si="150"/>
        <v>388.20484226616173</v>
      </c>
      <c r="AG345" s="306">
        <f t="shared" ca="1" si="172"/>
        <v>-13.075329151105011</v>
      </c>
      <c r="AH345" s="304">
        <f t="shared" ca="1" si="173"/>
        <v>-3.5350347695128987</v>
      </c>
    </row>
    <row r="346" spans="1:34" x14ac:dyDescent="0.2">
      <c r="A346" s="347">
        <f t="shared" ca="1" si="151"/>
        <v>0.01</v>
      </c>
      <c r="B346" s="304">
        <f t="shared" ca="1" si="152"/>
        <v>3.4199999999999711</v>
      </c>
      <c r="D346" s="306">
        <f t="shared" ca="1" si="153"/>
        <v>-0.99194221832978291</v>
      </c>
      <c r="E346" s="307">
        <f t="shared" ca="1" si="154"/>
        <v>-13.950221329439287</v>
      </c>
      <c r="F346" s="304">
        <f t="shared" ca="1" si="155"/>
        <v>13.985443307412455</v>
      </c>
      <c r="G346" s="306">
        <f t="shared" ca="1" si="156"/>
        <v>43.265501172546159</v>
      </c>
      <c r="H346" s="307">
        <f t="shared" ca="1" si="157"/>
        <v>180.48575606882466</v>
      </c>
      <c r="I346" s="304">
        <f t="shared" ca="1" si="158"/>
        <v>185.59906178493162</v>
      </c>
      <c r="J346" s="306">
        <f t="shared" ca="1" si="159"/>
        <v>86.425658273399705</v>
      </c>
      <c r="K346" s="307">
        <f t="shared" ca="1" si="160"/>
        <v>390.01039733791646</v>
      </c>
      <c r="L346" s="304">
        <f t="shared" ca="1" si="145"/>
        <v>399.47153145082814</v>
      </c>
      <c r="M346" s="306">
        <f t="shared" ca="1" si="161"/>
        <v>1.3355189649920973</v>
      </c>
      <c r="N346" s="304">
        <f t="shared" ca="1" si="162"/>
        <v>76.519600153727112</v>
      </c>
      <c r="P346" s="310">
        <f t="shared" ca="1" si="163"/>
        <v>9</v>
      </c>
      <c r="Q346" s="304">
        <f t="shared" ca="1" si="164"/>
        <v>99.185185185202172</v>
      </c>
      <c r="R346" s="306">
        <f t="shared" ca="1" si="165"/>
        <v>4.9776423236013854E-2</v>
      </c>
      <c r="S346" s="307">
        <f t="shared" ca="1" si="166"/>
        <v>7.8120657560935882</v>
      </c>
      <c r="T346" s="304">
        <f t="shared" ca="1" si="146"/>
        <v>76.636365067278106</v>
      </c>
      <c r="U346" s="311">
        <f t="shared" ca="1" si="147"/>
        <v>0</v>
      </c>
      <c r="V346" s="306">
        <f t="shared" ca="1" si="148"/>
        <v>1.178137568110184</v>
      </c>
      <c r="W346" s="304">
        <f t="shared" ca="1" si="149"/>
        <v>132.22362604119203</v>
      </c>
      <c r="Y346" s="314" t="str">
        <f t="shared" ca="1" si="167"/>
        <v/>
      </c>
      <c r="Z346" s="315" t="str">
        <f t="shared" ca="1" si="168"/>
        <v/>
      </c>
      <c r="AA346" s="316" t="str">
        <f t="shared" ca="1" si="169"/>
        <v/>
      </c>
      <c r="AC346" s="310" t="e">
        <f t="shared" ca="1" si="170"/>
        <v>#N/A</v>
      </c>
      <c r="AD346" s="323" t="e">
        <f t="shared" ca="1" si="171"/>
        <v>#N/A</v>
      </c>
      <c r="AE346" s="324">
        <f t="shared" ca="1" si="150"/>
        <v>390.01039733791646</v>
      </c>
      <c r="AG346" s="306">
        <f t="shared" ca="1" si="172"/>
        <v>-13.797404784430427</v>
      </c>
      <c r="AH346" s="304">
        <f t="shared" ca="1" si="173"/>
        <v>-4.2573914573655349</v>
      </c>
    </row>
    <row r="347" spans="1:34" x14ac:dyDescent="0.2">
      <c r="A347" s="347">
        <f t="shared" ca="1" si="151"/>
        <v>0.01</v>
      </c>
      <c r="B347" s="304">
        <f t="shared" ca="1" si="152"/>
        <v>3.4299999999999708</v>
      </c>
      <c r="D347" s="306">
        <f t="shared" ca="1" si="153"/>
        <v>-1.1605592682818016</v>
      </c>
      <c r="E347" s="307">
        <f t="shared" ca="1" si="154"/>
        <v>-14.6513727177957</v>
      </c>
      <c r="F347" s="304">
        <f t="shared" ca="1" si="155"/>
        <v>14.697265743360665</v>
      </c>
      <c r="G347" s="306">
        <f t="shared" ca="1" si="156"/>
        <v>43.25389557986334</v>
      </c>
      <c r="H347" s="307">
        <f t="shared" ca="1" si="157"/>
        <v>180.3392423416467</v>
      </c>
      <c r="I347" s="304">
        <f t="shared" ca="1" si="158"/>
        <v>185.45388055037537</v>
      </c>
      <c r="J347" s="306">
        <f t="shared" ca="1" si="159"/>
        <v>86.858255257161758</v>
      </c>
      <c r="K347" s="307">
        <f t="shared" ca="1" si="160"/>
        <v>391.81452232996884</v>
      </c>
      <c r="L347" s="304">
        <f t="shared" ca="1" si="145"/>
        <v>401.32652094644817</v>
      </c>
      <c r="M347" s="306">
        <f t="shared" ca="1" si="161"/>
        <v>1.3353956547797676</v>
      </c>
      <c r="N347" s="304">
        <f t="shared" ca="1" si="162"/>
        <v>76.512534998989764</v>
      </c>
      <c r="P347" s="310">
        <f t="shared" ca="1" si="163"/>
        <v>9</v>
      </c>
      <c r="Q347" s="304">
        <f t="shared" ca="1" si="164"/>
        <v>93.333333333350453</v>
      </c>
      <c r="R347" s="306">
        <f t="shared" ca="1" si="165"/>
        <v>4.6839651439416145E-2</v>
      </c>
      <c r="S347" s="307">
        <f t="shared" ca="1" si="166"/>
        <v>7.8115973595791939</v>
      </c>
      <c r="T347" s="304">
        <f t="shared" ca="1" si="146"/>
        <v>76.6317700974719</v>
      </c>
      <c r="U347" s="311">
        <f t="shared" ca="1" si="147"/>
        <v>0</v>
      </c>
      <c r="V347" s="306">
        <f t="shared" ca="1" si="148"/>
        <v>1.1779249553217916</v>
      </c>
      <c r="W347" s="304">
        <f t="shared" ca="1" si="149"/>
        <v>131.99302381608607</v>
      </c>
      <c r="Y347" s="314" t="str">
        <f t="shared" ca="1" si="167"/>
        <v/>
      </c>
      <c r="Z347" s="315" t="str">
        <f t="shared" ca="1" si="168"/>
        <v/>
      </c>
      <c r="AA347" s="316" t="str">
        <f t="shared" ca="1" si="169"/>
        <v/>
      </c>
      <c r="AC347" s="310" t="e">
        <f t="shared" ca="1" si="170"/>
        <v>#N/A</v>
      </c>
      <c r="AD347" s="323" t="e">
        <f t="shared" ca="1" si="171"/>
        <v>#N/A</v>
      </c>
      <c r="AE347" s="324">
        <f t="shared" ca="1" si="150"/>
        <v>391.81452232996884</v>
      </c>
      <c r="AG347" s="306">
        <f t="shared" ca="1" si="172"/>
        <v>-14.518264450725415</v>
      </c>
      <c r="AH347" s="304">
        <f t="shared" ca="1" si="173"/>
        <v>-4.9785326761819402</v>
      </c>
    </row>
    <row r="348" spans="1:34" x14ac:dyDescent="0.2">
      <c r="A348" s="347">
        <f t="shared" ca="1" si="151"/>
        <v>0.01</v>
      </c>
      <c r="B348" s="304">
        <f t="shared" ca="1" si="152"/>
        <v>3.4399999999999706</v>
      </c>
      <c r="D348" s="306">
        <f t="shared" ca="1" si="153"/>
        <v>-1.3290658658427199</v>
      </c>
      <c r="E348" s="307">
        <f t="shared" ca="1" si="154"/>
        <v>-15.351298143323859</v>
      </c>
      <c r="F348" s="304">
        <f t="shared" ca="1" si="155"/>
        <v>15.408723852446926</v>
      </c>
      <c r="G348" s="306">
        <f t="shared" ca="1" si="156"/>
        <v>43.240604921204913</v>
      </c>
      <c r="H348" s="307">
        <f t="shared" ca="1" si="157"/>
        <v>180.18572936021346</v>
      </c>
      <c r="I348" s="304">
        <f t="shared" ca="1" si="158"/>
        <v>185.30150290546436</v>
      </c>
      <c r="J348" s="306">
        <f t="shared" ca="1" si="159"/>
        <v>87.290727759667107</v>
      </c>
      <c r="K348" s="307">
        <f t="shared" ca="1" si="160"/>
        <v>393.61714718847816</v>
      </c>
      <c r="L348" s="304">
        <f t="shared" ca="1" si="145"/>
        <v>403.18002147131295</v>
      </c>
      <c r="M348" s="306">
        <f t="shared" ca="1" si="161"/>
        <v>1.3352721796847518</v>
      </c>
      <c r="N348" s="304">
        <f t="shared" ca="1" si="162"/>
        <v>76.505460397170381</v>
      </c>
      <c r="P348" s="310">
        <f t="shared" ca="1" si="163"/>
        <v>9</v>
      </c>
      <c r="Q348" s="304">
        <f t="shared" ca="1" si="164"/>
        <v>87.481481481498719</v>
      </c>
      <c r="R348" s="306">
        <f t="shared" ca="1" si="165"/>
        <v>4.3902879642818429E-2</v>
      </c>
      <c r="S348" s="307">
        <f t="shared" ca="1" si="166"/>
        <v>7.8111583307827654</v>
      </c>
      <c r="T348" s="304">
        <f t="shared" ca="1" si="146"/>
        <v>76.627463224978939</v>
      </c>
      <c r="U348" s="311">
        <f t="shared" ca="1" si="147"/>
        <v>0</v>
      </c>
      <c r="V348" s="306">
        <f t="shared" ca="1" si="148"/>
        <v>1.1777125568921099</v>
      </c>
      <c r="W348" s="304">
        <f t="shared" ca="1" si="149"/>
        <v>131.75244822515606</v>
      </c>
      <c r="Y348" s="314" t="str">
        <f t="shared" ca="1" si="167"/>
        <v/>
      </c>
      <c r="Z348" s="315" t="str">
        <f t="shared" ca="1" si="168"/>
        <v/>
      </c>
      <c r="AA348" s="316" t="str">
        <f t="shared" ca="1" si="169"/>
        <v/>
      </c>
      <c r="AC348" s="310" t="e">
        <f t="shared" ca="1" si="170"/>
        <v>#N/A</v>
      </c>
      <c r="AD348" s="323" t="e">
        <f t="shared" ca="1" si="171"/>
        <v>#N/A</v>
      </c>
      <c r="AE348" s="324">
        <f t="shared" ca="1" si="150"/>
        <v>393.61714718847816</v>
      </c>
      <c r="AG348" s="306">
        <f t="shared" ca="1" si="172"/>
        <v>-15.237905747354038</v>
      </c>
      <c r="AH348" s="304">
        <f t="shared" ca="1" si="173"/>
        <v>-5.698456035537407</v>
      </c>
    </row>
    <row r="349" spans="1:34" x14ac:dyDescent="0.2">
      <c r="A349" s="347">
        <f t="shared" ca="1" si="151"/>
        <v>0.01</v>
      </c>
      <c r="B349" s="304">
        <f t="shared" ca="1" si="152"/>
        <v>3.4499999999999704</v>
      </c>
      <c r="D349" s="306">
        <f t="shared" ca="1" si="153"/>
        <v>-1.4974614149115644</v>
      </c>
      <c r="E349" s="307">
        <f t="shared" ca="1" si="154"/>
        <v>-16.04999543314203</v>
      </c>
      <c r="F349" s="304">
        <f t="shared" ca="1" si="155"/>
        <v>16.119700496381096</v>
      </c>
      <c r="G349" s="306">
        <f t="shared" ca="1" si="156"/>
        <v>43.225630307055795</v>
      </c>
      <c r="H349" s="307">
        <f t="shared" ca="1" si="157"/>
        <v>180.02522940588204</v>
      </c>
      <c r="I349" s="304">
        <f t="shared" ca="1" si="158"/>
        <v>185.14194105626828</v>
      </c>
      <c r="J349" s="306">
        <f t="shared" ca="1" si="159"/>
        <v>87.72305893580841</v>
      </c>
      <c r="K349" s="307">
        <f t="shared" ca="1" si="160"/>
        <v>395.41820198230863</v>
      </c>
      <c r="L349" s="304">
        <f t="shared" ca="1" si="145"/>
        <v>405.03196111909136</v>
      </c>
      <c r="M349" s="306">
        <f t="shared" ca="1" si="161"/>
        <v>1.3351485345548715</v>
      </c>
      <c r="N349" s="304">
        <f t="shared" ca="1" si="162"/>
        <v>76.498376053070885</v>
      </c>
      <c r="P349" s="310">
        <f t="shared" ca="1" si="163"/>
        <v>9</v>
      </c>
      <c r="Q349" s="304">
        <f t="shared" ca="1" si="164"/>
        <v>81.629629629646985</v>
      </c>
      <c r="R349" s="306">
        <f t="shared" ca="1" si="165"/>
        <v>4.0966107846220713E-2</v>
      </c>
      <c r="S349" s="307">
        <f t="shared" ca="1" si="166"/>
        <v>7.8107486697043029</v>
      </c>
      <c r="T349" s="304">
        <f t="shared" ca="1" si="146"/>
        <v>76.623444449799209</v>
      </c>
      <c r="U349" s="311">
        <f t="shared" ca="1" si="147"/>
        <v>0</v>
      </c>
      <c r="V349" s="306">
        <f t="shared" ca="1" si="148"/>
        <v>1.1775003809550473</v>
      </c>
      <c r="W349" s="304">
        <f t="shared" ca="1" si="149"/>
        <v>131.50194808843614</v>
      </c>
      <c r="Y349" s="314" t="str">
        <f t="shared" ca="1" si="167"/>
        <v/>
      </c>
      <c r="Z349" s="315" t="str">
        <f t="shared" ca="1" si="168"/>
        <v/>
      </c>
      <c r="AA349" s="316" t="str">
        <f t="shared" ca="1" si="169"/>
        <v/>
      </c>
      <c r="AC349" s="310" t="e">
        <f t="shared" ca="1" si="170"/>
        <v>#N/A</v>
      </c>
      <c r="AD349" s="323" t="e">
        <f t="shared" ca="1" si="171"/>
        <v>#N/A</v>
      </c>
      <c r="AE349" s="324">
        <f t="shared" ca="1" si="150"/>
        <v>395.41820198230863</v>
      </c>
      <c r="AG349" s="306">
        <f t="shared" ca="1" si="172"/>
        <v>-15.95632644320307</v>
      </c>
      <c r="AH349" s="304">
        <f t="shared" ca="1" si="173"/>
        <v>-6.4171593166121692</v>
      </c>
    </row>
    <row r="350" spans="1:34" x14ac:dyDescent="0.2">
      <c r="A350" s="347">
        <f t="shared" ca="1" si="151"/>
        <v>0.01</v>
      </c>
      <c r="B350" s="304">
        <f t="shared" ca="1" si="152"/>
        <v>3.4599999999999702</v>
      </c>
      <c r="D350" s="306">
        <f t="shared" ca="1" si="153"/>
        <v>-1.6657453714171255</v>
      </c>
      <c r="E350" s="307">
        <f t="shared" ca="1" si="154"/>
        <v>-16.747462576970335</v>
      </c>
      <c r="F350" s="304">
        <f t="shared" ca="1" si="155"/>
        <v>16.830098348180247</v>
      </c>
      <c r="G350" s="306">
        <f t="shared" ca="1" si="156"/>
        <v>43.208972853341621</v>
      </c>
      <c r="H350" s="307">
        <f t="shared" ca="1" si="157"/>
        <v>179.85775478011234</v>
      </c>
      <c r="I350" s="304">
        <f t="shared" ca="1" si="158"/>
        <v>184.97520722946587</v>
      </c>
      <c r="J350" s="306">
        <f t="shared" ca="1" si="159"/>
        <v>88.155231951610403</v>
      </c>
      <c r="K350" s="307">
        <f t="shared" ca="1" si="160"/>
        <v>397.21761690323859</v>
      </c>
      <c r="L350" s="304">
        <f t="shared" ca="1" si="145"/>
        <v>406.88226810556671</v>
      </c>
      <c r="M350" s="306">
        <f t="shared" ca="1" si="161"/>
        <v>1.33502471421034</v>
      </c>
      <c r="N350" s="304">
        <f t="shared" ca="1" si="162"/>
        <v>76.491281669911373</v>
      </c>
      <c r="P350" s="310">
        <f t="shared" ca="1" si="163"/>
        <v>9</v>
      </c>
      <c r="Q350" s="304">
        <f t="shared" ca="1" si="164"/>
        <v>75.777777777795279</v>
      </c>
      <c r="R350" s="306">
        <f t="shared" ca="1" si="165"/>
        <v>3.8029336049623011E-2</v>
      </c>
      <c r="S350" s="307">
        <f t="shared" ca="1" si="166"/>
        <v>7.8103683763438063</v>
      </c>
      <c r="T350" s="304">
        <f t="shared" ca="1" si="146"/>
        <v>76.619713771932737</v>
      </c>
      <c r="U350" s="311">
        <f t="shared" ca="1" si="147"/>
        <v>0</v>
      </c>
      <c r="V350" s="306">
        <f t="shared" ca="1" si="148"/>
        <v>1.1772884356243543</v>
      </c>
      <c r="W350" s="304">
        <f t="shared" ca="1" si="149"/>
        <v>131.24157333416514</v>
      </c>
      <c r="Y350" s="314" t="str">
        <f t="shared" ca="1" si="167"/>
        <v/>
      </c>
      <c r="Z350" s="315" t="str">
        <f t="shared" ca="1" si="168"/>
        <v/>
      </c>
      <c r="AA350" s="316" t="str">
        <f t="shared" ca="1" si="169"/>
        <v/>
      </c>
      <c r="AC350" s="310" t="e">
        <f t="shared" ca="1" si="170"/>
        <v>#N/A</v>
      </c>
      <c r="AD350" s="323" t="e">
        <f t="shared" ca="1" si="171"/>
        <v>#N/A</v>
      </c>
      <c r="AE350" s="324">
        <f t="shared" ca="1" si="150"/>
        <v>397.21761690323859</v>
      </c>
      <c r="AG350" s="306">
        <f t="shared" ca="1" si="172"/>
        <v>-16.673524477405604</v>
      </c>
      <c r="AH350" s="304">
        <f t="shared" ca="1" si="173"/>
        <v>-7.1346404709180291</v>
      </c>
    </row>
    <row r="351" spans="1:34" x14ac:dyDescent="0.2">
      <c r="A351" s="347">
        <f t="shared" ca="1" si="151"/>
        <v>0.01</v>
      </c>
      <c r="B351" s="304">
        <f t="shared" ca="1" si="152"/>
        <v>3.46999999999997</v>
      </c>
      <c r="D351" s="306">
        <f t="shared" ca="1" si="153"/>
        <v>-1.8339172431568789</v>
      </c>
      <c r="E351" s="307">
        <f t="shared" ca="1" si="154"/>
        <v>-17.443697725846789</v>
      </c>
      <c r="F351" s="304">
        <f t="shared" ca="1" si="155"/>
        <v>17.539835883082276</v>
      </c>
      <c r="G351" s="306">
        <f t="shared" ca="1" si="156"/>
        <v>43.190633680910054</v>
      </c>
      <c r="H351" s="307">
        <f t="shared" ca="1" si="157"/>
        <v>179.68331780285388</v>
      </c>
      <c r="I351" s="304">
        <f t="shared" ca="1" si="158"/>
        <v>184.80131367065533</v>
      </c>
      <c r="J351" s="306">
        <f t="shared" ca="1" si="159"/>
        <v>88.587229984281663</v>
      </c>
      <c r="K351" s="307">
        <f t="shared" ca="1" si="160"/>
        <v>399.01532226615342</v>
      </c>
      <c r="L351" s="304">
        <f t="shared" ca="1" si="145"/>
        <v>408.73087076883525</v>
      </c>
      <c r="M351" s="306">
        <f t="shared" ca="1" si="161"/>
        <v>1.3349007134425022</v>
      </c>
      <c r="N351" s="304">
        <f t="shared" ca="1" si="162"/>
        <v>76.484176949257886</v>
      </c>
      <c r="P351" s="310">
        <f t="shared" ca="1" si="163"/>
        <v>9</v>
      </c>
      <c r="Q351" s="304">
        <f t="shared" ca="1" si="164"/>
        <v>69.925925925943545</v>
      </c>
      <c r="R351" s="306">
        <f t="shared" ca="1" si="165"/>
        <v>3.5092564253025295E-2</v>
      </c>
      <c r="S351" s="307">
        <f t="shared" ca="1" si="166"/>
        <v>7.8100174507012756</v>
      </c>
      <c r="T351" s="304">
        <f t="shared" ca="1" si="146"/>
        <v>76.616271191379511</v>
      </c>
      <c r="U351" s="311">
        <f t="shared" ca="1" si="147"/>
        <v>0</v>
      </c>
      <c r="V351" s="306">
        <f t="shared" ca="1" si="148"/>
        <v>1.177076728993629</v>
      </c>
      <c r="W351" s="304">
        <f t="shared" ca="1" si="149"/>
        <v>130.97137498790465</v>
      </c>
      <c r="Y351" s="314" t="str">
        <f t="shared" ca="1" si="167"/>
        <v/>
      </c>
      <c r="Z351" s="315" t="str">
        <f t="shared" ca="1" si="168"/>
        <v/>
      </c>
      <c r="AA351" s="316" t="str">
        <f t="shared" ca="1" si="169"/>
        <v/>
      </c>
      <c r="AC351" s="310" t="e">
        <f t="shared" ca="1" si="170"/>
        <v>#N/A</v>
      </c>
      <c r="AD351" s="323" t="e">
        <f t="shared" ca="1" si="171"/>
        <v>#N/A</v>
      </c>
      <c r="AE351" s="324">
        <f t="shared" ca="1" si="150"/>
        <v>399.01532226615342</v>
      </c>
      <c r="AG351" s="306">
        <f t="shared" ca="1" si="172"/>
        <v>-17.389497958060399</v>
      </c>
      <c r="AH351" s="304">
        <f t="shared" ca="1" si="173"/>
        <v>-7.8508976190208069</v>
      </c>
    </row>
    <row r="352" spans="1:34" x14ac:dyDescent="0.2">
      <c r="A352" s="347">
        <f t="shared" ca="1" si="151"/>
        <v>0.01</v>
      </c>
      <c r="B352" s="304">
        <f t="shared" ca="1" si="152"/>
        <v>3.4799999999999698</v>
      </c>
      <c r="D352" s="306">
        <f t="shared" ca="1" si="153"/>
        <v>-1.9979589034409375</v>
      </c>
      <c r="E352" s="307">
        <f t="shared" ca="1" si="154"/>
        <v>-18.121984659829028</v>
      </c>
      <c r="F352" s="304">
        <f t="shared" ca="1" si="155"/>
        <v>18.231790032548027</v>
      </c>
      <c r="G352" s="306">
        <f t="shared" ca="1" si="156"/>
        <v>43.170654091875647</v>
      </c>
      <c r="H352" s="307">
        <f t="shared" ca="1" si="157"/>
        <v>179.5020979562556</v>
      </c>
      <c r="I352" s="304">
        <f t="shared" ca="1" si="158"/>
        <v>184.62044454885694</v>
      </c>
      <c r="J352" s="306">
        <f t="shared" ca="1" si="159"/>
        <v>89.019036423145593</v>
      </c>
      <c r="K352" s="307">
        <f t="shared" ca="1" si="160"/>
        <v>400.81124934494898</v>
      </c>
      <c r="L352" s="304">
        <f t="shared" ca="1" si="145"/>
        <v>410.57769842888956</v>
      </c>
      <c r="M352" s="306">
        <f t="shared" ca="1" si="161"/>
        <v>1.3347765271281953</v>
      </c>
      <c r="N352" s="304">
        <f t="shared" ca="1" si="162"/>
        <v>76.477061597574817</v>
      </c>
      <c r="P352" s="310">
        <f t="shared" ca="1" si="163"/>
        <v>10</v>
      </c>
      <c r="Q352" s="304">
        <f t="shared" ca="1" si="164"/>
        <v>64.20833333335024</v>
      </c>
      <c r="R352" s="306">
        <f t="shared" ca="1" si="165"/>
        <v>3.2223170923279483E-2</v>
      </c>
      <c r="S352" s="307">
        <f t="shared" ca="1" si="166"/>
        <v>7.8096952189920428</v>
      </c>
      <c r="T352" s="304">
        <f t="shared" ca="1" si="146"/>
        <v>76.61311009831195</v>
      </c>
      <c r="U352" s="311">
        <f t="shared" ca="1" si="147"/>
        <v>0</v>
      </c>
      <c r="V352" s="306">
        <f t="shared" ca="1" si="148"/>
        <v>1.1768652690379333</v>
      </c>
      <c r="W352" s="304">
        <f t="shared" ca="1" si="149"/>
        <v>130.69164853326717</v>
      </c>
      <c r="Y352" s="314" t="str">
        <f t="shared" ca="1" si="167"/>
        <v/>
      </c>
      <c r="Z352" s="315" t="str">
        <f t="shared" ca="1" si="168"/>
        <v/>
      </c>
      <c r="AA352" s="316" t="str">
        <f t="shared" ca="1" si="169"/>
        <v/>
      </c>
      <c r="AC352" s="310" t="e">
        <f t="shared" ca="1" si="170"/>
        <v>#N/A</v>
      </c>
      <c r="AD352" s="323" t="e">
        <f t="shared" ca="1" si="171"/>
        <v>#N/A</v>
      </c>
      <c r="AE352" s="324">
        <f t="shared" ca="1" si="150"/>
        <v>400.81124934494898</v>
      </c>
      <c r="AG352" s="306">
        <f t="shared" ca="1" si="172"/>
        <v>-18.08705454288819</v>
      </c>
      <c r="AH352" s="304">
        <f t="shared" ca="1" si="173"/>
        <v>-8.5487384311997747</v>
      </c>
    </row>
    <row r="353" spans="1:34" x14ac:dyDescent="0.2">
      <c r="A353" s="347">
        <f t="shared" ca="1" si="151"/>
        <v>0.01</v>
      </c>
      <c r="B353" s="304">
        <f t="shared" ca="1" si="152"/>
        <v>3.4899999999999696</v>
      </c>
      <c r="D353" s="306">
        <f t="shared" ca="1" si="153"/>
        <v>-2.157870798538716</v>
      </c>
      <c r="E353" s="307">
        <f t="shared" ca="1" si="154"/>
        <v>-18.782352715154595</v>
      </c>
      <c r="F353" s="304">
        <f t="shared" ca="1" si="155"/>
        <v>18.905903308217283</v>
      </c>
      <c r="G353" s="306">
        <f t="shared" ca="1" si="156"/>
        <v>43.149075383890263</v>
      </c>
      <c r="H353" s="307">
        <f t="shared" ca="1" si="157"/>
        <v>179.31427442910405</v>
      </c>
      <c r="I353" s="304">
        <f t="shared" ca="1" si="158"/>
        <v>184.4327837466015</v>
      </c>
      <c r="J353" s="306">
        <f t="shared" ca="1" si="159"/>
        <v>89.450635070524427</v>
      </c>
      <c r="K353" s="307">
        <f t="shared" ca="1" si="160"/>
        <v>402.60533120687575</v>
      </c>
      <c r="L353" s="304">
        <f t="shared" ca="1" si="145"/>
        <v>412.42268224567653</v>
      </c>
      <c r="M353" s="306">
        <f t="shared" ca="1" si="161"/>
        <v>1.3346521502294961</v>
      </c>
      <c r="N353" s="304">
        <f t="shared" ca="1" si="162"/>
        <v>76.469935326210432</v>
      </c>
      <c r="P353" s="310">
        <f t="shared" ca="1" si="163"/>
        <v>10</v>
      </c>
      <c r="Q353" s="304">
        <f t="shared" ca="1" si="164"/>
        <v>58.625000000017017</v>
      </c>
      <c r="R353" s="306">
        <f t="shared" ca="1" si="165"/>
        <v>2.9421156060386408E-2</v>
      </c>
      <c r="S353" s="307">
        <f t="shared" ca="1" si="166"/>
        <v>7.8094010074314388</v>
      </c>
      <c r="T353" s="304">
        <f t="shared" ca="1" si="146"/>
        <v>76.610223882902417</v>
      </c>
      <c r="U353" s="311">
        <f t="shared" ca="1" si="147"/>
        <v>0</v>
      </c>
      <c r="V353" s="306">
        <f t="shared" ca="1" si="148"/>
        <v>1.1766540635156963</v>
      </c>
      <c r="W353" s="304">
        <f t="shared" ca="1" si="149"/>
        <v>130.40268891527563</v>
      </c>
      <c r="Y353" s="314" t="str">
        <f t="shared" ca="1" si="167"/>
        <v/>
      </c>
      <c r="Z353" s="315" t="str">
        <f t="shared" ca="1" si="168"/>
        <v/>
      </c>
      <c r="AA353" s="316" t="str">
        <f t="shared" ca="1" si="169"/>
        <v/>
      </c>
      <c r="AC353" s="310" t="e">
        <f t="shared" ca="1" si="170"/>
        <v>#N/A</v>
      </c>
      <c r="AD353" s="323" t="e">
        <f t="shared" ca="1" si="171"/>
        <v>#N/A</v>
      </c>
      <c r="AE353" s="324">
        <f t="shared" ca="1" si="150"/>
        <v>402.60533120687575</v>
      </c>
      <c r="AG353" s="306">
        <f t="shared" ca="1" si="172"/>
        <v>-18.76622288072997</v>
      </c>
      <c r="AH353" s="304">
        <f t="shared" ca="1" si="173"/>
        <v>-9.2281915686838722</v>
      </c>
    </row>
    <row r="354" spans="1:34" x14ac:dyDescent="0.2">
      <c r="A354" s="347">
        <f t="shared" ca="1" si="151"/>
        <v>0.01</v>
      </c>
      <c r="B354" s="304">
        <f t="shared" ca="1" si="152"/>
        <v>3.4999999999999694</v>
      </c>
      <c r="D354" s="306">
        <f t="shared" ca="1" si="153"/>
        <v>-2.317675617631219</v>
      </c>
      <c r="E354" s="307">
        <f t="shared" ca="1" si="154"/>
        <v>-19.441546401402832</v>
      </c>
      <c r="F354" s="304">
        <f t="shared" ca="1" si="155"/>
        <v>19.579206999939032</v>
      </c>
      <c r="G354" s="306">
        <f t="shared" ca="1" si="156"/>
        <v>43.125898627713951</v>
      </c>
      <c r="H354" s="307">
        <f t="shared" ca="1" si="157"/>
        <v>179.11985896509003</v>
      </c>
      <c r="I354" s="304">
        <f t="shared" ca="1" si="158"/>
        <v>184.23834293686429</v>
      </c>
      <c r="J354" s="306">
        <f t="shared" ca="1" si="159"/>
        <v>89.882009940582449</v>
      </c>
      <c r="K354" s="307">
        <f t="shared" ca="1" si="160"/>
        <v>404.39750187384669</v>
      </c>
      <c r="L354" s="304">
        <f t="shared" ca="1" si="145"/>
        <v>414.2657543567496</v>
      </c>
      <c r="M354" s="306">
        <f t="shared" ca="1" si="161"/>
        <v>1.3345275776773047</v>
      </c>
      <c r="N354" s="304">
        <f t="shared" ca="1" si="162"/>
        <v>76.462797844726694</v>
      </c>
      <c r="P354" s="310">
        <f t="shared" ca="1" si="163"/>
        <v>10</v>
      </c>
      <c r="Q354" s="304">
        <f t="shared" ca="1" si="164"/>
        <v>53.041666666683788</v>
      </c>
      <c r="R354" s="306">
        <f t="shared" ca="1" si="165"/>
        <v>2.661914119749333E-2</v>
      </c>
      <c r="S354" s="307">
        <f t="shared" ca="1" si="166"/>
        <v>7.8091348160194638</v>
      </c>
      <c r="T354" s="304">
        <f t="shared" ca="1" si="146"/>
        <v>76.607612545150943</v>
      </c>
      <c r="U354" s="311">
        <f t="shared" ca="1" si="147"/>
        <v>0</v>
      </c>
      <c r="V354" s="306">
        <f t="shared" ca="1" si="148"/>
        <v>1.176443120067626</v>
      </c>
      <c r="W354" s="304">
        <f t="shared" ca="1" si="149"/>
        <v>130.10454764101391</v>
      </c>
      <c r="Y354" s="314" t="str">
        <f t="shared" ca="1" si="167"/>
        <v/>
      </c>
      <c r="Z354" s="315" t="str">
        <f t="shared" ca="1" si="168"/>
        <v/>
      </c>
      <c r="AA354" s="316" t="str">
        <f t="shared" ca="1" si="169"/>
        <v/>
      </c>
      <c r="AC354" s="310" t="e">
        <f t="shared" ca="1" si="170"/>
        <v>#N/A</v>
      </c>
      <c r="AD354" s="323" t="e">
        <f t="shared" ca="1" si="171"/>
        <v>#N/A</v>
      </c>
      <c r="AE354" s="324">
        <f t="shared" ca="1" si="150"/>
        <v>404.39750187384669</v>
      </c>
      <c r="AG354" s="306">
        <f t="shared" ca="1" si="172"/>
        <v>-19.444223927211432</v>
      </c>
      <c r="AH354" s="304">
        <f t="shared" ca="1" si="173"/>
        <v>-9.9064779993163103</v>
      </c>
    </row>
    <row r="355" spans="1:34" x14ac:dyDescent="0.2">
      <c r="A355" s="347">
        <f t="shared" ca="1" si="151"/>
        <v>0.01</v>
      </c>
      <c r="B355" s="304">
        <f t="shared" ca="1" si="152"/>
        <v>3.5099999999999691</v>
      </c>
      <c r="D355" s="306">
        <f t="shared" ca="1" si="153"/>
        <v>-2.4773731660406231</v>
      </c>
      <c r="E355" s="307">
        <f t="shared" ca="1" si="154"/>
        <v>-20.099564883870741</v>
      </c>
      <c r="F355" s="304">
        <f t="shared" ca="1" si="155"/>
        <v>20.251663791519647</v>
      </c>
      <c r="G355" s="306">
        <f t="shared" ca="1" si="156"/>
        <v>43.101124896053548</v>
      </c>
      <c r="H355" s="307">
        <f t="shared" ca="1" si="157"/>
        <v>178.91886331625133</v>
      </c>
      <c r="I355" s="304">
        <f t="shared" ca="1" si="158"/>
        <v>184.0371338009931</v>
      </c>
      <c r="J355" s="306">
        <f t="shared" ca="1" si="159"/>
        <v>90.313145058201286</v>
      </c>
      <c r="K355" s="307">
        <f t="shared" ca="1" si="160"/>
        <v>406.18769548525341</v>
      </c>
      <c r="L355" s="304">
        <f t="shared" ca="1" si="145"/>
        <v>416.10684701639394</v>
      </c>
      <c r="M355" s="306">
        <f t="shared" ca="1" si="161"/>
        <v>1.3344028043701328</v>
      </c>
      <c r="N355" s="304">
        <f t="shared" ca="1" si="162"/>
        <v>76.455648860829854</v>
      </c>
      <c r="P355" s="310">
        <f t="shared" ca="1" si="163"/>
        <v>10</v>
      </c>
      <c r="Q355" s="304">
        <f t="shared" ca="1" si="164"/>
        <v>47.458333333350552</v>
      </c>
      <c r="R355" s="306">
        <f t="shared" ca="1" si="165"/>
        <v>2.3817126334600251E-2</v>
      </c>
      <c r="S355" s="307">
        <f t="shared" ca="1" si="166"/>
        <v>7.8088966447561177</v>
      </c>
      <c r="T355" s="304">
        <f t="shared" ca="1" si="146"/>
        <v>76.605276085057511</v>
      </c>
      <c r="U355" s="311">
        <f t="shared" ca="1" si="147"/>
        <v>0</v>
      </c>
      <c r="V355" s="306">
        <f t="shared" ca="1" si="148"/>
        <v>1.176232446315338</v>
      </c>
      <c r="W355" s="304">
        <f t="shared" ca="1" si="149"/>
        <v>129.79727716355444</v>
      </c>
      <c r="Y355" s="314" t="str">
        <f t="shared" ca="1" si="167"/>
        <v/>
      </c>
      <c r="Z355" s="315" t="str">
        <f t="shared" ca="1" si="168"/>
        <v/>
      </c>
      <c r="AA355" s="316" t="str">
        <f t="shared" ca="1" si="169"/>
        <v/>
      </c>
      <c r="AC355" s="310" t="e">
        <f t="shared" ca="1" si="170"/>
        <v>#N/A</v>
      </c>
      <c r="AD355" s="323" t="e">
        <f t="shared" ca="1" si="171"/>
        <v>#N/A</v>
      </c>
      <c r="AE355" s="324">
        <f t="shared" ca="1" si="150"/>
        <v>406.18769548525341</v>
      </c>
      <c r="AG355" s="306">
        <f t="shared" ca="1" si="172"/>
        <v>-20.121056845103347</v>
      </c>
      <c r="AH355" s="304">
        <f t="shared" ca="1" si="173"/>
        <v>-10.583596898181831</v>
      </c>
    </row>
    <row r="356" spans="1:34" x14ac:dyDescent="0.2">
      <c r="A356" s="347">
        <f t="shared" ca="1" si="151"/>
        <v>0.01</v>
      </c>
      <c r="B356" s="304">
        <f t="shared" ca="1" si="152"/>
        <v>3.5199999999999689</v>
      </c>
      <c r="D356" s="306">
        <f t="shared" ca="1" si="153"/>
        <v>-2.6369632952735813</v>
      </c>
      <c r="E356" s="307">
        <f t="shared" ca="1" si="154"/>
        <v>-20.756407466971357</v>
      </c>
      <c r="F356" s="304">
        <f t="shared" ca="1" si="155"/>
        <v>20.92324129659562</v>
      </c>
      <c r="G356" s="306">
        <f t="shared" ca="1" si="156"/>
        <v>43.074755263100812</v>
      </c>
      <c r="H356" s="307">
        <f t="shared" ca="1" si="157"/>
        <v>178.71129924158163</v>
      </c>
      <c r="I356" s="304">
        <f t="shared" ca="1" si="158"/>
        <v>183.82916802724796</v>
      </c>
      <c r="J356" s="306">
        <f t="shared" ca="1" si="159"/>
        <v>90.74402445899706</v>
      </c>
      <c r="K356" s="307">
        <f t="shared" ca="1" si="160"/>
        <v>407.9758462980426</v>
      </c>
      <c r="L356" s="304">
        <f t="shared" ca="1" si="145"/>
        <v>417.9458925957033</v>
      </c>
      <c r="M356" s="306">
        <f t="shared" ca="1" si="161"/>
        <v>1.334277825172876</v>
      </c>
      <c r="N356" s="304">
        <f t="shared" ca="1" si="162"/>
        <v>76.448488080300109</v>
      </c>
      <c r="P356" s="310">
        <f t="shared" ca="1" si="163"/>
        <v>10</v>
      </c>
      <c r="Q356" s="304">
        <f t="shared" ca="1" si="164"/>
        <v>41.875000000017323</v>
      </c>
      <c r="R356" s="306">
        <f t="shared" ca="1" si="165"/>
        <v>2.1015111471707173E-2</v>
      </c>
      <c r="S356" s="307">
        <f t="shared" ca="1" si="166"/>
        <v>7.8086864936414004</v>
      </c>
      <c r="T356" s="304">
        <f t="shared" ca="1" si="146"/>
        <v>76.603214502622137</v>
      </c>
      <c r="U356" s="311">
        <f t="shared" ca="1" si="147"/>
        <v>0</v>
      </c>
      <c r="V356" s="306">
        <f t="shared" ca="1" si="148"/>
        <v>1.1760220498613772</v>
      </c>
      <c r="W356" s="304">
        <f t="shared" ca="1" si="149"/>
        <v>129.48093087240721</v>
      </c>
      <c r="Y356" s="314" t="str">
        <f t="shared" ca="1" si="167"/>
        <v/>
      </c>
      <c r="Z356" s="315" t="str">
        <f t="shared" ca="1" si="168"/>
        <v/>
      </c>
      <c r="AA356" s="316" t="str">
        <f t="shared" ca="1" si="169"/>
        <v/>
      </c>
      <c r="AC356" s="310" t="e">
        <f t="shared" ca="1" si="170"/>
        <v>#N/A</v>
      </c>
      <c r="AD356" s="323" t="e">
        <f t="shared" ca="1" si="171"/>
        <v>#N/A</v>
      </c>
      <c r="AE356" s="324">
        <f t="shared" ca="1" si="150"/>
        <v>407.9758462980426</v>
      </c>
      <c r="AG356" s="306">
        <f t="shared" ca="1" si="172"/>
        <v>-20.796720943252971</v>
      </c>
      <c r="AH356" s="304">
        <f t="shared" ca="1" si="173"/>
        <v>-11.259547586541228</v>
      </c>
    </row>
    <row r="357" spans="1:34" x14ac:dyDescent="0.2">
      <c r="A357" s="347">
        <f t="shared" ca="1" si="151"/>
        <v>0.01</v>
      </c>
      <c r="B357" s="304">
        <f t="shared" ca="1" si="152"/>
        <v>3.5299999999999687</v>
      </c>
      <c r="D357" s="306">
        <f t="shared" ca="1" si="153"/>
        <v>-2.7964459028936943</v>
      </c>
      <c r="E357" s="307">
        <f t="shared" ca="1" si="154"/>
        <v>-21.41207359304574</v>
      </c>
      <c r="F357" s="304">
        <f t="shared" ca="1" si="155"/>
        <v>21.593911300221126</v>
      </c>
      <c r="G357" s="306">
        <f t="shared" ca="1" si="156"/>
        <v>43.046790804071875</v>
      </c>
      <c r="H357" s="307">
        <f t="shared" ca="1" si="157"/>
        <v>178.49717850565116</v>
      </c>
      <c r="I357" s="304">
        <f t="shared" ca="1" si="158"/>
        <v>183.61445730935193</v>
      </c>
      <c r="J357" s="306">
        <f t="shared" ca="1" si="159"/>
        <v>91.174632189332925</v>
      </c>
      <c r="K357" s="307">
        <f t="shared" ca="1" si="160"/>
        <v>409.76188868677878</v>
      </c>
      <c r="L357" s="304">
        <f t="shared" ca="1" si="145"/>
        <v>419.78282358264283</v>
      </c>
      <c r="M357" s="306">
        <f t="shared" ca="1" si="161"/>
        <v>1.3341526349155686</v>
      </c>
      <c r="N357" s="304">
        <f t="shared" ca="1" si="162"/>
        <v>76.441315206920237</v>
      </c>
      <c r="P357" s="310">
        <f t="shared" ca="1" si="163"/>
        <v>10</v>
      </c>
      <c r="Q357" s="304">
        <f t="shared" ca="1" si="164"/>
        <v>36.291666666684094</v>
      </c>
      <c r="R357" s="306">
        <f t="shared" ca="1" si="165"/>
        <v>1.8213096608814094E-2</v>
      </c>
      <c r="S357" s="307">
        <f t="shared" ca="1" si="166"/>
        <v>7.8085043626753121</v>
      </c>
      <c r="T357" s="304">
        <f t="shared" ca="1" si="146"/>
        <v>76.601427797844821</v>
      </c>
      <c r="U357" s="311">
        <f t="shared" ca="1" si="147"/>
        <v>0</v>
      </c>
      <c r="V357" s="306">
        <f t="shared" ca="1" si="148"/>
        <v>1.1758119382892418</v>
      </c>
      <c r="W357" s="304">
        <f t="shared" ca="1" si="149"/>
        <v>129.15556308402284</v>
      </c>
      <c r="Y357" s="314" t="str">
        <f t="shared" ca="1" si="167"/>
        <v/>
      </c>
      <c r="Z357" s="315" t="str">
        <f t="shared" ca="1" si="168"/>
        <v/>
      </c>
      <c r="AA357" s="316" t="str">
        <f t="shared" ca="1" si="169"/>
        <v/>
      </c>
      <c r="AC357" s="310" t="e">
        <f t="shared" ca="1" si="170"/>
        <v>#N/A</v>
      </c>
      <c r="AD357" s="323" t="e">
        <f t="shared" ca="1" si="171"/>
        <v>#N/A</v>
      </c>
      <c r="AE357" s="324">
        <f t="shared" ca="1" si="150"/>
        <v>409.76188868677878</v>
      </c>
      <c r="AG357" s="306">
        <f t="shared" ca="1" si="172"/>
        <v>-21.471215675404487</v>
      </c>
      <c r="AH357" s="304">
        <f t="shared" ca="1" si="173"/>
        <v>-11.934329530654839</v>
      </c>
    </row>
    <row r="358" spans="1:34" x14ac:dyDescent="0.2">
      <c r="A358" s="347">
        <f t="shared" ca="1" si="151"/>
        <v>0.01</v>
      </c>
      <c r="B358" s="304">
        <f t="shared" ca="1" si="152"/>
        <v>3.5399999999999685</v>
      </c>
      <c r="D358" s="306">
        <f t="shared" ca="1" si="153"/>
        <v>-2.9558209323976756</v>
      </c>
      <c r="E358" s="307">
        <f t="shared" ca="1" si="154"/>
        <v>-22.066562841172839</v>
      </c>
      <c r="F358" s="304">
        <f t="shared" ca="1" si="155"/>
        <v>22.263649139524055</v>
      </c>
      <c r="G358" s="306">
        <f t="shared" ca="1" si="156"/>
        <v>43.017232594747895</v>
      </c>
      <c r="H358" s="307">
        <f t="shared" ca="1" si="157"/>
        <v>178.27651287723944</v>
      </c>
      <c r="I358" s="304">
        <f t="shared" ca="1" si="158"/>
        <v>183.39301334505402</v>
      </c>
      <c r="J358" s="306">
        <f t="shared" ca="1" si="159"/>
        <v>91.604952306327021</v>
      </c>
      <c r="K358" s="307">
        <f t="shared" ca="1" si="160"/>
        <v>411.54575714369321</v>
      </c>
      <c r="L358" s="304">
        <f t="shared" ca="1" si="145"/>
        <v>421.61757258209741</v>
      </c>
      <c r="M358" s="306">
        <f t="shared" ca="1" si="161"/>
        <v>1.3340272283921206</v>
      </c>
      <c r="N358" s="304">
        <f t="shared" ca="1" si="162"/>
        <v>76.43412994240326</v>
      </c>
      <c r="P358" s="310">
        <f t="shared" ca="1" si="163"/>
        <v>10</v>
      </c>
      <c r="Q358" s="304">
        <f t="shared" ca="1" si="164"/>
        <v>30.708333333350872</v>
      </c>
      <c r="R358" s="306">
        <f t="shared" ca="1" si="165"/>
        <v>1.5411081745921019E-2</v>
      </c>
      <c r="S358" s="307">
        <f t="shared" ca="1" si="166"/>
        <v>7.8083502518578527</v>
      </c>
      <c r="T358" s="304">
        <f t="shared" ca="1" si="146"/>
        <v>76.599915970725533</v>
      </c>
      <c r="U358" s="311">
        <f t="shared" ca="1" si="147"/>
        <v>0</v>
      </c>
      <c r="V358" s="306">
        <f t="shared" ca="1" si="148"/>
        <v>1.1756021191634072</v>
      </c>
      <c r="W358" s="304">
        <f t="shared" ca="1" si="149"/>
        <v>128.82122903235361</v>
      </c>
      <c r="Y358" s="314" t="str">
        <f t="shared" ca="1" si="167"/>
        <v/>
      </c>
      <c r="Z358" s="315" t="str">
        <f t="shared" ca="1" si="168"/>
        <v/>
      </c>
      <c r="AA358" s="316" t="str">
        <f t="shared" ca="1" si="169"/>
        <v/>
      </c>
      <c r="AC358" s="310" t="e">
        <f t="shared" ca="1" si="170"/>
        <v>#N/A</v>
      </c>
      <c r="AD358" s="323" t="e">
        <f t="shared" ca="1" si="171"/>
        <v>#N/A</v>
      </c>
      <c r="AE358" s="324">
        <f t="shared" ca="1" si="150"/>
        <v>411.54575714369321</v>
      </c>
      <c r="AG358" s="306">
        <f t="shared" ca="1" si="172"/>
        <v>-22.144540639018203</v>
      </c>
      <c r="AH358" s="304">
        <f t="shared" ca="1" si="173"/>
        <v>-12.607942340604952</v>
      </c>
    </row>
    <row r="359" spans="1:34" x14ac:dyDescent="0.2">
      <c r="A359" s="347">
        <f t="shared" ca="1" si="151"/>
        <v>0.01</v>
      </c>
      <c r="B359" s="304">
        <f t="shared" ca="1" si="152"/>
        <v>3.5499999999999683</v>
      </c>
      <c r="D359" s="306">
        <f t="shared" ca="1" si="153"/>
        <v>-3.1150883730954546</v>
      </c>
      <c r="E359" s="307">
        <f t="shared" ca="1" si="154"/>
        <v>-22.719874925977805</v>
      </c>
      <c r="F359" s="304">
        <f t="shared" ca="1" si="155"/>
        <v>22.932433194588608</v>
      </c>
      <c r="G359" s="306">
        <f t="shared" ca="1" si="156"/>
        <v>42.986081711016944</v>
      </c>
      <c r="H359" s="307">
        <f t="shared" ca="1" si="157"/>
        <v>178.04931412797967</v>
      </c>
      <c r="I359" s="304">
        <f t="shared" ca="1" si="158"/>
        <v>183.16484783470381</v>
      </c>
      <c r="J359" s="306">
        <f t="shared" ca="1" si="159"/>
        <v>92.034968877855846</v>
      </c>
      <c r="K359" s="307">
        <f t="shared" ca="1" si="160"/>
        <v>413.3273862787193</v>
      </c>
      <c r="L359" s="304">
        <f t="shared" ca="1" si="145"/>
        <v>423.4500723159054</v>
      </c>
      <c r="M359" s="306">
        <f t="shared" ca="1" si="161"/>
        <v>1.3339016003590343</v>
      </c>
      <c r="N359" s="304">
        <f t="shared" ca="1" si="162"/>
        <v>76.426931986318877</v>
      </c>
      <c r="P359" s="310">
        <f t="shared" ca="1" si="163"/>
        <v>10</v>
      </c>
      <c r="Q359" s="304">
        <f t="shared" ca="1" si="164"/>
        <v>25.125000000017643</v>
      </c>
      <c r="R359" s="306">
        <f t="shared" ca="1" si="165"/>
        <v>1.2609066883027941E-2</v>
      </c>
      <c r="S359" s="307">
        <f t="shared" ca="1" si="166"/>
        <v>7.8082241611890222</v>
      </c>
      <c r="T359" s="304">
        <f t="shared" ca="1" si="146"/>
        <v>76.598679021264317</v>
      </c>
      <c r="U359" s="311">
        <f t="shared" ca="1" si="147"/>
        <v>0</v>
      </c>
      <c r="V359" s="306">
        <f t="shared" ca="1" si="148"/>
        <v>1.1753926000293542</v>
      </c>
      <c r="W359" s="304">
        <f t="shared" ca="1" si="149"/>
        <v>128.4779848594732</v>
      </c>
      <c r="Y359" s="314" t="str">
        <f t="shared" ca="1" si="167"/>
        <v/>
      </c>
      <c r="Z359" s="315" t="str">
        <f t="shared" ca="1" si="168"/>
        <v/>
      </c>
      <c r="AA359" s="316" t="str">
        <f t="shared" ca="1" si="169"/>
        <v/>
      </c>
      <c r="AC359" s="310" t="e">
        <f t="shared" ca="1" si="170"/>
        <v>#N/A</v>
      </c>
      <c r="AD359" s="323" t="e">
        <f t="shared" ca="1" si="171"/>
        <v>#N/A</v>
      </c>
      <c r="AE359" s="324">
        <f t="shared" ca="1" si="150"/>
        <v>413.3273862787193</v>
      </c>
      <c r="AG359" s="306">
        <f t="shared" ca="1" si="172"/>
        <v>-22.816695574089298</v>
      </c>
      <c r="AH359" s="304">
        <f t="shared" ca="1" si="173"/>
        <v>-13.280385769117736</v>
      </c>
    </row>
    <row r="360" spans="1:34" x14ac:dyDescent="0.2">
      <c r="A360" s="347">
        <f t="shared" ca="1" si="151"/>
        <v>0.01</v>
      </c>
      <c r="B360" s="304">
        <f t="shared" ca="1" si="152"/>
        <v>3.5599999999999681</v>
      </c>
      <c r="D360" s="306">
        <f t="shared" ca="1" si="153"/>
        <v>-3.2742482599943288</v>
      </c>
      <c r="E360" s="307">
        <f t="shared" ca="1" si="154"/>
        <v>-23.372009696438777</v>
      </c>
      <c r="F360" s="304">
        <f t="shared" ca="1" si="155"/>
        <v>23.600244467346183</v>
      </c>
      <c r="G360" s="306">
        <f t="shared" ca="1" si="156"/>
        <v>42.953339228417001</v>
      </c>
      <c r="H360" s="307">
        <f t="shared" ca="1" si="157"/>
        <v>177.81559403101528</v>
      </c>
      <c r="I360" s="304">
        <f t="shared" ca="1" si="158"/>
        <v>182.92997247983803</v>
      </c>
      <c r="J360" s="306">
        <f t="shared" ca="1" si="159"/>
        <v>92.464665982553015</v>
      </c>
      <c r="K360" s="307">
        <f t="shared" ca="1" si="160"/>
        <v>415.10671081951426</v>
      </c>
      <c r="L360" s="304">
        <f t="shared" ca="1" si="145"/>
        <v>425.28025562287854</v>
      </c>
      <c r="M360" s="306">
        <f t="shared" ca="1" si="161"/>
        <v>1.3337757455341031</v>
      </c>
      <c r="N360" s="304">
        <f t="shared" ca="1" si="162"/>
        <v>76.41972103601897</v>
      </c>
      <c r="P360" s="310">
        <f t="shared" ca="1" si="163"/>
        <v>10</v>
      </c>
      <c r="Q360" s="304">
        <f t="shared" ca="1" si="164"/>
        <v>19.541666666684407</v>
      </c>
      <c r="R360" s="306">
        <f t="shared" ca="1" si="165"/>
        <v>9.8070520201348592E-3</v>
      </c>
      <c r="S360" s="307">
        <f t="shared" ca="1" si="166"/>
        <v>7.8081260906688206</v>
      </c>
      <c r="T360" s="304">
        <f t="shared" ca="1" si="146"/>
        <v>76.59771694946113</v>
      </c>
      <c r="U360" s="311">
        <f t="shared" ca="1" si="147"/>
        <v>0</v>
      </c>
      <c r="V360" s="306">
        <f t="shared" ca="1" si="148"/>
        <v>1.1751833884135998</v>
      </c>
      <c r="W360" s="304">
        <f t="shared" ca="1" si="149"/>
        <v>128.12588760625746</v>
      </c>
      <c r="Y360" s="314" t="str">
        <f t="shared" ca="1" si="167"/>
        <v/>
      </c>
      <c r="Z360" s="315" t="str">
        <f t="shared" ca="1" si="168"/>
        <v/>
      </c>
      <c r="AA360" s="316" t="str">
        <f t="shared" ca="1" si="169"/>
        <v/>
      </c>
      <c r="AC360" s="310" t="e">
        <f t="shared" ca="1" si="170"/>
        <v>#N/A</v>
      </c>
      <c r="AD360" s="323" t="e">
        <f t="shared" ca="1" si="171"/>
        <v>#N/A</v>
      </c>
      <c r="AE360" s="324">
        <f t="shared" ca="1" si="150"/>
        <v>415.10671081951426</v>
      </c>
      <c r="AG360" s="306">
        <f t="shared" ca="1" si="172"/>
        <v>-23.48768036196612</v>
      </c>
      <c r="AH360" s="304">
        <f t="shared" ca="1" si="173"/>
        <v>-13.951659710384829</v>
      </c>
    </row>
    <row r="361" spans="1:34" x14ac:dyDescent="0.2">
      <c r="A361" s="347">
        <f t="shared" ca="1" si="151"/>
        <v>0.01</v>
      </c>
      <c r="B361" s="304">
        <f t="shared" ca="1" si="152"/>
        <v>3.5699999999999679</v>
      </c>
      <c r="D361" s="306">
        <f t="shared" ca="1" si="153"/>
        <v>-3.4333006736873228</v>
      </c>
      <c r="E361" s="307">
        <f t="shared" ca="1" si="154"/>
        <v>-24.022967134692671</v>
      </c>
      <c r="F361" s="304">
        <f t="shared" ca="1" si="155"/>
        <v>24.267066231220987</v>
      </c>
      <c r="G361" s="306">
        <f t="shared" ca="1" si="156"/>
        <v>42.919006221680128</v>
      </c>
      <c r="H361" s="307">
        <f t="shared" ca="1" si="157"/>
        <v>177.57536435966836</v>
      </c>
      <c r="I361" s="304">
        <f t="shared" ca="1" si="158"/>
        <v>182.68839898177879</v>
      </c>
      <c r="J361" s="306">
        <f t="shared" ca="1" si="159"/>
        <v>92.894027709803495</v>
      </c>
      <c r="K361" s="307">
        <f t="shared" ca="1" si="160"/>
        <v>416.88366561146768</v>
      </c>
      <c r="L361" s="304">
        <f t="shared" ca="1" si="145"/>
        <v>427.10805545880748</v>
      </c>
      <c r="M361" s="306">
        <f t="shared" ca="1" si="161"/>
        <v>1.3336496585950883</v>
      </c>
      <c r="N361" s="304">
        <f t="shared" ca="1" si="162"/>
        <v>76.41249678656169</v>
      </c>
      <c r="P361" s="310">
        <f t="shared" ca="1" si="163"/>
        <v>10</v>
      </c>
      <c r="Q361" s="304">
        <f t="shared" ca="1" si="164"/>
        <v>13.958333333351177</v>
      </c>
      <c r="R361" s="306">
        <f t="shared" ca="1" si="165"/>
        <v>7.0050371572417808E-3</v>
      </c>
      <c r="S361" s="307">
        <f t="shared" ca="1" si="166"/>
        <v>7.8080560402972479</v>
      </c>
      <c r="T361" s="304">
        <f t="shared" ca="1" si="146"/>
        <v>76.597029755316001</v>
      </c>
      <c r="U361" s="311">
        <f t="shared" ca="1" si="147"/>
        <v>0</v>
      </c>
      <c r="V361" s="306">
        <f t="shared" ca="1" si="148"/>
        <v>1.1749744918237253</v>
      </c>
      <c r="W361" s="304">
        <f t="shared" ca="1" si="149"/>
        <v>127.76499520312582</v>
      </c>
      <c r="Y361" s="314" t="str">
        <f t="shared" ca="1" si="167"/>
        <v/>
      </c>
      <c r="Z361" s="315" t="str">
        <f t="shared" ca="1" si="168"/>
        <v/>
      </c>
      <c r="AA361" s="316" t="str">
        <f t="shared" ca="1" si="169"/>
        <v/>
      </c>
      <c r="AC361" s="310" t="e">
        <f t="shared" ca="1" si="170"/>
        <v>#N/A</v>
      </c>
      <c r="AD361" s="323" t="e">
        <f t="shared" ca="1" si="171"/>
        <v>#N/A</v>
      </c>
      <c r="AE361" s="324">
        <f t="shared" ca="1" si="150"/>
        <v>416.88366561146768</v>
      </c>
      <c r="AG361" s="306">
        <f t="shared" ca="1" si="172"/>
        <v>-24.157495024168561</v>
      </c>
      <c r="AH361" s="304">
        <f t="shared" ca="1" si="173"/>
        <v>-14.621764198885026</v>
      </c>
    </row>
    <row r="362" spans="1:34" x14ac:dyDescent="0.2">
      <c r="A362" s="347">
        <f t="shared" ca="1" si="151"/>
        <v>0.01</v>
      </c>
      <c r="B362" s="304">
        <f t="shared" ca="1" si="152"/>
        <v>3.5799999999999677</v>
      </c>
      <c r="D362" s="306">
        <f t="shared" ca="1" si="153"/>
        <v>-3.5922457402458945</v>
      </c>
      <c r="E362" s="307">
        <f t="shared" ca="1" si="154"/>
        <v>-24.672747354839842</v>
      </c>
      <c r="F362" s="304">
        <f t="shared" ca="1" si="155"/>
        <v>24.932883738029005</v>
      </c>
      <c r="G362" s="306">
        <f t="shared" ca="1" si="156"/>
        <v>42.883083764277671</v>
      </c>
      <c r="H362" s="307">
        <f t="shared" ca="1" si="157"/>
        <v>177.32863688611997</v>
      </c>
      <c r="I362" s="304">
        <f t="shared" ca="1" si="158"/>
        <v>182.44013904024368</v>
      </c>
      <c r="J362" s="306">
        <f t="shared" ca="1" si="159"/>
        <v>93.323038159733287</v>
      </c>
      <c r="K362" s="307">
        <f t="shared" ca="1" si="160"/>
        <v>418.65818561769663</v>
      </c>
      <c r="L362" s="304">
        <f t="shared" ca="1" si="145"/>
        <v>428.93340489645328</v>
      </c>
      <c r="M362" s="306">
        <f t="shared" ca="1" si="161"/>
        <v>1.3335233341783752</v>
      </c>
      <c r="N362" s="304">
        <f t="shared" ca="1" si="162"/>
        <v>76.405258930634588</v>
      </c>
      <c r="P362" s="310">
        <f t="shared" ca="1" si="163"/>
        <v>10</v>
      </c>
      <c r="Q362" s="304">
        <f t="shared" ca="1" si="164"/>
        <v>8.3750000000179483</v>
      </c>
      <c r="R362" s="306">
        <f t="shared" ca="1" si="165"/>
        <v>4.2030222943487032E-3</v>
      </c>
      <c r="S362" s="307">
        <f t="shared" ca="1" si="166"/>
        <v>7.8080140100743041</v>
      </c>
      <c r="T362" s="304">
        <f t="shared" ca="1" si="146"/>
        <v>76.596617438828929</v>
      </c>
      <c r="U362" s="311">
        <f t="shared" ca="1" si="147"/>
        <v>0</v>
      </c>
      <c r="V362" s="306">
        <f t="shared" ca="1" si="148"/>
        <v>1.1747659177484131</v>
      </c>
      <c r="W362" s="304">
        <f t="shared" ca="1" si="149"/>
        <v>127.39536646084731</v>
      </c>
      <c r="Y362" s="314" t="str">
        <f t="shared" ca="1" si="167"/>
        <v/>
      </c>
      <c r="Z362" s="315" t="str">
        <f t="shared" ca="1" si="168"/>
        <v/>
      </c>
      <c r="AA362" s="316" t="str">
        <f t="shared" ca="1" si="169"/>
        <v/>
      </c>
      <c r="AC362" s="310" t="e">
        <f t="shared" ca="1" si="170"/>
        <v>#N/A</v>
      </c>
      <c r="AD362" s="323" t="e">
        <f t="shared" ca="1" si="171"/>
        <v>#N/A</v>
      </c>
      <c r="AE362" s="324">
        <f t="shared" ca="1" si="150"/>
        <v>418.65818561769663</v>
      </c>
      <c r="AG362" s="306">
        <f t="shared" ca="1" si="172"/>
        <v>-24.826139721206431</v>
      </c>
      <c r="AH362" s="304">
        <f t="shared" ca="1" si="173"/>
        <v>-15.290699408206072</v>
      </c>
    </row>
    <row r="363" spans="1:34" x14ac:dyDescent="0.2">
      <c r="A363" s="347">
        <f t="shared" ca="1" si="151"/>
        <v>0.01</v>
      </c>
      <c r="B363" s="304">
        <f t="shared" ca="1" si="152"/>
        <v>3.5899999999999674</v>
      </c>
      <c r="D363" s="306">
        <f t="shared" ca="1" si="153"/>
        <v>-3.7510836311171842</v>
      </c>
      <c r="E363" s="307">
        <f t="shared" ca="1" si="154"/>
        <v>-25.321350601748215</v>
      </c>
      <c r="F363" s="304">
        <f t="shared" ca="1" si="155"/>
        <v>25.59768397149027</v>
      </c>
      <c r="G363" s="306">
        <f t="shared" ca="1" si="156"/>
        <v>42.845572927966501</v>
      </c>
      <c r="H363" s="307">
        <f t="shared" ca="1" si="157"/>
        <v>177.07542338010248</v>
      </c>
      <c r="I363" s="304">
        <f t="shared" ca="1" si="158"/>
        <v>182.18520435196774</v>
      </c>
      <c r="J363" s="306">
        <f t="shared" ca="1" si="159"/>
        <v>93.751681443194514</v>
      </c>
      <c r="K363" s="307">
        <f t="shared" ca="1" si="160"/>
        <v>420.43020591902774</v>
      </c>
      <c r="L363" s="304">
        <f t="shared" ca="1" si="145"/>
        <v>430.7562371255259</v>
      </c>
      <c r="M363" s="306">
        <f t="shared" ca="1" si="161"/>
        <v>1.3333967668776052</v>
      </c>
      <c r="N363" s="304">
        <f t="shared" ca="1" si="162"/>
        <v>76.398007158476105</v>
      </c>
      <c r="P363" s="310">
        <f t="shared" ca="1" si="163"/>
        <v>10</v>
      </c>
      <c r="Q363" s="304">
        <f t="shared" ca="1" si="164"/>
        <v>2.7916666666847192</v>
      </c>
      <c r="R363" s="306">
        <f t="shared" ca="1" si="165"/>
        <v>1.4010074314556248E-3</v>
      </c>
      <c r="S363" s="307">
        <f t="shared" ca="1" si="166"/>
        <v>7.8079999999999892</v>
      </c>
      <c r="T363" s="304">
        <f t="shared" ca="1" si="146"/>
        <v>76.5964799999999</v>
      </c>
      <c r="U363" s="311">
        <f t="shared" ca="1" si="147"/>
        <v>0</v>
      </c>
      <c r="V363" s="306">
        <f t="shared" ca="1" si="148"/>
        <v>1.1745576736574803</v>
      </c>
      <c r="W363" s="304">
        <f t="shared" ca="1" si="149"/>
        <v>127.01706106141037</v>
      </c>
      <c r="Y363" s="314" t="str">
        <f t="shared" ca="1" si="167"/>
        <v/>
      </c>
      <c r="Z363" s="315" t="str">
        <f t="shared" ca="1" si="168"/>
        <v/>
      </c>
      <c r="AA363" s="316" t="str">
        <f t="shared" ca="1" si="169"/>
        <v/>
      </c>
      <c r="AC363" s="310" t="e">
        <f t="shared" ca="1" si="170"/>
        <v>#N/A</v>
      </c>
      <c r="AD363" s="323" t="e">
        <f t="shared" ca="1" si="171"/>
        <v>#N/A</v>
      </c>
      <c r="AE363" s="324">
        <f t="shared" ca="1" si="150"/>
        <v>420.43020591902774</v>
      </c>
      <c r="AG363" s="306">
        <f t="shared" ca="1" si="172"/>
        <v>-25.493614751398525</v>
      </c>
      <c r="AH363" s="304">
        <f t="shared" ca="1" si="173"/>
        <v>-15.958465649867158</v>
      </c>
    </row>
    <row r="364" spans="1:34" x14ac:dyDescent="0.2">
      <c r="A364" s="347">
        <f t="shared" ca="1" si="151"/>
        <v>0.01</v>
      </c>
      <c r="B364" s="304">
        <f t="shared" ca="1" si="152"/>
        <v>3.5999999999999672</v>
      </c>
      <c r="D364" s="306">
        <f t="shared" ca="1" si="153"/>
        <v>-3.8257369505651408</v>
      </c>
      <c r="E364" s="307">
        <f t="shared" ca="1" si="154"/>
        <v>-25.621294935912452</v>
      </c>
      <c r="F364" s="304">
        <f t="shared" ca="1" si="155"/>
        <v>25.905347274412915</v>
      </c>
      <c r="G364" s="306">
        <f t="shared" ca="1" si="156"/>
        <v>42.80731555846085</v>
      </c>
      <c r="H364" s="307">
        <f t="shared" ca="1" si="157"/>
        <v>176.81921043074334</v>
      </c>
      <c r="I364" s="304">
        <f t="shared" ca="1" si="158"/>
        <v>181.92718170376065</v>
      </c>
      <c r="J364" s="306">
        <f t="shared" ca="1" si="159"/>
        <v>94.179945885626651</v>
      </c>
      <c r="K364" s="307">
        <f t="shared" ca="1" si="160"/>
        <v>422.19967908808195</v>
      </c>
      <c r="L364" s="304">
        <f t="shared" ca="1" si="145"/>
        <v>432.57650332524872</v>
      </c>
      <c r="M364" s="306">
        <f t="shared" ca="1" si="161"/>
        <v>1.333269953734372</v>
      </c>
      <c r="N364" s="304">
        <f t="shared" ca="1" si="162"/>
        <v>76.39074130058205</v>
      </c>
      <c r="P364" s="310">
        <f t="shared" ca="1" si="163"/>
        <v>23</v>
      </c>
      <c r="Q364" s="304">
        <f t="shared" ca="1" si="164"/>
        <v>0</v>
      </c>
      <c r="R364" s="306">
        <f t="shared" ca="1" si="165"/>
        <v>0</v>
      </c>
      <c r="S364" s="307">
        <f t="shared" ca="1" si="166"/>
        <v>7.8079999999999892</v>
      </c>
      <c r="T364" s="304">
        <f t="shared" ca="1" si="146"/>
        <v>76.5964799999999</v>
      </c>
      <c r="U364" s="311">
        <f t="shared" ca="1" si="147"/>
        <v>0</v>
      </c>
      <c r="V364" s="306">
        <f t="shared" ca="1" si="148"/>
        <v>1.1743497649606771</v>
      </c>
      <c r="W364" s="304">
        <f t="shared" ca="1" si="149"/>
        <v>126.63511635367858</v>
      </c>
      <c r="Y364" s="314" t="str">
        <f t="shared" ca="1" si="167"/>
        <v>Fin de propulsion</v>
      </c>
      <c r="Z364" s="315" t="str">
        <f t="shared" ca="1" si="168"/>
        <v/>
      </c>
      <c r="AA364" s="316" t="str">
        <f t="shared" ca="1" si="169"/>
        <v/>
      </c>
      <c r="AC364" s="310" t="e">
        <f t="shared" ca="1" si="170"/>
        <v>#N/A</v>
      </c>
      <c r="AD364" s="323" t="e">
        <f t="shared" ca="1" si="171"/>
        <v>#N/A</v>
      </c>
      <c r="AE364" s="324">
        <f t="shared" ca="1" si="150"/>
        <v>422.19967908808195</v>
      </c>
      <c r="AG364" s="306">
        <f t="shared" ca="1" si="172"/>
        <v>-25.802411104472633</v>
      </c>
      <c r="AH364" s="304">
        <f t="shared" ca="1" si="173"/>
        <v>-16.267553926922456</v>
      </c>
    </row>
    <row r="365" spans="1:34" x14ac:dyDescent="0.2">
      <c r="A365" s="347">
        <f t="shared" ca="1" si="151"/>
        <v>0.01</v>
      </c>
      <c r="B365" s="304">
        <f t="shared" ca="1" si="152"/>
        <v>3.609999999999967</v>
      </c>
      <c r="D365" s="306">
        <f t="shared" ca="1" si="153"/>
        <v>-3.8162318468626539</v>
      </c>
      <c r="E365" s="307">
        <f t="shared" ca="1" si="154"/>
        <v>-25.573266002078036</v>
      </c>
      <c r="F365" s="304">
        <f t="shared" ca="1" si="155"/>
        <v>25.856441354564804</v>
      </c>
      <c r="G365" s="306">
        <f t="shared" ca="1" si="156"/>
        <v>42.769153239992221</v>
      </c>
      <c r="H365" s="307">
        <f t="shared" ca="1" si="157"/>
        <v>176.56347777072256</v>
      </c>
      <c r="I365" s="304">
        <f t="shared" ca="1" si="158"/>
        <v>181.66965115659352</v>
      </c>
      <c r="J365" s="306">
        <f t="shared" ca="1" si="159"/>
        <v>94.607828229618917</v>
      </c>
      <c r="K365" s="307">
        <f t="shared" ca="1" si="160"/>
        <v>423.96659252908927</v>
      </c>
      <c r="L365" s="304">
        <f t="shared" ca="1" si="145"/>
        <v>434.39419050333981</v>
      </c>
      <c r="M365" s="306">
        <f t="shared" ca="1" si="161"/>
        <v>1.3331428942675247</v>
      </c>
      <c r="N365" s="304">
        <f t="shared" ca="1" si="162"/>
        <v>76.383461329384517</v>
      </c>
      <c r="P365" s="310">
        <f t="shared" ca="1" si="163"/>
        <v>23</v>
      </c>
      <c r="Q365" s="304">
        <f t="shared" ca="1" si="164"/>
        <v>0</v>
      </c>
      <c r="R365" s="306">
        <f t="shared" ca="1" si="165"/>
        <v>0</v>
      </c>
      <c r="S365" s="307">
        <f t="shared" ca="1" si="166"/>
        <v>7.8079999999999892</v>
      </c>
      <c r="T365" s="304">
        <f t="shared" ca="1" si="146"/>
        <v>76.5964799999999</v>
      </c>
      <c r="U365" s="311">
        <f t="shared" ca="1" si="147"/>
        <v>0</v>
      </c>
      <c r="V365" s="306">
        <f t="shared" ca="1" si="148"/>
        <v>1.1741421929726314</v>
      </c>
      <c r="W365" s="304">
        <f t="shared" ca="1" si="149"/>
        <v>126.25452848202143</v>
      </c>
      <c r="Y365" s="314" t="str">
        <f t="shared" ca="1" si="167"/>
        <v/>
      </c>
      <c r="Z365" s="315" t="str">
        <f t="shared" ca="1" si="168"/>
        <v/>
      </c>
      <c r="AA365" s="316" t="str">
        <f t="shared" ca="1" si="169"/>
        <v/>
      </c>
      <c r="AC365" s="310" t="e">
        <f t="shared" ca="1" si="170"/>
        <v>#N/A</v>
      </c>
      <c r="AD365" s="323" t="e">
        <f t="shared" ca="1" si="171"/>
        <v>#N/A</v>
      </c>
      <c r="AE365" s="324">
        <f t="shared" ca="1" si="150"/>
        <v>423.96659252908927</v>
      </c>
      <c r="AG365" s="306">
        <f t="shared" ca="1" si="172"/>
        <v>-25.753201361437128</v>
      </c>
      <c r="AH365" s="304">
        <f t="shared" ca="1" si="173"/>
        <v>-16.218636828083856</v>
      </c>
    </row>
    <row r="366" spans="1:34" x14ac:dyDescent="0.2">
      <c r="A366" s="347">
        <f t="shared" ca="1" si="151"/>
        <v>0.01</v>
      </c>
      <c r="B366" s="304">
        <f t="shared" ca="1" si="152"/>
        <v>3.6199999999999668</v>
      </c>
      <c r="D366" s="306">
        <f t="shared" ca="1" si="153"/>
        <v>-3.8067594051033744</v>
      </c>
      <c r="E366" s="307">
        <f t="shared" ca="1" si="154"/>
        <v>-25.525407687168432</v>
      </c>
      <c r="F366" s="304">
        <f t="shared" ca="1" si="155"/>
        <v>25.807709211871174</v>
      </c>
      <c r="G366" s="306">
        <f t="shared" ca="1" si="156"/>
        <v>42.731085645941185</v>
      </c>
      <c r="H366" s="307">
        <f t="shared" ca="1" si="157"/>
        <v>176.30822369385086</v>
      </c>
      <c r="I366" s="304">
        <f t="shared" ca="1" si="158"/>
        <v>181.41261097994737</v>
      </c>
      <c r="J366" s="306">
        <f t="shared" ca="1" si="159"/>
        <v>95.035329424048584</v>
      </c>
      <c r="K366" s="307">
        <f t="shared" ca="1" si="160"/>
        <v>425.73095103641214</v>
      </c>
      <c r="L366" s="304">
        <f t="shared" ca="1" si="145"/>
        <v>436.20930355633794</v>
      </c>
      <c r="M366" s="306">
        <f t="shared" ca="1" si="161"/>
        <v>1.3330155879944148</v>
      </c>
      <c r="N366" s="304">
        <f t="shared" ca="1" si="162"/>
        <v>76.376167217229778</v>
      </c>
      <c r="P366" s="310">
        <f t="shared" ca="1" si="163"/>
        <v>23</v>
      </c>
      <c r="Q366" s="304">
        <f t="shared" ca="1" si="164"/>
        <v>0</v>
      </c>
      <c r="R366" s="306">
        <f t="shared" ca="1" si="165"/>
        <v>0</v>
      </c>
      <c r="S366" s="307">
        <f t="shared" ca="1" si="166"/>
        <v>7.8079999999999892</v>
      </c>
      <c r="T366" s="304">
        <f t="shared" ca="1" si="146"/>
        <v>76.5964799999999</v>
      </c>
      <c r="U366" s="311">
        <f t="shared" ca="1" si="147"/>
        <v>0</v>
      </c>
      <c r="V366" s="306">
        <f t="shared" ca="1" si="148"/>
        <v>1.1739349569648432</v>
      </c>
      <c r="W366" s="304">
        <f t="shared" ca="1" si="149"/>
        <v>125.87529111746851</v>
      </c>
      <c r="Y366" s="314" t="str">
        <f t="shared" ca="1" si="167"/>
        <v/>
      </c>
      <c r="Z366" s="315" t="str">
        <f t="shared" ca="1" si="168"/>
        <v/>
      </c>
      <c r="AA366" s="316" t="str">
        <f t="shared" ca="1" si="169"/>
        <v/>
      </c>
      <c r="AC366" s="310" t="e">
        <f t="shared" ca="1" si="170"/>
        <v>#N/A</v>
      </c>
      <c r="AD366" s="323" t="e">
        <f t="shared" ca="1" si="171"/>
        <v>#N/A</v>
      </c>
      <c r="AE366" s="324">
        <f t="shared" ca="1" si="150"/>
        <v>425.73095103641214</v>
      </c>
      <c r="AG366" s="306">
        <f t="shared" ca="1" si="172"/>
        <v>-25.704164671299647</v>
      </c>
      <c r="AH366" s="304">
        <f t="shared" ca="1" si="173"/>
        <v>-16.169893504357276</v>
      </c>
    </row>
    <row r="367" spans="1:34" x14ac:dyDescent="0.2">
      <c r="A367" s="347">
        <f t="shared" ca="1" si="151"/>
        <v>0.01</v>
      </c>
      <c r="B367" s="304">
        <f t="shared" ca="1" si="152"/>
        <v>3.6299999999999666</v>
      </c>
      <c r="D367" s="306">
        <f t="shared" ca="1" si="153"/>
        <v>-3.7973194714572363</v>
      </c>
      <c r="E367" s="307">
        <f t="shared" ca="1" si="154"/>
        <v>-25.477719195294782</v>
      </c>
      <c r="F367" s="304">
        <f t="shared" ca="1" si="155"/>
        <v>25.759150035717411</v>
      </c>
      <c r="G367" s="306">
        <f t="shared" ca="1" si="156"/>
        <v>42.693112451226611</v>
      </c>
      <c r="H367" s="307">
        <f t="shared" ca="1" si="157"/>
        <v>176.05344650189792</v>
      </c>
      <c r="I367" s="304">
        <f t="shared" ca="1" si="158"/>
        <v>181.15605945142912</v>
      </c>
      <c r="J367" s="306">
        <f t="shared" ca="1" si="159"/>
        <v>95.462450414534416</v>
      </c>
      <c r="K367" s="307">
        <f t="shared" ca="1" si="160"/>
        <v>427.49275938739089</v>
      </c>
      <c r="L367" s="304">
        <f t="shared" ca="1" si="145"/>
        <v>438.02184736356827</v>
      </c>
      <c r="M367" s="306">
        <f t="shared" ca="1" si="161"/>
        <v>1.3328880344308884</v>
      </c>
      <c r="N367" s="304">
        <f t="shared" ca="1" si="162"/>
        <v>76.368858936377862</v>
      </c>
      <c r="P367" s="310">
        <f t="shared" ca="1" si="163"/>
        <v>23</v>
      </c>
      <c r="Q367" s="304">
        <f t="shared" ca="1" si="164"/>
        <v>0</v>
      </c>
      <c r="R367" s="306">
        <f t="shared" ca="1" si="165"/>
        <v>0</v>
      </c>
      <c r="S367" s="307">
        <f t="shared" ca="1" si="166"/>
        <v>7.8079999999999892</v>
      </c>
      <c r="T367" s="304">
        <f t="shared" ca="1" si="146"/>
        <v>76.5964799999999</v>
      </c>
      <c r="U367" s="311">
        <f t="shared" ca="1" si="147"/>
        <v>0</v>
      </c>
      <c r="V367" s="306">
        <f t="shared" ca="1" si="148"/>
        <v>1.1737280562115096</v>
      </c>
      <c r="W367" s="304">
        <f t="shared" ca="1" si="149"/>
        <v>125.49739796841446</v>
      </c>
      <c r="Y367" s="314" t="str">
        <f t="shared" ca="1" si="167"/>
        <v/>
      </c>
      <c r="Z367" s="315" t="str">
        <f t="shared" ca="1" si="168"/>
        <v/>
      </c>
      <c r="AA367" s="316" t="str">
        <f t="shared" ca="1" si="169"/>
        <v/>
      </c>
      <c r="AC367" s="310" t="e">
        <f t="shared" ca="1" si="170"/>
        <v>#N/A</v>
      </c>
      <c r="AD367" s="323" t="e">
        <f t="shared" ca="1" si="171"/>
        <v>#N/A</v>
      </c>
      <c r="AE367" s="324">
        <f t="shared" ca="1" si="150"/>
        <v>427.49275938739089</v>
      </c>
      <c r="AG367" s="306">
        <f t="shared" ca="1" si="172"/>
        <v>-25.655300221479344</v>
      </c>
      <c r="AH367" s="304">
        <f t="shared" ca="1" si="173"/>
        <v>-16.121323145167608</v>
      </c>
    </row>
    <row r="368" spans="1:34" x14ac:dyDescent="0.2">
      <c r="A368" s="347">
        <f t="shared" ca="1" si="151"/>
        <v>0.01</v>
      </c>
      <c r="B368" s="304">
        <f t="shared" ca="1" si="152"/>
        <v>3.6399999999999664</v>
      </c>
      <c r="D368" s="306">
        <f t="shared" ca="1" si="153"/>
        <v>-3.787911893001084</v>
      </c>
      <c r="E368" s="307">
        <f t="shared" ca="1" si="154"/>
        <v>-25.430199735266882</v>
      </c>
      <c r="F368" s="304">
        <f t="shared" ca="1" si="155"/>
        <v>25.710763020274346</v>
      </c>
      <c r="G368" s="306">
        <f t="shared" ca="1" si="156"/>
        <v>42.655233332296604</v>
      </c>
      <c r="H368" s="307">
        <f t="shared" ca="1" si="157"/>
        <v>175.79914450454527</v>
      </c>
      <c r="I368" s="304">
        <f t="shared" ca="1" si="158"/>
        <v>180.89999485672368</v>
      </c>
      <c r="J368" s="306">
        <f t="shared" ca="1" si="159"/>
        <v>95.889192143452036</v>
      </c>
      <c r="K368" s="307">
        <f t="shared" ca="1" si="160"/>
        <v>429.25202234242312</v>
      </c>
      <c r="L368" s="304">
        <f t="shared" ca="1" si="145"/>
        <v>439.83182678722102</v>
      </c>
      <c r="M368" s="306">
        <f t="shared" ca="1" si="161"/>
        <v>1.3327602330912836</v>
      </c>
      <c r="N368" s="304">
        <f t="shared" ca="1" si="162"/>
        <v>76.36153645900238</v>
      </c>
      <c r="P368" s="310">
        <f t="shared" ca="1" si="163"/>
        <v>23</v>
      </c>
      <c r="Q368" s="304">
        <f t="shared" ca="1" si="164"/>
        <v>0</v>
      </c>
      <c r="R368" s="306">
        <f t="shared" ca="1" si="165"/>
        <v>0</v>
      </c>
      <c r="S368" s="307">
        <f t="shared" ca="1" si="166"/>
        <v>7.8079999999999892</v>
      </c>
      <c r="T368" s="304">
        <f t="shared" ca="1" si="146"/>
        <v>76.5964799999999</v>
      </c>
      <c r="U368" s="311">
        <f t="shared" ca="1" si="147"/>
        <v>0</v>
      </c>
      <c r="V368" s="306">
        <f t="shared" ca="1" si="148"/>
        <v>1.1735214899895123</v>
      </c>
      <c r="W368" s="304">
        <f t="shared" ca="1" si="149"/>
        <v>125.12084278035363</v>
      </c>
      <c r="Y368" s="314" t="str">
        <f t="shared" ca="1" si="167"/>
        <v/>
      </c>
      <c r="Z368" s="315" t="str">
        <f t="shared" ca="1" si="168"/>
        <v/>
      </c>
      <c r="AA368" s="316" t="str">
        <f t="shared" ca="1" si="169"/>
        <v/>
      </c>
      <c r="AC368" s="310" t="e">
        <f t="shared" ca="1" si="170"/>
        <v>#N/A</v>
      </c>
      <c r="AD368" s="323" t="e">
        <f t="shared" ca="1" si="171"/>
        <v>#N/A</v>
      </c>
      <c r="AE368" s="324">
        <f t="shared" ca="1" si="150"/>
        <v>429.25202234242312</v>
      </c>
      <c r="AG368" s="306">
        <f t="shared" ca="1" si="172"/>
        <v>-25.606607204173358</v>
      </c>
      <c r="AH368" s="304">
        <f t="shared" ca="1" si="173"/>
        <v>-16.072924944725234</v>
      </c>
    </row>
    <row r="369" spans="1:34" x14ac:dyDescent="0.2">
      <c r="A369" s="347">
        <f t="shared" ca="1" si="151"/>
        <v>0.01</v>
      </c>
      <c r="B369" s="304">
        <f t="shared" ca="1" si="152"/>
        <v>3.6499999999999662</v>
      </c>
      <c r="D369" s="306">
        <f t="shared" ca="1" si="153"/>
        <v>-3.7785365177122072</v>
      </c>
      <c r="E369" s="307">
        <f t="shared" ca="1" si="154"/>
        <v>-25.382848520559826</v>
      </c>
      <c r="F369" s="304">
        <f t="shared" ca="1" si="155"/>
        <v>25.662547364464245</v>
      </c>
      <c r="G369" s="306">
        <f t="shared" ca="1" si="156"/>
        <v>42.617447967119482</v>
      </c>
      <c r="H369" s="307">
        <f t="shared" ca="1" si="157"/>
        <v>175.54531601933968</v>
      </c>
      <c r="I369" s="304">
        <f t="shared" ca="1" si="158"/>
        <v>180.64441548954667</v>
      </c>
      <c r="J369" s="306">
        <f t="shared" ca="1" si="159"/>
        <v>96.31555554994911</v>
      </c>
      <c r="K369" s="307">
        <f t="shared" ca="1" si="160"/>
        <v>431.00874464504255</v>
      </c>
      <c r="L369" s="304">
        <f t="shared" ca="1" si="145"/>
        <v>441.63924667242929</v>
      </c>
      <c r="M369" s="306">
        <f t="shared" ca="1" si="161"/>
        <v>1.3326321834884238</v>
      </c>
      <c r="N369" s="304">
        <f t="shared" ca="1" si="162"/>
        <v>76.354199757190202</v>
      </c>
      <c r="P369" s="310">
        <f t="shared" ca="1" si="163"/>
        <v>23</v>
      </c>
      <c r="Q369" s="304">
        <f t="shared" ca="1" si="164"/>
        <v>0</v>
      </c>
      <c r="R369" s="306">
        <f t="shared" ca="1" si="165"/>
        <v>0</v>
      </c>
      <c r="S369" s="307">
        <f t="shared" ca="1" si="166"/>
        <v>7.8079999999999892</v>
      </c>
      <c r="T369" s="304">
        <f t="shared" ca="1" si="146"/>
        <v>76.5964799999999</v>
      </c>
      <c r="U369" s="311">
        <f t="shared" ca="1" si="147"/>
        <v>0</v>
      </c>
      <c r="V369" s="306">
        <f t="shared" ca="1" si="148"/>
        <v>1.1733152575784043</v>
      </c>
      <c r="W369" s="304">
        <f t="shared" ca="1" si="149"/>
        <v>124.74561933561725</v>
      </c>
      <c r="Y369" s="314" t="str">
        <f t="shared" ca="1" si="167"/>
        <v/>
      </c>
      <c r="Z369" s="315" t="str">
        <f t="shared" ca="1" si="168"/>
        <v/>
      </c>
      <c r="AA369" s="316" t="str">
        <f t="shared" ca="1" si="169"/>
        <v/>
      </c>
      <c r="AC369" s="310" t="e">
        <f t="shared" ca="1" si="170"/>
        <v>#N/A</v>
      </c>
      <c r="AD369" s="323" t="e">
        <f t="shared" ca="1" si="171"/>
        <v>#N/A</v>
      </c>
      <c r="AE369" s="324">
        <f t="shared" ca="1" si="150"/>
        <v>431.00874464504255</v>
      </c>
      <c r="AG369" s="306">
        <f t="shared" ca="1" si="172"/>
        <v>-25.558084816322776</v>
      </c>
      <c r="AH369" s="304">
        <f t="shared" ca="1" si="173"/>
        <v>-16.024698101992033</v>
      </c>
    </row>
    <row r="370" spans="1:34" x14ac:dyDescent="0.2">
      <c r="A370" s="347">
        <f t="shared" ca="1" si="151"/>
        <v>0.01</v>
      </c>
      <c r="B370" s="304">
        <f t="shared" ca="1" si="152"/>
        <v>3.6599999999999659</v>
      </c>
      <c r="D370" s="306">
        <f t="shared" ca="1" si="153"/>
        <v>-3.7691931944619683</v>
      </c>
      <c r="E370" s="307">
        <f t="shared" ca="1" si="154"/>
        <v>-25.335664769280939</v>
      </c>
      <c r="F370" s="304">
        <f t="shared" ca="1" si="155"/>
        <v>25.614502271927165</v>
      </c>
      <c r="G370" s="306">
        <f t="shared" ca="1" si="156"/>
        <v>42.57975603517486</v>
      </c>
      <c r="H370" s="307">
        <f t="shared" ca="1" si="157"/>
        <v>175.29195937164687</v>
      </c>
      <c r="I370" s="304">
        <f t="shared" ca="1" si="158"/>
        <v>180.38931965159719</v>
      </c>
      <c r="J370" s="306">
        <f t="shared" ca="1" si="159"/>
        <v>96.741541569960589</v>
      </c>
      <c r="K370" s="307">
        <f t="shared" ca="1" si="160"/>
        <v>432.76293102199747</v>
      </c>
      <c r="L370" s="304">
        <f t="shared" ca="1" si="145"/>
        <v>443.44411184734719</v>
      </c>
      <c r="M370" s="306">
        <f t="shared" ca="1" si="161"/>
        <v>1.3325038851336133</v>
      </c>
      <c r="N370" s="304">
        <f t="shared" ca="1" si="162"/>
        <v>76.346848802941082</v>
      </c>
      <c r="P370" s="310">
        <f t="shared" ca="1" si="163"/>
        <v>23</v>
      </c>
      <c r="Q370" s="304">
        <f t="shared" ca="1" si="164"/>
        <v>0</v>
      </c>
      <c r="R370" s="306">
        <f t="shared" ca="1" si="165"/>
        <v>0</v>
      </c>
      <c r="S370" s="307">
        <f t="shared" ca="1" si="166"/>
        <v>7.8079999999999892</v>
      </c>
      <c r="T370" s="304">
        <f t="shared" ca="1" si="146"/>
        <v>76.5964799999999</v>
      </c>
      <c r="U370" s="311">
        <f t="shared" ca="1" si="147"/>
        <v>0</v>
      </c>
      <c r="V370" s="306">
        <f t="shared" ca="1" si="148"/>
        <v>1.1731093582603977</v>
      </c>
      <c r="W370" s="304">
        <f t="shared" ca="1" si="149"/>
        <v>124.37172145311271</v>
      </c>
      <c r="Y370" s="314" t="str">
        <f t="shared" ca="1" si="167"/>
        <v/>
      </c>
      <c r="Z370" s="315" t="str">
        <f t="shared" ca="1" si="168"/>
        <v/>
      </c>
      <c r="AA370" s="316" t="str">
        <f t="shared" ca="1" si="169"/>
        <v/>
      </c>
      <c r="AC370" s="310" t="e">
        <f t="shared" ca="1" si="170"/>
        <v>#N/A</v>
      </c>
      <c r="AD370" s="323" t="e">
        <f t="shared" ca="1" si="171"/>
        <v>#N/A</v>
      </c>
      <c r="AE370" s="324">
        <f t="shared" ca="1" si="150"/>
        <v>432.76293102199747</v>
      </c>
      <c r="AG370" s="306">
        <f t="shared" ca="1" si="172"/>
        <v>-25.509732259578975</v>
      </c>
      <c r="AH370" s="304">
        <f t="shared" ca="1" si="173"/>
        <v>-15.976641820647723</v>
      </c>
    </row>
    <row r="371" spans="1:34" x14ac:dyDescent="0.2">
      <c r="A371" s="347">
        <f t="shared" ca="1" si="151"/>
        <v>0.01</v>
      </c>
      <c r="B371" s="304">
        <f t="shared" ca="1" si="152"/>
        <v>3.6699999999999657</v>
      </c>
      <c r="D371" s="306">
        <f t="shared" ca="1" si="153"/>
        <v>-3.7598817730094778</v>
      </c>
      <c r="E371" s="307">
        <f t="shared" ca="1" si="154"/>
        <v>-25.288647704137002</v>
      </c>
      <c r="F371" s="304">
        <f t="shared" ca="1" si="155"/>
        <v>25.566626950987544</v>
      </c>
      <c r="G371" s="306">
        <f t="shared" ca="1" si="156"/>
        <v>42.542157217444768</v>
      </c>
      <c r="H371" s="307">
        <f t="shared" ca="1" si="157"/>
        <v>175.03907289460551</v>
      </c>
      <c r="I371" s="304">
        <f t="shared" ca="1" si="158"/>
        <v>180.13470565251109</v>
      </c>
      <c r="J371" s="306">
        <f t="shared" ca="1" si="159"/>
        <v>97.16715113622368</v>
      </c>
      <c r="K371" s="307">
        <f t="shared" ca="1" si="160"/>
        <v>434.51458618332873</v>
      </c>
      <c r="L371" s="304">
        <f t="shared" ca="1" si="145"/>
        <v>445.24642712322708</v>
      </c>
      <c r="M371" s="306">
        <f t="shared" ca="1" si="161"/>
        <v>1.3323753375366314</v>
      </c>
      <c r="N371" s="304">
        <f t="shared" ca="1" si="162"/>
        <v>76.339483568167466</v>
      </c>
      <c r="P371" s="310">
        <f t="shared" ca="1" si="163"/>
        <v>23</v>
      </c>
      <c r="Q371" s="304">
        <f t="shared" ca="1" si="164"/>
        <v>0</v>
      </c>
      <c r="R371" s="306">
        <f t="shared" ca="1" si="165"/>
        <v>0</v>
      </c>
      <c r="S371" s="307">
        <f t="shared" ca="1" si="166"/>
        <v>7.8079999999999892</v>
      </c>
      <c r="T371" s="304">
        <f t="shared" ca="1" si="146"/>
        <v>76.5964799999999</v>
      </c>
      <c r="U371" s="311">
        <f t="shared" ca="1" si="147"/>
        <v>0</v>
      </c>
      <c r="V371" s="306">
        <f t="shared" ca="1" si="148"/>
        <v>1.1729037913203502</v>
      </c>
      <c r="W371" s="304">
        <f t="shared" ca="1" si="149"/>
        <v>123.99914298806473</v>
      </c>
      <c r="Y371" s="314" t="str">
        <f t="shared" ca="1" si="167"/>
        <v/>
      </c>
      <c r="Z371" s="315" t="str">
        <f t="shared" ca="1" si="168"/>
        <v/>
      </c>
      <c r="AA371" s="316" t="str">
        <f t="shared" ca="1" si="169"/>
        <v/>
      </c>
      <c r="AC371" s="310" t="e">
        <f t="shared" ca="1" si="170"/>
        <v>#N/A</v>
      </c>
      <c r="AD371" s="323" t="e">
        <f t="shared" ca="1" si="171"/>
        <v>#N/A</v>
      </c>
      <c r="AE371" s="324">
        <f t="shared" ca="1" si="150"/>
        <v>434.51458618332873</v>
      </c>
      <c r="AG371" s="306">
        <f t="shared" ca="1" si="172"/>
        <v>-25.461548740270175</v>
      </c>
      <c r="AH371" s="304">
        <f t="shared" ca="1" si="173"/>
        <v>-15.928755309056466</v>
      </c>
    </row>
    <row r="372" spans="1:34" x14ac:dyDescent="0.2">
      <c r="A372" s="347">
        <f t="shared" ca="1" si="151"/>
        <v>0.01</v>
      </c>
      <c r="B372" s="304">
        <f t="shared" ca="1" si="152"/>
        <v>3.6799999999999655</v>
      </c>
      <c r="D372" s="306">
        <f t="shared" ca="1" si="153"/>
        <v>-3.750602103995305</v>
      </c>
      <c r="E372" s="307">
        <f t="shared" ca="1" si="154"/>
        <v>-25.241796552401695</v>
      </c>
      <c r="F372" s="304">
        <f t="shared" ca="1" si="155"/>
        <v>25.518920614621067</v>
      </c>
      <c r="G372" s="306">
        <f t="shared" ca="1" si="156"/>
        <v>42.504651196404815</v>
      </c>
      <c r="H372" s="307">
        <f t="shared" ca="1" si="157"/>
        <v>174.78665492908149</v>
      </c>
      <c r="I372" s="304">
        <f t="shared" ca="1" si="158"/>
        <v>179.88057180981454</v>
      </c>
      <c r="J372" s="306">
        <f t="shared" ca="1" si="159"/>
        <v>97.592385178292929</v>
      </c>
      <c r="K372" s="307">
        <f t="shared" ca="1" si="160"/>
        <v>436.26371482244718</v>
      </c>
      <c r="L372" s="304">
        <f t="shared" ca="1" si="145"/>
        <v>447.04619729449644</v>
      </c>
      <c r="M372" s="306">
        <f t="shared" ca="1" si="161"/>
        <v>1.332246540205728</v>
      </c>
      <c r="N372" s="304">
        <f t="shared" ca="1" si="162"/>
        <v>76.332104024694161</v>
      </c>
      <c r="P372" s="310">
        <f t="shared" ca="1" si="163"/>
        <v>23</v>
      </c>
      <c r="Q372" s="304">
        <f t="shared" ca="1" si="164"/>
        <v>0</v>
      </c>
      <c r="R372" s="306">
        <f t="shared" ca="1" si="165"/>
        <v>0</v>
      </c>
      <c r="S372" s="307">
        <f t="shared" ca="1" si="166"/>
        <v>7.8079999999999892</v>
      </c>
      <c r="T372" s="304">
        <f t="shared" ca="1" si="146"/>
        <v>76.5964799999999</v>
      </c>
      <c r="U372" s="311">
        <f t="shared" ca="1" si="147"/>
        <v>0</v>
      </c>
      <c r="V372" s="306">
        <f t="shared" ca="1" si="148"/>
        <v>1.1726985560457535</v>
      </c>
      <c r="W372" s="304">
        <f t="shared" ca="1" si="149"/>
        <v>123.62787783175911</v>
      </c>
      <c r="Y372" s="314" t="str">
        <f t="shared" ca="1" si="167"/>
        <v/>
      </c>
      <c r="Z372" s="315" t="str">
        <f t="shared" ca="1" si="168"/>
        <v/>
      </c>
      <c r="AA372" s="316" t="str">
        <f t="shared" ca="1" si="169"/>
        <v/>
      </c>
      <c r="AC372" s="310" t="e">
        <f t="shared" ca="1" si="170"/>
        <v>#N/A</v>
      </c>
      <c r="AD372" s="323" t="e">
        <f t="shared" ca="1" si="171"/>
        <v>#N/A</v>
      </c>
      <c r="AE372" s="324">
        <f t="shared" ca="1" si="150"/>
        <v>436.26371482244718</v>
      </c>
      <c r="AG372" s="306">
        <f t="shared" ca="1" si="172"/>
        <v>-25.413533469368257</v>
      </c>
      <c r="AH372" s="304">
        <f t="shared" ca="1" si="173"/>
        <v>-15.881037780233722</v>
      </c>
    </row>
    <row r="373" spans="1:34" x14ac:dyDescent="0.2">
      <c r="A373" s="347">
        <f t="shared" ca="1" si="151"/>
        <v>0.01</v>
      </c>
      <c r="B373" s="304">
        <f t="shared" ca="1" si="152"/>
        <v>3.6899999999999653</v>
      </c>
      <c r="D373" s="306">
        <f t="shared" ca="1" si="153"/>
        <v>-3.7413540389352602</v>
      </c>
      <c r="E373" s="307">
        <f t="shared" ca="1" si="154"/>
        <v>-25.195110545883384</v>
      </c>
      <c r="F373" s="304">
        <f t="shared" ca="1" si="155"/>
        <v>25.471382480421852</v>
      </c>
      <c r="G373" s="306">
        <f t="shared" ca="1" si="156"/>
        <v>42.467237656015463</v>
      </c>
      <c r="H373" s="307">
        <f t="shared" ca="1" si="157"/>
        <v>174.53470382362266</v>
      </c>
      <c r="I373" s="304">
        <f t="shared" ca="1" si="158"/>
        <v>179.62691644887795</v>
      </c>
      <c r="J373" s="306">
        <f t="shared" ca="1" si="159"/>
        <v>98.017244622555026</v>
      </c>
      <c r="K373" s="307">
        <f t="shared" ca="1" si="160"/>
        <v>438.01032161621072</v>
      </c>
      <c r="L373" s="304">
        <f t="shared" ca="1" si="145"/>
        <v>448.84342713883439</v>
      </c>
      <c r="M373" s="306">
        <f t="shared" ca="1" si="161"/>
        <v>1.3321174926476178</v>
      </c>
      <c r="N373" s="304">
        <f t="shared" ca="1" si="162"/>
        <v>76.324710144257978</v>
      </c>
      <c r="P373" s="310">
        <f t="shared" ca="1" si="163"/>
        <v>23</v>
      </c>
      <c r="Q373" s="304">
        <f t="shared" ca="1" si="164"/>
        <v>0</v>
      </c>
      <c r="R373" s="306">
        <f t="shared" ca="1" si="165"/>
        <v>0</v>
      </c>
      <c r="S373" s="307">
        <f t="shared" ca="1" si="166"/>
        <v>7.8079999999999892</v>
      </c>
      <c r="T373" s="304">
        <f t="shared" ca="1" si="146"/>
        <v>76.5964799999999</v>
      </c>
      <c r="U373" s="311">
        <f t="shared" ca="1" si="147"/>
        <v>0</v>
      </c>
      <c r="V373" s="306">
        <f t="shared" ca="1" si="148"/>
        <v>1.1724936517267182</v>
      </c>
      <c r="W373" s="304">
        <f t="shared" ca="1" si="149"/>
        <v>123.257919911288</v>
      </c>
      <c r="Y373" s="314" t="str">
        <f t="shared" ca="1" si="167"/>
        <v/>
      </c>
      <c r="Z373" s="315" t="str">
        <f t="shared" ca="1" si="168"/>
        <v/>
      </c>
      <c r="AA373" s="316" t="str">
        <f t="shared" ca="1" si="169"/>
        <v/>
      </c>
      <c r="AC373" s="310" t="e">
        <f t="shared" ca="1" si="170"/>
        <v>#N/A</v>
      </c>
      <c r="AD373" s="323" t="e">
        <f t="shared" ca="1" si="171"/>
        <v>#N/A</v>
      </c>
      <c r="AE373" s="324">
        <f t="shared" ca="1" si="150"/>
        <v>438.01032161621072</v>
      </c>
      <c r="AG373" s="306">
        <f t="shared" ca="1" si="172"/>
        <v>-25.365685662455917</v>
      </c>
      <c r="AH373" s="304">
        <f t="shared" ca="1" si="173"/>
        <v>-15.833488451813432</v>
      </c>
    </row>
    <row r="374" spans="1:34" x14ac:dyDescent="0.2">
      <c r="A374" s="347">
        <f t="shared" ca="1" si="151"/>
        <v>0.01</v>
      </c>
      <c r="B374" s="304">
        <f t="shared" ca="1" si="152"/>
        <v>3.6999999999999651</v>
      </c>
      <c r="D374" s="306">
        <f t="shared" ca="1" si="153"/>
        <v>-3.7321374302142054</v>
      </c>
      <c r="E374" s="307">
        <f t="shared" ca="1" si="154"/>
        <v>-25.148588920893086</v>
      </c>
      <c r="F374" s="304">
        <f t="shared" ca="1" si="155"/>
        <v>25.424011770569813</v>
      </c>
      <c r="G374" s="306">
        <f t="shared" ca="1" si="156"/>
        <v>42.429916281713318</v>
      </c>
      <c r="H374" s="307">
        <f t="shared" ca="1" si="157"/>
        <v>174.28321793441373</v>
      </c>
      <c r="I374" s="304">
        <f t="shared" ca="1" si="158"/>
        <v>179.37373790287015</v>
      </c>
      <c r="J374" s="306">
        <f t="shared" ca="1" si="159"/>
        <v>98.44173039224367</v>
      </c>
      <c r="K374" s="307">
        <f t="shared" ca="1" si="160"/>
        <v>439.75441122500092</v>
      </c>
      <c r="L374" s="304">
        <f t="shared" ca="1" si="145"/>
        <v>450.63812141724804</v>
      </c>
      <c r="M374" s="306">
        <f t="shared" ca="1" si="161"/>
        <v>1.3319881943674754</v>
      </c>
      <c r="N374" s="304">
        <f t="shared" ca="1" si="162"/>
        <v>76.317301898507509</v>
      </c>
      <c r="P374" s="310">
        <f t="shared" ca="1" si="163"/>
        <v>23</v>
      </c>
      <c r="Q374" s="304">
        <f t="shared" ca="1" si="164"/>
        <v>0</v>
      </c>
      <c r="R374" s="306">
        <f t="shared" ca="1" si="165"/>
        <v>0</v>
      </c>
      <c r="S374" s="307">
        <f t="shared" ca="1" si="166"/>
        <v>7.8079999999999892</v>
      </c>
      <c r="T374" s="304">
        <f t="shared" ca="1" si="146"/>
        <v>76.5964799999999</v>
      </c>
      <c r="U374" s="311">
        <f t="shared" ca="1" si="147"/>
        <v>0</v>
      </c>
      <c r="V374" s="306">
        <f t="shared" ca="1" si="148"/>
        <v>1.172289077655964</v>
      </c>
      <c r="W374" s="304">
        <f t="shared" ca="1" si="149"/>
        <v>122.88926318929798</v>
      </c>
      <c r="Y374" s="314" t="str">
        <f t="shared" ca="1" si="167"/>
        <v/>
      </c>
      <c r="Z374" s="315" t="str">
        <f t="shared" ca="1" si="168"/>
        <v/>
      </c>
      <c r="AA374" s="316" t="str">
        <f t="shared" ca="1" si="169"/>
        <v/>
      </c>
      <c r="AC374" s="310" t="e">
        <f t="shared" ca="1" si="170"/>
        <v>#N/A</v>
      </c>
      <c r="AD374" s="323" t="e">
        <f t="shared" ca="1" si="171"/>
        <v>#N/A</v>
      </c>
      <c r="AE374" s="324">
        <f t="shared" ca="1" si="150"/>
        <v>439.75441122500092</v>
      </c>
      <c r="AG374" s="306">
        <f t="shared" ca="1" si="172"/>
        <v>-25.318004539694019</v>
      </c>
      <c r="AH374" s="304">
        <f t="shared" ca="1" si="173"/>
        <v>-15.786106546015391</v>
      </c>
    </row>
    <row r="375" spans="1:34" x14ac:dyDescent="0.2">
      <c r="A375" s="347">
        <f t="shared" ca="1" si="151"/>
        <v>0.01</v>
      </c>
      <c r="B375" s="304">
        <f t="shared" ca="1" si="152"/>
        <v>3.7099999999999649</v>
      </c>
      <c r="D375" s="306">
        <f t="shared" ca="1" si="153"/>
        <v>-3.7229521310799458</v>
      </c>
      <c r="E375" s="307">
        <f t="shared" ca="1" si="154"/>
        <v>-25.102230918212772</v>
      </c>
      <c r="F375" s="304">
        <f t="shared" ca="1" si="155"/>
        <v>25.376807711798385</v>
      </c>
      <c r="G375" s="306">
        <f t="shared" ca="1" si="156"/>
        <v>42.392686760402519</v>
      </c>
      <c r="H375" s="307">
        <f t="shared" ca="1" si="157"/>
        <v>174.03219562523159</v>
      </c>
      <c r="I375" s="304">
        <f t="shared" ca="1" si="158"/>
        <v>179.1210345127129</v>
      </c>
      <c r="J375" s="306">
        <f t="shared" ca="1" si="159"/>
        <v>98.86584340745425</v>
      </c>
      <c r="K375" s="307">
        <f t="shared" ca="1" si="160"/>
        <v>441.49598829279915</v>
      </c>
      <c r="L375" s="304">
        <f t="shared" ca="1" si="145"/>
        <v>452.43028487414801</v>
      </c>
      <c r="M375" s="306">
        <f t="shared" ca="1" si="161"/>
        <v>1.3318586448689298</v>
      </c>
      <c r="N375" s="304">
        <f t="shared" ca="1" si="162"/>
        <v>76.309879259002813</v>
      </c>
      <c r="P375" s="310">
        <f t="shared" ca="1" si="163"/>
        <v>23</v>
      </c>
      <c r="Q375" s="304">
        <f t="shared" ca="1" si="164"/>
        <v>0</v>
      </c>
      <c r="R375" s="306">
        <f t="shared" ca="1" si="165"/>
        <v>0</v>
      </c>
      <c r="S375" s="307">
        <f t="shared" ca="1" si="166"/>
        <v>7.8079999999999892</v>
      </c>
      <c r="T375" s="304">
        <f t="shared" ca="1" si="146"/>
        <v>76.5964799999999</v>
      </c>
      <c r="U375" s="311">
        <f t="shared" ca="1" si="147"/>
        <v>0</v>
      </c>
      <c r="V375" s="306">
        <f t="shared" ca="1" si="148"/>
        <v>1.1720848331288063</v>
      </c>
      <c r="W375" s="304">
        <f t="shared" ca="1" si="149"/>
        <v>122.52190166373968</v>
      </c>
      <c r="Y375" s="314" t="str">
        <f t="shared" ca="1" si="167"/>
        <v/>
      </c>
      <c r="Z375" s="315" t="str">
        <f t="shared" ca="1" si="168"/>
        <v/>
      </c>
      <c r="AA375" s="316" t="str">
        <f t="shared" ca="1" si="169"/>
        <v/>
      </c>
      <c r="AC375" s="310" t="e">
        <f t="shared" ca="1" si="170"/>
        <v>#N/A</v>
      </c>
      <c r="AD375" s="323" t="e">
        <f t="shared" ca="1" si="171"/>
        <v>#N/A</v>
      </c>
      <c r="AE375" s="324">
        <f t="shared" ca="1" si="150"/>
        <v>441.49598829279915</v>
      </c>
      <c r="AG375" s="306">
        <f t="shared" ca="1" si="172"/>
        <v>-25.270489325789278</v>
      </c>
      <c r="AH375" s="304">
        <f t="shared" ca="1" si="173"/>
        <v>-15.73889128961298</v>
      </c>
    </row>
    <row r="376" spans="1:34" x14ac:dyDescent="0.2">
      <c r="A376" s="347">
        <f t="shared" ca="1" si="151"/>
        <v>0.01</v>
      </c>
      <c r="B376" s="304">
        <f t="shared" ca="1" si="152"/>
        <v>3.7199999999999647</v>
      </c>
      <c r="D376" s="306">
        <f t="shared" ca="1" si="153"/>
        <v>-3.7137979956371439</v>
      </c>
      <c r="E376" s="307">
        <f t="shared" ca="1" si="154"/>
        <v>-25.056035783063908</v>
      </c>
      <c r="F376" s="304">
        <f t="shared" ca="1" si="155"/>
        <v>25.329769535362484</v>
      </c>
      <c r="G376" s="306">
        <f t="shared" ca="1" si="156"/>
        <v>42.355548780446149</v>
      </c>
      <c r="H376" s="307">
        <f t="shared" ca="1" si="157"/>
        <v>173.78163526740096</v>
      </c>
      <c r="I376" s="304">
        <f t="shared" ca="1" si="158"/>
        <v>178.86880462703587</v>
      </c>
      <c r="J376" s="306">
        <f t="shared" ca="1" si="159"/>
        <v>99.289584585158494</v>
      </c>
      <c r="K376" s="307">
        <f t="shared" ca="1" si="160"/>
        <v>443.23505744726231</v>
      </c>
      <c r="L376" s="304">
        <f t="shared" ca="1" si="145"/>
        <v>454.2199222374237</v>
      </c>
      <c r="M376" s="306">
        <f t="shared" ca="1" si="161"/>
        <v>1.3317288436540589</v>
      </c>
      <c r="N376" s="304">
        <f t="shared" ca="1" si="162"/>
        <v>76.302442197215044</v>
      </c>
      <c r="P376" s="310">
        <f t="shared" ca="1" si="163"/>
        <v>23</v>
      </c>
      <c r="Q376" s="304">
        <f t="shared" ca="1" si="164"/>
        <v>0</v>
      </c>
      <c r="R376" s="306">
        <f t="shared" ca="1" si="165"/>
        <v>0</v>
      </c>
      <c r="S376" s="307">
        <f t="shared" ca="1" si="166"/>
        <v>7.8079999999999892</v>
      </c>
      <c r="T376" s="304">
        <f t="shared" ca="1" si="146"/>
        <v>76.5964799999999</v>
      </c>
      <c r="U376" s="311">
        <f t="shared" ca="1" si="147"/>
        <v>0</v>
      </c>
      <c r="V376" s="306">
        <f t="shared" ca="1" si="148"/>
        <v>1.1718809174431422</v>
      </c>
      <c r="W376" s="304">
        <f t="shared" ca="1" si="149"/>
        <v>122.15582936761969</v>
      </c>
      <c r="Y376" s="314" t="str">
        <f t="shared" ca="1" si="167"/>
        <v/>
      </c>
      <c r="Z376" s="315" t="str">
        <f t="shared" ca="1" si="168"/>
        <v/>
      </c>
      <c r="AA376" s="316" t="str">
        <f t="shared" ca="1" si="169"/>
        <v/>
      </c>
      <c r="AC376" s="310" t="e">
        <f t="shared" ca="1" si="170"/>
        <v>#N/A</v>
      </c>
      <c r="AD376" s="323" t="e">
        <f t="shared" ca="1" si="171"/>
        <v>#N/A</v>
      </c>
      <c r="AE376" s="324">
        <f t="shared" ca="1" si="150"/>
        <v>443.23505744726231</v>
      </c>
      <c r="AG376" s="306">
        <f t="shared" ca="1" si="172"/>
        <v>-25.22313924996217</v>
      </c>
      <c r="AH376" s="304">
        <f t="shared" ca="1" si="173"/>
        <v>-15.691841913901108</v>
      </c>
    </row>
    <row r="377" spans="1:34" x14ac:dyDescent="0.2">
      <c r="A377" s="347">
        <f t="shared" ca="1" si="151"/>
        <v>0.01</v>
      </c>
      <c r="B377" s="304">
        <f t="shared" ca="1" si="152"/>
        <v>3.7299999999999645</v>
      </c>
      <c r="D377" s="306">
        <f t="shared" ca="1" si="153"/>
        <v>-3.7046748788413089</v>
      </c>
      <c r="E377" s="307">
        <f t="shared" ca="1" si="154"/>
        <v>-25.010002765076237</v>
      </c>
      <c r="F377" s="304">
        <f t="shared" ca="1" si="155"/>
        <v>25.282896477006723</v>
      </c>
      <c r="G377" s="306">
        <f t="shared" ca="1" si="156"/>
        <v>42.318502031657736</v>
      </c>
      <c r="H377" s="307">
        <f t="shared" ca="1" si="157"/>
        <v>173.53153523975018</v>
      </c>
      <c r="I377" s="304">
        <f t="shared" ca="1" si="158"/>
        <v>178.61704660213167</v>
      </c>
      <c r="J377" s="306">
        <f t="shared" ca="1" si="159"/>
        <v>99.712954839219009</v>
      </c>
      <c r="K377" s="307">
        <f t="shared" ca="1" si="160"/>
        <v>444.97162329979807</v>
      </c>
      <c r="L377" s="304">
        <f t="shared" ca="1" si="145"/>
        <v>456.00703821851863</v>
      </c>
      <c r="M377" s="306">
        <f t="shared" ca="1" si="161"/>
        <v>1.3315987902233848</v>
      </c>
      <c r="N377" s="304">
        <f t="shared" ca="1" si="162"/>
        <v>76.294990684526212</v>
      </c>
      <c r="P377" s="310">
        <f t="shared" ca="1" si="163"/>
        <v>23</v>
      </c>
      <c r="Q377" s="304">
        <f t="shared" ca="1" si="164"/>
        <v>0</v>
      </c>
      <c r="R377" s="306">
        <f t="shared" ca="1" si="165"/>
        <v>0</v>
      </c>
      <c r="S377" s="307">
        <f t="shared" ca="1" si="166"/>
        <v>7.8079999999999892</v>
      </c>
      <c r="T377" s="304">
        <f t="shared" ca="1" si="146"/>
        <v>76.5964799999999</v>
      </c>
      <c r="U377" s="311">
        <f t="shared" ca="1" si="147"/>
        <v>0</v>
      </c>
      <c r="V377" s="306">
        <f t="shared" ca="1" si="148"/>
        <v>1.171677329899441</v>
      </c>
      <c r="W377" s="304">
        <f t="shared" ca="1" si="149"/>
        <v>121.79104036875435</v>
      </c>
      <c r="Y377" s="314" t="str">
        <f t="shared" ca="1" si="167"/>
        <v/>
      </c>
      <c r="Z377" s="315" t="str">
        <f t="shared" ca="1" si="168"/>
        <v/>
      </c>
      <c r="AA377" s="316" t="str">
        <f t="shared" ca="1" si="169"/>
        <v/>
      </c>
      <c r="AC377" s="310" t="e">
        <f t="shared" ca="1" si="170"/>
        <v>#N/A</v>
      </c>
      <c r="AD377" s="323" t="e">
        <f t="shared" ca="1" si="171"/>
        <v>#N/A</v>
      </c>
      <c r="AE377" s="324">
        <f t="shared" ca="1" si="150"/>
        <v>444.97162329979807</v>
      </c>
      <c r="AG377" s="306">
        <f t="shared" ca="1" si="172"/>
        <v>-25.175953545915128</v>
      </c>
      <c r="AH377" s="304">
        <f t="shared" ca="1" si="173"/>
        <v>-15.644957654664429</v>
      </c>
    </row>
    <row r="378" spans="1:34" x14ac:dyDescent="0.2">
      <c r="A378" s="347">
        <f t="shared" ca="1" si="151"/>
        <v>0.01</v>
      </c>
      <c r="B378" s="304">
        <f t="shared" ca="1" si="152"/>
        <v>3.7399999999999642</v>
      </c>
      <c r="D378" s="306">
        <f t="shared" ca="1" si="153"/>
        <v>-3.6955826364927997</v>
      </c>
      <c r="E378" s="307">
        <f t="shared" ca="1" si="154"/>
        <v>-24.964131118256823</v>
      </c>
      <c r="F378" s="304">
        <f t="shared" ca="1" si="155"/>
        <v>25.236187776933853</v>
      </c>
      <c r="G378" s="306">
        <f t="shared" ca="1" si="156"/>
        <v>42.281546205292805</v>
      </c>
      <c r="H378" s="307">
        <f t="shared" ca="1" si="157"/>
        <v>173.28189392856763</v>
      </c>
      <c r="I378" s="304">
        <f t="shared" ca="1" si="158"/>
        <v>178.36575880191151</v>
      </c>
      <c r="J378" s="306">
        <f t="shared" ca="1" si="159"/>
        <v>100.13595508040376</v>
      </c>
      <c r="K378" s="307">
        <f t="shared" ca="1" si="160"/>
        <v>446.70569044563968</v>
      </c>
      <c r="L378" s="304">
        <f t="shared" ca="1" si="145"/>
        <v>457.79163751250451</v>
      </c>
      <c r="M378" s="306">
        <f t="shared" ca="1" si="161"/>
        <v>1.3314684840758677</v>
      </c>
      <c r="N378" s="304">
        <f t="shared" ca="1" si="162"/>
        <v>76.287524692228871</v>
      </c>
      <c r="P378" s="310">
        <f t="shared" ca="1" si="163"/>
        <v>23</v>
      </c>
      <c r="Q378" s="304">
        <f t="shared" ca="1" si="164"/>
        <v>0</v>
      </c>
      <c r="R378" s="306">
        <f t="shared" ca="1" si="165"/>
        <v>0</v>
      </c>
      <c r="S378" s="307">
        <f t="shared" ca="1" si="166"/>
        <v>7.8079999999999892</v>
      </c>
      <c r="T378" s="304">
        <f t="shared" ca="1" si="146"/>
        <v>76.5964799999999</v>
      </c>
      <c r="U378" s="311">
        <f t="shared" ca="1" si="147"/>
        <v>0</v>
      </c>
      <c r="V378" s="306">
        <f t="shared" ca="1" si="148"/>
        <v>1.1714740698007295</v>
      </c>
      <c r="W378" s="304">
        <f t="shared" ca="1" si="149"/>
        <v>121.42752876952598</v>
      </c>
      <c r="Y378" s="314" t="str">
        <f t="shared" ca="1" si="167"/>
        <v/>
      </c>
      <c r="Z378" s="315" t="str">
        <f t="shared" ca="1" si="168"/>
        <v/>
      </c>
      <c r="AA378" s="316" t="str">
        <f t="shared" ca="1" si="169"/>
        <v/>
      </c>
      <c r="AC378" s="310" t="e">
        <f t="shared" ca="1" si="170"/>
        <v>#N/A</v>
      </c>
      <c r="AD378" s="323" t="e">
        <f t="shared" ca="1" si="171"/>
        <v>#N/A</v>
      </c>
      <c r="AE378" s="324">
        <f t="shared" ca="1" si="150"/>
        <v>446.70569044563968</v>
      </c>
      <c r="AG378" s="306">
        <f t="shared" ca="1" si="172"/>
        <v>-25.12893145180098</v>
      </c>
      <c r="AH378" s="304">
        <f t="shared" ca="1" si="173"/>
        <v>-15.598237752145815</v>
      </c>
    </row>
    <row r="379" spans="1:34" x14ac:dyDescent="0.2">
      <c r="A379" s="347">
        <f t="shared" ca="1" si="151"/>
        <v>0.01</v>
      </c>
      <c r="B379" s="304">
        <f t="shared" ca="1" si="152"/>
        <v>3.749999999999964</v>
      </c>
      <c r="D379" s="306">
        <f t="shared" ca="1" si="153"/>
        <v>-3.6865211252309305</v>
      </c>
      <c r="E379" s="307">
        <f t="shared" ca="1" si="154"/>
        <v>-24.918420100959406</v>
      </c>
      <c r="F379" s="304">
        <f t="shared" ca="1" si="155"/>
        <v>25.189642679773602</v>
      </c>
      <c r="G379" s="306">
        <f t="shared" ca="1" si="156"/>
        <v>42.244680994040493</v>
      </c>
      <c r="H379" s="307">
        <f t="shared" ca="1" si="157"/>
        <v>173.03270972755803</v>
      </c>
      <c r="I379" s="304">
        <f t="shared" ca="1" si="158"/>
        <v>178.1149395978608</v>
      </c>
      <c r="J379" s="306">
        <f t="shared" ca="1" si="159"/>
        <v>100.55858621640043</v>
      </c>
      <c r="K379" s="307">
        <f t="shared" ca="1" si="160"/>
        <v>448.43726346392032</v>
      </c>
      <c r="L379" s="304">
        <f t="shared" ca="1" si="145"/>
        <v>459.57372479815541</v>
      </c>
      <c r="M379" s="306">
        <f t="shared" ca="1" si="161"/>
        <v>1.3313379247089014</v>
      </c>
      <c r="N379" s="304">
        <f t="shared" ca="1" si="162"/>
        <v>76.280044191525818</v>
      </c>
      <c r="P379" s="310">
        <f t="shared" ca="1" si="163"/>
        <v>23</v>
      </c>
      <c r="Q379" s="304">
        <f t="shared" ca="1" si="164"/>
        <v>0</v>
      </c>
      <c r="R379" s="306">
        <f t="shared" ca="1" si="165"/>
        <v>0</v>
      </c>
      <c r="S379" s="307">
        <f t="shared" ca="1" si="166"/>
        <v>7.8079999999999892</v>
      </c>
      <c r="T379" s="304">
        <f t="shared" ca="1" si="146"/>
        <v>76.5964799999999</v>
      </c>
      <c r="U379" s="311">
        <f t="shared" ca="1" si="147"/>
        <v>0</v>
      </c>
      <c r="V379" s="306">
        <f t="shared" ca="1" si="148"/>
        <v>1.1712711364525812</v>
      </c>
      <c r="W379" s="304">
        <f t="shared" ca="1" si="149"/>
        <v>121.06528870664032</v>
      </c>
      <c r="Y379" s="314" t="str">
        <f t="shared" ca="1" si="167"/>
        <v/>
      </c>
      <c r="Z379" s="315" t="str">
        <f t="shared" ca="1" si="168"/>
        <v/>
      </c>
      <c r="AA379" s="316" t="str">
        <f t="shared" ca="1" si="169"/>
        <v/>
      </c>
      <c r="AC379" s="310" t="e">
        <f t="shared" ca="1" si="170"/>
        <v>#N/A</v>
      </c>
      <c r="AD379" s="323" t="e">
        <f t="shared" ca="1" si="171"/>
        <v>#N/A</v>
      </c>
      <c r="AE379" s="324">
        <f t="shared" ca="1" si="150"/>
        <v>448.43726346392032</v>
      </c>
      <c r="AG379" s="306">
        <f t="shared" ca="1" si="172"/>
        <v>-25.082072210191669</v>
      </c>
      <c r="AH379" s="304">
        <f t="shared" ca="1" si="173"/>
        <v>-15.551681451015131</v>
      </c>
    </row>
    <row r="380" spans="1:34" x14ac:dyDescent="0.2">
      <c r="A380" s="347">
        <f t="shared" ca="1" si="151"/>
        <v>0.01</v>
      </c>
      <c r="B380" s="304">
        <f t="shared" ca="1" si="152"/>
        <v>3.7599999999999638</v>
      </c>
      <c r="D380" s="306">
        <f t="shared" ca="1" si="153"/>
        <v>-3.6774902025280598</v>
      </c>
      <c r="E380" s="307">
        <f t="shared" ca="1" si="154"/>
        <v>-24.872868975853876</v>
      </c>
      <c r="F380" s="304">
        <f t="shared" ca="1" si="155"/>
        <v>25.143260434551525</v>
      </c>
      <c r="G380" s="306">
        <f t="shared" ca="1" si="156"/>
        <v>42.207906092015214</v>
      </c>
      <c r="H380" s="307">
        <f t="shared" ca="1" si="157"/>
        <v>172.78398103779949</v>
      </c>
      <c r="I380" s="304">
        <f t="shared" ca="1" si="158"/>
        <v>177.86458736899547</v>
      </c>
      <c r="J380" s="306">
        <f t="shared" ca="1" si="159"/>
        <v>100.98084915183071</v>
      </c>
      <c r="K380" s="307">
        <f t="shared" ca="1" si="160"/>
        <v>450.16634691774709</v>
      </c>
      <c r="L380" s="304">
        <f t="shared" ca="1" si="145"/>
        <v>461.35330473802202</v>
      </c>
      <c r="M380" s="306">
        <f t="shared" ca="1" si="161"/>
        <v>1.3312071116183068</v>
      </c>
      <c r="N380" s="304">
        <f t="shared" ca="1" si="162"/>
        <v>76.272549153529681</v>
      </c>
      <c r="P380" s="310">
        <f t="shared" ca="1" si="163"/>
        <v>23</v>
      </c>
      <c r="Q380" s="304">
        <f t="shared" ca="1" si="164"/>
        <v>0</v>
      </c>
      <c r="R380" s="306">
        <f t="shared" ca="1" si="165"/>
        <v>0</v>
      </c>
      <c r="S380" s="307">
        <f t="shared" ca="1" si="166"/>
        <v>7.8079999999999892</v>
      </c>
      <c r="T380" s="304">
        <f t="shared" ca="1" si="146"/>
        <v>76.5964799999999</v>
      </c>
      <c r="U380" s="311">
        <f t="shared" ca="1" si="147"/>
        <v>0</v>
      </c>
      <c r="V380" s="306">
        <f t="shared" ca="1" si="148"/>
        <v>1.1710685291631033</v>
      </c>
      <c r="W380" s="304">
        <f t="shared" ca="1" si="149"/>
        <v>120.70431435088682</v>
      </c>
      <c r="Y380" s="314" t="str">
        <f t="shared" ca="1" si="167"/>
        <v/>
      </c>
      <c r="Z380" s="315" t="str">
        <f t="shared" ca="1" si="168"/>
        <v/>
      </c>
      <c r="AA380" s="316" t="str">
        <f t="shared" ca="1" si="169"/>
        <v/>
      </c>
      <c r="AC380" s="310" t="e">
        <f t="shared" ca="1" si="170"/>
        <v>#N/A</v>
      </c>
      <c r="AD380" s="323" t="e">
        <f t="shared" ca="1" si="171"/>
        <v>#N/A</v>
      </c>
      <c r="AE380" s="324">
        <f t="shared" ca="1" si="150"/>
        <v>450.16634691774709</v>
      </c>
      <c r="AG380" s="306">
        <f t="shared" ca="1" si="172"/>
        <v>-25.035375068047188</v>
      </c>
      <c r="AH380" s="304">
        <f t="shared" ca="1" si="173"/>
        <v>-15.505288000338178</v>
      </c>
    </row>
    <row r="381" spans="1:34" x14ac:dyDescent="0.2">
      <c r="A381" s="347">
        <f t="shared" ca="1" si="151"/>
        <v>0.01</v>
      </c>
      <c r="B381" s="304">
        <f t="shared" ca="1" si="152"/>
        <v>3.7699999999999636</v>
      </c>
      <c r="D381" s="306">
        <f t="shared" ca="1" si="153"/>
        <v>-3.6684897266837919</v>
      </c>
      <c r="E381" s="307">
        <f t="shared" ca="1" si="154"/>
        <v>-24.827477009896157</v>
      </c>
      <c r="F381" s="304">
        <f t="shared" ca="1" si="155"/>
        <v>25.097040294658385</v>
      </c>
      <c r="G381" s="306">
        <f t="shared" ca="1" si="156"/>
        <v>42.171221194748377</v>
      </c>
      <c r="H381" s="307">
        <f t="shared" ca="1" si="157"/>
        <v>172.53570626770053</v>
      </c>
      <c r="I381" s="304">
        <f t="shared" ca="1" si="158"/>
        <v>177.61470050181833</v>
      </c>
      <c r="J381" s="306">
        <f t="shared" ca="1" si="159"/>
        <v>101.40274478826453</v>
      </c>
      <c r="K381" s="307">
        <f t="shared" ca="1" si="160"/>
        <v>451.89294535427462</v>
      </c>
      <c r="L381" s="304">
        <f t="shared" ca="1" si="145"/>
        <v>463.13038197850432</v>
      </c>
      <c r="M381" s="306">
        <f t="shared" ca="1" si="161"/>
        <v>1.3310760442983278</v>
      </c>
      <c r="N381" s="304">
        <f t="shared" ca="1" si="162"/>
        <v>76.265039549262795</v>
      </c>
      <c r="P381" s="310">
        <f t="shared" ca="1" si="163"/>
        <v>23</v>
      </c>
      <c r="Q381" s="304">
        <f t="shared" ca="1" si="164"/>
        <v>0</v>
      </c>
      <c r="R381" s="306">
        <f t="shared" ca="1" si="165"/>
        <v>0</v>
      </c>
      <c r="S381" s="307">
        <f t="shared" ca="1" si="166"/>
        <v>7.8079999999999892</v>
      </c>
      <c r="T381" s="304">
        <f t="shared" ca="1" si="146"/>
        <v>76.5964799999999</v>
      </c>
      <c r="U381" s="311">
        <f t="shared" ca="1" si="147"/>
        <v>0</v>
      </c>
      <c r="V381" s="306">
        <f t="shared" ca="1" si="148"/>
        <v>1.1708662472429254</v>
      </c>
      <c r="W381" s="304">
        <f t="shared" ca="1" si="149"/>
        <v>120.34459990690041</v>
      </c>
      <c r="Y381" s="314" t="str">
        <f t="shared" ca="1" si="167"/>
        <v/>
      </c>
      <c r="Z381" s="315" t="str">
        <f t="shared" ca="1" si="168"/>
        <v/>
      </c>
      <c r="AA381" s="316" t="str">
        <f t="shared" ca="1" si="169"/>
        <v/>
      </c>
      <c r="AC381" s="310" t="e">
        <f t="shared" ca="1" si="170"/>
        <v>#N/A</v>
      </c>
      <c r="AD381" s="323" t="e">
        <f t="shared" ca="1" si="171"/>
        <v>#N/A</v>
      </c>
      <c r="AE381" s="324">
        <f t="shared" ca="1" si="150"/>
        <v>451.89294535427462</v>
      </c>
      <c r="AG381" s="306">
        <f t="shared" ca="1" si="172"/>
        <v>-24.988839276684818</v>
      </c>
      <c r="AH381" s="304">
        <f t="shared" ca="1" si="173"/>
        <v>-15.459056653545977</v>
      </c>
    </row>
    <row r="382" spans="1:34" x14ac:dyDescent="0.2">
      <c r="A382" s="347">
        <f t="shared" ca="1" si="151"/>
        <v>0.01</v>
      </c>
      <c r="B382" s="304">
        <f t="shared" ca="1" si="152"/>
        <v>3.7799999999999634</v>
      </c>
      <c r="D382" s="306">
        <f t="shared" ca="1" si="153"/>
        <v>-3.6595195568191721</v>
      </c>
      <c r="E382" s="307">
        <f t="shared" ca="1" si="154"/>
        <v>-24.782243474298227</v>
      </c>
      <c r="F382" s="304">
        <f t="shared" ca="1" si="155"/>
        <v>25.050981517819597</v>
      </c>
      <c r="G382" s="306">
        <f t="shared" ca="1" si="156"/>
        <v>42.134625999180187</v>
      </c>
      <c r="H382" s="307">
        <f t="shared" ca="1" si="157"/>
        <v>172.28788383295756</v>
      </c>
      <c r="I382" s="304">
        <f t="shared" ca="1" si="158"/>
        <v>177.36527739027576</v>
      </c>
      <c r="J382" s="306">
        <f t="shared" ca="1" si="159"/>
        <v>101.82427402423417</v>
      </c>
      <c r="K382" s="307">
        <f t="shared" ca="1" si="160"/>
        <v>453.6170633047779</v>
      </c>
      <c r="L382" s="304">
        <f t="shared" ca="1" si="145"/>
        <v>464.90496114992493</v>
      </c>
      <c r="M382" s="306">
        <f t="shared" ca="1" si="161"/>
        <v>1.3309447222416244</v>
      </c>
      <c r="N382" s="304">
        <f t="shared" ca="1" si="162"/>
        <v>76.2575153496567</v>
      </c>
      <c r="P382" s="310">
        <f t="shared" ca="1" si="163"/>
        <v>23</v>
      </c>
      <c r="Q382" s="304">
        <f t="shared" ca="1" si="164"/>
        <v>0</v>
      </c>
      <c r="R382" s="306">
        <f t="shared" ca="1" si="165"/>
        <v>0</v>
      </c>
      <c r="S382" s="307">
        <f t="shared" ca="1" si="166"/>
        <v>7.8079999999999892</v>
      </c>
      <c r="T382" s="304">
        <f t="shared" ca="1" si="146"/>
        <v>76.5964799999999</v>
      </c>
      <c r="U382" s="311">
        <f t="shared" ca="1" si="147"/>
        <v>0</v>
      </c>
      <c r="V382" s="306">
        <f t="shared" ca="1" si="148"/>
        <v>1.1706642900051862</v>
      </c>
      <c r="W382" s="304">
        <f t="shared" ca="1" si="149"/>
        <v>119.98613961292516</v>
      </c>
      <c r="Y382" s="314" t="str">
        <f t="shared" ca="1" si="167"/>
        <v/>
      </c>
      <c r="Z382" s="315" t="str">
        <f t="shared" ca="1" si="168"/>
        <v/>
      </c>
      <c r="AA382" s="316" t="str">
        <f t="shared" ca="1" si="169"/>
        <v/>
      </c>
      <c r="AC382" s="310" t="e">
        <f t="shared" ca="1" si="170"/>
        <v>#N/A</v>
      </c>
      <c r="AD382" s="323" t="e">
        <f t="shared" ca="1" si="171"/>
        <v>#N/A</v>
      </c>
      <c r="AE382" s="324">
        <f t="shared" ca="1" si="150"/>
        <v>453.6170633047779</v>
      </c>
      <c r="AG382" s="306">
        <f t="shared" ca="1" si="172"/>
        <v>-24.942464091748601</v>
      </c>
      <c r="AH382" s="304">
        <f t="shared" ca="1" si="173"/>
        <v>-15.412986668404274</v>
      </c>
    </row>
    <row r="383" spans="1:34" x14ac:dyDescent="0.2">
      <c r="A383" s="347">
        <f t="shared" ca="1" si="151"/>
        <v>0.01</v>
      </c>
      <c r="B383" s="304">
        <f t="shared" ca="1" si="152"/>
        <v>3.7899999999999632</v>
      </c>
      <c r="D383" s="306">
        <f t="shared" ca="1" si="153"/>
        <v>-3.6505795528709712</v>
      </c>
      <c r="E383" s="307">
        <f t="shared" ca="1" si="154"/>
        <v>-24.737167644498417</v>
      </c>
      <c r="F383" s="304">
        <f t="shared" ca="1" si="155"/>
        <v>25.005083366064969</v>
      </c>
      <c r="G383" s="306">
        <f t="shared" ca="1" si="156"/>
        <v>42.098120203651476</v>
      </c>
      <c r="H383" s="307">
        <f t="shared" ca="1" si="157"/>
        <v>172.04051215651259</v>
      </c>
      <c r="I383" s="304">
        <f t="shared" ca="1" si="158"/>
        <v>177.11631643571477</v>
      </c>
      <c r="J383" s="306">
        <f t="shared" ca="1" si="159"/>
        <v>102.24543775524833</v>
      </c>
      <c r="K383" s="307">
        <f t="shared" ca="1" si="160"/>
        <v>455.33870528472528</v>
      </c>
      <c r="L383" s="304">
        <f t="shared" ca="1" si="145"/>
        <v>466.67704686660159</v>
      </c>
      <c r="M383" s="306">
        <f t="shared" ca="1" si="161"/>
        <v>1.3308131449392684</v>
      </c>
      <c r="N383" s="304">
        <f t="shared" ca="1" si="162"/>
        <v>76.249976525551986</v>
      </c>
      <c r="P383" s="310">
        <f t="shared" ca="1" si="163"/>
        <v>23</v>
      </c>
      <c r="Q383" s="304">
        <f t="shared" ca="1" si="164"/>
        <v>0</v>
      </c>
      <c r="R383" s="306">
        <f t="shared" ca="1" si="165"/>
        <v>0</v>
      </c>
      <c r="S383" s="307">
        <f t="shared" ca="1" si="166"/>
        <v>7.8079999999999892</v>
      </c>
      <c r="T383" s="304">
        <f t="shared" ca="1" si="146"/>
        <v>76.5964799999999</v>
      </c>
      <c r="U383" s="311">
        <f t="shared" ca="1" si="147"/>
        <v>0</v>
      </c>
      <c r="V383" s="306">
        <f t="shared" ca="1" si="148"/>
        <v>1.1704626567655241</v>
      </c>
      <c r="W383" s="304">
        <f t="shared" ca="1" si="149"/>
        <v>119.62892774058027</v>
      </c>
      <c r="Y383" s="314" t="str">
        <f t="shared" ca="1" si="167"/>
        <v/>
      </c>
      <c r="Z383" s="315" t="str">
        <f t="shared" ca="1" si="168"/>
        <v/>
      </c>
      <c r="AA383" s="316" t="str">
        <f t="shared" ca="1" si="169"/>
        <v/>
      </c>
      <c r="AC383" s="310" t="e">
        <f t="shared" ca="1" si="170"/>
        <v>#N/A</v>
      </c>
      <c r="AD383" s="323" t="e">
        <f t="shared" ca="1" si="171"/>
        <v>#N/A</v>
      </c>
      <c r="AE383" s="324">
        <f t="shared" ca="1" si="150"/>
        <v>455.33870528472528</v>
      </c>
      <c r="AG383" s="306">
        <f t="shared" ca="1" si="172"/>
        <v>-24.896248773179035</v>
      </c>
      <c r="AH383" s="304">
        <f t="shared" ca="1" si="173"/>
        <v>-15.367077306983264</v>
      </c>
    </row>
    <row r="384" spans="1:34" x14ac:dyDescent="0.2">
      <c r="A384" s="347">
        <f t="shared" ca="1" si="151"/>
        <v>0.01</v>
      </c>
      <c r="B384" s="304">
        <f t="shared" ca="1" si="152"/>
        <v>3.799999999999963</v>
      </c>
      <c r="D384" s="306">
        <f t="shared" ca="1" si="153"/>
        <v>-3.6416695755859876</v>
      </c>
      <c r="E384" s="307">
        <f t="shared" ca="1" si="154"/>
        <v>-24.692248800131956</v>
      </c>
      <c r="F384" s="304">
        <f t="shared" ca="1" si="155"/>
        <v>24.95934510569872</v>
      </c>
      <c r="G384" s="306">
        <f t="shared" ca="1" si="156"/>
        <v>42.061703507895615</v>
      </c>
      <c r="H384" s="307">
        <f t="shared" ca="1" si="157"/>
        <v>171.79358966851126</v>
      </c>
      <c r="I384" s="304">
        <f t="shared" ca="1" si="158"/>
        <v>176.86781604684029</v>
      </c>
      <c r="J384" s="306">
        <f t="shared" ca="1" si="159"/>
        <v>102.66623687380607</v>
      </c>
      <c r="K384" s="307">
        <f t="shared" ca="1" si="160"/>
        <v>457.05787579385037</v>
      </c>
      <c r="L384" s="304">
        <f t="shared" ca="1" si="145"/>
        <v>468.44664372691926</v>
      </c>
      <c r="M384" s="306">
        <f t="shared" ca="1" si="161"/>
        <v>1.3306813118807377</v>
      </c>
      <c r="N384" s="304">
        <f t="shared" ca="1" si="162"/>
        <v>76.242423047697883</v>
      </c>
      <c r="P384" s="310">
        <f t="shared" ca="1" si="163"/>
        <v>23</v>
      </c>
      <c r="Q384" s="304">
        <f t="shared" ca="1" si="164"/>
        <v>0</v>
      </c>
      <c r="R384" s="306">
        <f t="shared" ca="1" si="165"/>
        <v>0</v>
      </c>
      <c r="S384" s="307">
        <f t="shared" ca="1" si="166"/>
        <v>7.8079999999999892</v>
      </c>
      <c r="T384" s="304">
        <f t="shared" ca="1" si="146"/>
        <v>76.5964799999999</v>
      </c>
      <c r="U384" s="311">
        <f t="shared" ca="1" si="147"/>
        <v>0</v>
      </c>
      <c r="V384" s="306">
        <f t="shared" ca="1" si="148"/>
        <v>1.1702613468420628</v>
      </c>
      <c r="W384" s="304">
        <f t="shared" ca="1" si="149"/>
        <v>119.27295859462748</v>
      </c>
      <c r="Y384" s="314" t="str">
        <f t="shared" ca="1" si="167"/>
        <v/>
      </c>
      <c r="Z384" s="315" t="str">
        <f t="shared" ca="1" si="168"/>
        <v/>
      </c>
      <c r="AA384" s="316" t="str">
        <f t="shared" ca="1" si="169"/>
        <v/>
      </c>
      <c r="AC384" s="310" t="e">
        <f t="shared" ca="1" si="170"/>
        <v>#N/A</v>
      </c>
      <c r="AD384" s="323" t="e">
        <f t="shared" ca="1" si="171"/>
        <v>#N/A</v>
      </c>
      <c r="AE384" s="324">
        <f t="shared" ca="1" si="150"/>
        <v>457.05787579385037</v>
      </c>
      <c r="AG384" s="306">
        <f t="shared" ca="1" si="172"/>
        <v>-24.850192585183052</v>
      </c>
      <c r="AH384" s="304">
        <f t="shared" ca="1" si="173"/>
        <v>-15.321327835627617</v>
      </c>
    </row>
    <row r="385" spans="1:34" x14ac:dyDescent="0.2">
      <c r="A385" s="347">
        <f t="shared" ca="1" si="151"/>
        <v>0.01</v>
      </c>
      <c r="B385" s="304">
        <f t="shared" ca="1" si="152"/>
        <v>3.8099999999999627</v>
      </c>
      <c r="D385" s="306">
        <f t="shared" ca="1" si="153"/>
        <v>-3.6327894865154042</v>
      </c>
      <c r="E385" s="307">
        <f t="shared" ca="1" si="154"/>
        <v>-24.647486225001753</v>
      </c>
      <c r="F385" s="304">
        <f t="shared" ca="1" si="155"/>
        <v>24.913766007269718</v>
      </c>
      <c r="G385" s="306">
        <f t="shared" ca="1" si="156"/>
        <v>42.025375613030462</v>
      </c>
      <c r="H385" s="307">
        <f t="shared" ca="1" si="157"/>
        <v>171.54711480626125</v>
      </c>
      <c r="I385" s="304">
        <f t="shared" ca="1" si="158"/>
        <v>176.61977463967298</v>
      </c>
      <c r="J385" s="306">
        <f t="shared" ca="1" si="159"/>
        <v>103.0866722694107</v>
      </c>
      <c r="K385" s="307">
        <f t="shared" ca="1" si="160"/>
        <v>458.77457931622422</v>
      </c>
      <c r="L385" s="304">
        <f t="shared" ca="1" si="145"/>
        <v>470.21375631340197</v>
      </c>
      <c r="M385" s="306">
        <f t="shared" ca="1" si="161"/>
        <v>1.3305492225539102</v>
      </c>
      <c r="N385" s="304">
        <f t="shared" ca="1" si="162"/>
        <v>76.234854886751933</v>
      </c>
      <c r="P385" s="310">
        <f t="shared" ca="1" si="163"/>
        <v>23</v>
      </c>
      <c r="Q385" s="304">
        <f t="shared" ca="1" si="164"/>
        <v>0</v>
      </c>
      <c r="R385" s="306">
        <f t="shared" ca="1" si="165"/>
        <v>0</v>
      </c>
      <c r="S385" s="307">
        <f t="shared" ca="1" si="166"/>
        <v>7.8079999999999892</v>
      </c>
      <c r="T385" s="304">
        <f t="shared" ca="1" si="146"/>
        <v>76.5964799999999</v>
      </c>
      <c r="U385" s="311">
        <f t="shared" ca="1" si="147"/>
        <v>0</v>
      </c>
      <c r="V385" s="306">
        <f t="shared" ca="1" si="148"/>
        <v>1.1700603595554004</v>
      </c>
      <c r="W385" s="304">
        <f t="shared" ca="1" si="149"/>
        <v>118.91822651274084</v>
      </c>
      <c r="Y385" s="314" t="str">
        <f t="shared" ca="1" si="167"/>
        <v/>
      </c>
      <c r="Z385" s="315" t="str">
        <f t="shared" ca="1" si="168"/>
        <v/>
      </c>
      <c r="AA385" s="316" t="str">
        <f t="shared" ca="1" si="169"/>
        <v/>
      </c>
      <c r="AC385" s="310" t="e">
        <f t="shared" ca="1" si="170"/>
        <v>#N/A</v>
      </c>
      <c r="AD385" s="323" t="e">
        <f t="shared" ca="1" si="171"/>
        <v>#N/A</v>
      </c>
      <c r="AE385" s="324">
        <f t="shared" ca="1" si="150"/>
        <v>458.77457931622422</v>
      </c>
      <c r="AG385" s="306">
        <f t="shared" ca="1" si="172"/>
        <v>-24.804294796204221</v>
      </c>
      <c r="AH385" s="304">
        <f t="shared" ca="1" si="173"/>
        <v>-15.275737524926697</v>
      </c>
    </row>
    <row r="386" spans="1:34" x14ac:dyDescent="0.2">
      <c r="A386" s="347">
        <f t="shared" ca="1" si="151"/>
        <v>0.01</v>
      </c>
      <c r="B386" s="304">
        <f t="shared" ca="1" si="152"/>
        <v>3.8199999999999625</v>
      </c>
      <c r="D386" s="306">
        <f t="shared" ca="1" si="153"/>
        <v>-3.6239391480092076</v>
      </c>
      <c r="E386" s="307">
        <f t="shared" ca="1" si="154"/>
        <v>-24.602879207049426</v>
      </c>
      <c r="F386" s="304">
        <f t="shared" ca="1" si="155"/>
        <v>24.868345345541965</v>
      </c>
      <c r="G386" s="306">
        <f t="shared" ca="1" si="156"/>
        <v>41.989136221550368</v>
      </c>
      <c r="H386" s="307">
        <f t="shared" ca="1" si="157"/>
        <v>171.30108601419076</v>
      </c>
      <c r="I386" s="304">
        <f t="shared" ca="1" si="158"/>
        <v>176.37219063750695</v>
      </c>
      <c r="J386" s="306">
        <f t="shared" ca="1" si="159"/>
        <v>103.50674482858361</v>
      </c>
      <c r="K386" s="307">
        <f t="shared" ca="1" si="160"/>
        <v>460.48882032032645</v>
      </c>
      <c r="L386" s="304">
        <f t="shared" ca="1" si="145"/>
        <v>471.97838919278433</v>
      </c>
      <c r="M386" s="306">
        <f t="shared" ca="1" si="161"/>
        <v>1.3304168764450586</v>
      </c>
      <c r="N386" s="304">
        <f t="shared" ca="1" si="162"/>
        <v>76.227272013279759</v>
      </c>
      <c r="P386" s="310">
        <f t="shared" ca="1" si="163"/>
        <v>23</v>
      </c>
      <c r="Q386" s="304">
        <f t="shared" ca="1" si="164"/>
        <v>0</v>
      </c>
      <c r="R386" s="306">
        <f t="shared" ca="1" si="165"/>
        <v>0</v>
      </c>
      <c r="S386" s="307">
        <f t="shared" ca="1" si="166"/>
        <v>7.8079999999999892</v>
      </c>
      <c r="T386" s="304">
        <f t="shared" ca="1" si="146"/>
        <v>76.5964799999999</v>
      </c>
      <c r="U386" s="311">
        <f t="shared" ca="1" si="147"/>
        <v>0</v>
      </c>
      <c r="V386" s="306">
        <f t="shared" ca="1" si="148"/>
        <v>1.1698596942285988</v>
      </c>
      <c r="W386" s="304">
        <f t="shared" ca="1" si="149"/>
        <v>118.56472586527795</v>
      </c>
      <c r="Y386" s="314" t="str">
        <f t="shared" ca="1" si="167"/>
        <v/>
      </c>
      <c r="Z386" s="315" t="str">
        <f t="shared" ca="1" si="168"/>
        <v/>
      </c>
      <c r="AA386" s="316" t="str">
        <f t="shared" ca="1" si="169"/>
        <v/>
      </c>
      <c r="AC386" s="310" t="e">
        <f t="shared" ca="1" si="170"/>
        <v>#N/A</v>
      </c>
      <c r="AD386" s="323" t="e">
        <f t="shared" ca="1" si="171"/>
        <v>#N/A</v>
      </c>
      <c r="AE386" s="324">
        <f t="shared" ca="1" si="150"/>
        <v>460.48882032032645</v>
      </c>
      <c r="AG386" s="306">
        <f t="shared" ca="1" si="172"/>
        <v>-24.758554678893198</v>
      </c>
      <c r="AH386" s="304">
        <f t="shared" ca="1" si="173"/>
        <v>-15.230305649685068</v>
      </c>
    </row>
    <row r="387" spans="1:34" x14ac:dyDescent="0.2">
      <c r="A387" s="347">
        <f t="shared" ca="1" si="151"/>
        <v>0.01</v>
      </c>
      <c r="B387" s="304">
        <f t="shared" ca="1" si="152"/>
        <v>3.8299999999999623</v>
      </c>
      <c r="D387" s="306">
        <f t="shared" ca="1" si="153"/>
        <v>-3.615118423210629</v>
      </c>
      <c r="E387" s="307">
        <f t="shared" ca="1" si="154"/>
        <v>-24.558427038326535</v>
      </c>
      <c r="F387" s="304">
        <f t="shared" ca="1" si="155"/>
        <v>24.823082399465314</v>
      </c>
      <c r="G387" s="306">
        <f t="shared" ca="1" si="156"/>
        <v>41.952985037318264</v>
      </c>
      <c r="H387" s="307">
        <f t="shared" ca="1" si="157"/>
        <v>171.0555017438075</v>
      </c>
      <c r="I387" s="304">
        <f t="shared" ca="1" si="158"/>
        <v>176.12506247086807</v>
      </c>
      <c r="J387" s="306">
        <f t="shared" ca="1" si="159"/>
        <v>103.92645543487795</v>
      </c>
      <c r="K387" s="307">
        <f t="shared" ca="1" si="160"/>
        <v>462.20060325911646</v>
      </c>
      <c r="L387" s="304">
        <f t="shared" ca="1" si="145"/>
        <v>473.74054691608239</v>
      </c>
      <c r="M387" s="306">
        <f t="shared" ca="1" si="161"/>
        <v>1.3302842730388453</v>
      </c>
      <c r="N387" s="304">
        <f t="shared" ca="1" si="162"/>
        <v>76.219674397754687</v>
      </c>
      <c r="P387" s="310">
        <f t="shared" ca="1" si="163"/>
        <v>23</v>
      </c>
      <c r="Q387" s="304">
        <f t="shared" ca="1" si="164"/>
        <v>0</v>
      </c>
      <c r="R387" s="306">
        <f t="shared" ca="1" si="165"/>
        <v>0</v>
      </c>
      <c r="S387" s="307">
        <f t="shared" ca="1" si="166"/>
        <v>7.8079999999999892</v>
      </c>
      <c r="T387" s="304">
        <f t="shared" ca="1" si="146"/>
        <v>76.5964799999999</v>
      </c>
      <c r="U387" s="311">
        <f t="shared" ca="1" si="147"/>
        <v>0</v>
      </c>
      <c r="V387" s="306">
        <f t="shared" ca="1" si="148"/>
        <v>1.1696593501871704</v>
      </c>
      <c r="W387" s="304">
        <f t="shared" ca="1" si="149"/>
        <v>118.21245105505326</v>
      </c>
      <c r="Y387" s="314" t="str">
        <f t="shared" ca="1" si="167"/>
        <v/>
      </c>
      <c r="Z387" s="315" t="str">
        <f t="shared" ca="1" si="168"/>
        <v/>
      </c>
      <c r="AA387" s="316" t="str">
        <f t="shared" ca="1" si="169"/>
        <v/>
      </c>
      <c r="AC387" s="310" t="e">
        <f t="shared" ca="1" si="170"/>
        <v>#N/A</v>
      </c>
      <c r="AD387" s="323" t="e">
        <f t="shared" ca="1" si="171"/>
        <v>#N/A</v>
      </c>
      <c r="AE387" s="324">
        <f t="shared" ca="1" si="150"/>
        <v>462.20060325911646</v>
      </c>
      <c r="AG387" s="306">
        <f t="shared" ca="1" si="172"/>
        <v>-24.712971510078422</v>
      </c>
      <c r="AH387" s="304">
        <f t="shared" ca="1" si="173"/>
        <v>-15.185031488893202</v>
      </c>
    </row>
    <row r="388" spans="1:34" x14ac:dyDescent="0.2">
      <c r="A388" s="347">
        <f t="shared" ca="1" si="151"/>
        <v>0.01</v>
      </c>
      <c r="B388" s="304">
        <f t="shared" ca="1" si="152"/>
        <v>3.8399999999999621</v>
      </c>
      <c r="D388" s="306">
        <f t="shared" ca="1" si="153"/>
        <v>-3.6063271760506344</v>
      </c>
      <c r="E388" s="307">
        <f t="shared" ca="1" si="154"/>
        <v>-24.514129014966088</v>
      </c>
      <c r="F388" s="304">
        <f t="shared" ca="1" si="155"/>
        <v>24.77797645214644</v>
      </c>
      <c r="G388" s="306">
        <f t="shared" ca="1" si="156"/>
        <v>41.91692176555776</v>
      </c>
      <c r="H388" s="307">
        <f t="shared" ca="1" si="157"/>
        <v>170.81036045365784</v>
      </c>
      <c r="I388" s="304">
        <f t="shared" ca="1" si="158"/>
        <v>175.87838857747249</v>
      </c>
      <c r="J388" s="306">
        <f t="shared" ca="1" si="159"/>
        <v>104.34580496889234</v>
      </c>
      <c r="K388" s="307">
        <f t="shared" ca="1" si="160"/>
        <v>463.90993257010376</v>
      </c>
      <c r="L388" s="304">
        <f t="shared" ref="L388:L451" ca="1" si="174">SQRT(pos_x^2+pos_z^2)</f>
        <v>475.50023401866412</v>
      </c>
      <c r="M388" s="306">
        <f t="shared" ca="1" si="161"/>
        <v>1.3301514118183162</v>
      </c>
      <c r="N388" s="304">
        <f t="shared" ca="1" si="162"/>
        <v>76.212062010557403</v>
      </c>
      <c r="P388" s="310">
        <f t="shared" ca="1" si="163"/>
        <v>23</v>
      </c>
      <c r="Q388" s="304">
        <f t="shared" ca="1" si="164"/>
        <v>0</v>
      </c>
      <c r="R388" s="306">
        <f t="shared" ca="1" si="165"/>
        <v>0</v>
      </c>
      <c r="S388" s="307">
        <f t="shared" ca="1" si="166"/>
        <v>7.8079999999999892</v>
      </c>
      <c r="T388" s="304">
        <f t="shared" ref="T388:T451" ca="1" si="175">m*g</f>
        <v>76.5964799999999</v>
      </c>
      <c r="U388" s="311">
        <f t="shared" ref="U388:U451" ca="1" si="176">IF(pos_xz&lt;L_rampe,Poids*COS(Beta),0)</f>
        <v>0</v>
      </c>
      <c r="V388" s="306">
        <f t="shared" ref="V388:V451" ca="1" si="177">Rho_moyen*(20000-Alt_rampe-pos_z)/(20000+Alt_rampe+pos_z)</f>
        <v>1.1694593267590674</v>
      </c>
      <c r="W388" s="304">
        <f t="shared" ref="W388:W451" ca="1" si="178">1/2*Rho*Sref*Cx*vit_xz^2</f>
        <v>117.86139651711329</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463.90993257010376</v>
      </c>
      <c r="AG388" s="306">
        <f t="shared" ca="1" si="172"/>
        <v>-24.667544570737022</v>
      </c>
      <c r="AH388" s="304">
        <f t="shared" ca="1" si="173"/>
        <v>-15.139914325698442</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-3.597565271242479</v>
      </c>
      <c r="E389" s="307">
        <f t="shared" ref="E389:E452" ca="1" si="183">IF(AND(L388&lt;L_rampe,Poussee&lt;Poids*SIN(M388)),0,(-W388+Poussee)/m*SIN(M388)+U388/m*COS(M388)-Poids/m)</f>
        <v>-24.469984437154256</v>
      </c>
      <c r="F389" s="304">
        <f t="shared" ref="F389:F452" ca="1" si="184">SQRT(acc_x^2+acc_z^2)</f>
        <v>24.733026790820034</v>
      </c>
      <c r="G389" s="306">
        <f t="shared" ref="G389:G452" ca="1" si="185">G388+acc_x*pas</f>
        <v>41.880946112845336</v>
      </c>
      <c r="H389" s="307">
        <f t="shared" ref="H389:H452" ca="1" si="186">H388+acc_z*pas</f>
        <v>170.56566060928628</v>
      </c>
      <c r="I389" s="304">
        <f t="shared" ref="I389:I452" ca="1" si="187">SQRT(vit_x^2+vit_z^2)</f>
        <v>175.63216740218544</v>
      </c>
      <c r="J389" s="306">
        <f t="shared" ref="J389:J452" ca="1" si="188">J388+0.5*(vit_x+G388)*pas*(K388&gt;=0)</f>
        <v>104.76479430828435</v>
      </c>
      <c r="K389" s="307">
        <f t="shared" ref="K389:K452" ca="1" si="189">K388+0.5*(vit_z+H388)*pas</f>
        <v>465.61681267541849</v>
      </c>
      <c r="L389" s="304">
        <f t="shared" ca="1" si="174"/>
        <v>477.25745502032009</v>
      </c>
      <c r="M389" s="306">
        <f t="shared" ref="M389:M452" ca="1" si="190">IF(AND(L388&gt;L_rampe,G389&gt;0),ATAN2(G389,H389),$M$4)</f>
        <v>1.3300182922648951</v>
      </c>
      <c r="N389" s="304">
        <f t="shared" ref="N389:N452" ca="1" si="191">DEGREES(Beta)</f>
        <v>76.20443482197571</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7.8079999999999892</v>
      </c>
      <c r="T389" s="304">
        <f t="shared" ca="1" si="175"/>
        <v>76.5964799999999</v>
      </c>
      <c r="U389" s="311">
        <f t="shared" ca="1" si="176"/>
        <v>0</v>
      </c>
      <c r="V389" s="306">
        <f t="shared" ca="1" si="177"/>
        <v>1.1692596232746699</v>
      </c>
      <c r="W389" s="304">
        <f t="shared" ca="1" si="178"/>
        <v>117.51155671851343</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465.61681267541849</v>
      </c>
      <c r="AG389" s="306">
        <f t="shared" ref="AG389:AG452" ca="1" si="201">IF(AND(L388&lt;L_rampe,Poussee&lt;Poids*SIN(M388)),0,(-W388+Poussee)/m-Poids*SIN(M388)/m)</f>
        <v>-24.622273145966002</v>
      </c>
      <c r="AH389" s="304">
        <f t="shared" ref="AH389:AH452" ca="1" si="202">IF(AND(L388&lt;L_rampe,Poussee&lt;Poids*SIN(M388)), g*SIN(M388), (-W388+Poussee)/m)</f>
        <v>-15.094953447376211</v>
      </c>
    </row>
    <row r="390" spans="1:34" x14ac:dyDescent="0.2">
      <c r="A390" s="347">
        <f t="shared" ca="1" si="180"/>
        <v>0.01</v>
      </c>
      <c r="B390" s="304">
        <f t="shared" ca="1" si="181"/>
        <v>3.8599999999999617</v>
      </c>
      <c r="D390" s="306">
        <f t="shared" ca="1" si="182"/>
        <v>-3.5888325742762834</v>
      </c>
      <c r="E390" s="307">
        <f t="shared" ca="1" si="183"/>
        <v>-24.425992609102323</v>
      </c>
      <c r="F390" s="304">
        <f t="shared" ca="1" si="184"/>
        <v>24.688232706820223</v>
      </c>
      <c r="G390" s="306">
        <f t="shared" ca="1" si="185"/>
        <v>41.845057787102576</v>
      </c>
      <c r="H390" s="307">
        <f t="shared" ca="1" si="186"/>
        <v>170.32140068319526</v>
      </c>
      <c r="I390" s="304">
        <f t="shared" ca="1" si="187"/>
        <v>175.38639739698033</v>
      </c>
      <c r="J390" s="306">
        <f t="shared" ca="1" si="188"/>
        <v>105.1834243277841</v>
      </c>
      <c r="K390" s="307">
        <f t="shared" ca="1" si="189"/>
        <v>467.3212479818809</v>
      </c>
      <c r="L390" s="304">
        <f t="shared" ca="1" si="174"/>
        <v>479.01221442533313</v>
      </c>
      <c r="M390" s="306">
        <f t="shared" ca="1" si="190"/>
        <v>1.3298849138583784</v>
      </c>
      <c r="N390" s="304">
        <f t="shared" ca="1" si="191"/>
        <v>76.196792802204129</v>
      </c>
      <c r="P390" s="310">
        <f t="shared" ca="1" si="192"/>
        <v>23</v>
      </c>
      <c r="Q390" s="304">
        <f t="shared" ca="1" si="193"/>
        <v>0</v>
      </c>
      <c r="R390" s="306">
        <f t="shared" ca="1" si="194"/>
        <v>0</v>
      </c>
      <c r="S390" s="307">
        <f t="shared" ca="1" si="195"/>
        <v>7.8079999999999892</v>
      </c>
      <c r="T390" s="304">
        <f t="shared" ca="1" si="175"/>
        <v>76.5964799999999</v>
      </c>
      <c r="U390" s="311">
        <f t="shared" ca="1" si="176"/>
        <v>0</v>
      </c>
      <c r="V390" s="306">
        <f t="shared" ca="1" si="177"/>
        <v>1.1690602390667759</v>
      </c>
      <c r="W390" s="304">
        <f t="shared" ca="1" si="178"/>
        <v>117.16292615809679</v>
      </c>
      <c r="Y390" s="314" t="str">
        <f t="shared" ca="1" si="196"/>
        <v/>
      </c>
      <c r="Z390" s="315" t="str">
        <f t="shared" ca="1" si="197"/>
        <v/>
      </c>
      <c r="AA390" s="316" t="str">
        <f t="shared" ca="1" si="198"/>
        <v/>
      </c>
      <c r="AC390" s="310" t="e">
        <f t="shared" ca="1" si="199"/>
        <v>#N/A</v>
      </c>
      <c r="AD390" s="323" t="e">
        <f t="shared" ca="1" si="200"/>
        <v>#N/A</v>
      </c>
      <c r="AE390" s="324">
        <f t="shared" ca="1" si="179"/>
        <v>467.3212479818809</v>
      </c>
      <c r="AG390" s="306">
        <f t="shared" ca="1" si="201"/>
        <v>-24.577156524953633</v>
      </c>
      <c r="AH390" s="304">
        <f t="shared" ca="1" si="202"/>
        <v>-15.050148145301433</v>
      </c>
    </row>
    <row r="391" spans="1:34" x14ac:dyDescent="0.2">
      <c r="A391" s="347">
        <f t="shared" ca="1" si="180"/>
        <v>0.01</v>
      </c>
      <c r="B391" s="304">
        <f t="shared" ca="1" si="181"/>
        <v>3.8699999999999615</v>
      </c>
      <c r="D391" s="306">
        <f t="shared" ca="1" si="182"/>
        <v>-3.5801289514136649</v>
      </c>
      <c r="E391" s="307">
        <f t="shared" ca="1" si="183"/>
        <v>-24.38215283901885</v>
      </c>
      <c r="F391" s="304">
        <f t="shared" ca="1" si="184"/>
        <v>24.643593495552253</v>
      </c>
      <c r="G391" s="306">
        <f t="shared" ca="1" si="185"/>
        <v>41.809256497588436</v>
      </c>
      <c r="H391" s="307">
        <f t="shared" ca="1" si="186"/>
        <v>170.07757915480508</v>
      </c>
      <c r="I391" s="304">
        <f t="shared" ca="1" si="187"/>
        <v>175.141077020898</v>
      </c>
      <c r="J391" s="306">
        <f t="shared" ca="1" si="188"/>
        <v>105.60169589920756</v>
      </c>
      <c r="K391" s="307">
        <f t="shared" ca="1" si="189"/>
        <v>469.02324288107093</v>
      </c>
      <c r="L391" s="304">
        <f t="shared" ca="1" si="174"/>
        <v>480.76451672254763</v>
      </c>
      <c r="M391" s="306">
        <f t="shared" ca="1" si="190"/>
        <v>1.3297512760769292</v>
      </c>
      <c r="N391" s="304">
        <f t="shared" ca="1" si="191"/>
        <v>76.189135921343592</v>
      </c>
      <c r="P391" s="310">
        <f t="shared" ca="1" si="192"/>
        <v>23</v>
      </c>
      <c r="Q391" s="304">
        <f t="shared" ca="1" si="193"/>
        <v>0</v>
      </c>
      <c r="R391" s="306">
        <f t="shared" ca="1" si="194"/>
        <v>0</v>
      </c>
      <c r="S391" s="307">
        <f t="shared" ca="1" si="195"/>
        <v>7.8079999999999892</v>
      </c>
      <c r="T391" s="304">
        <f t="shared" ca="1" si="175"/>
        <v>76.5964799999999</v>
      </c>
      <c r="U391" s="311">
        <f t="shared" ca="1" si="176"/>
        <v>0</v>
      </c>
      <c r="V391" s="306">
        <f t="shared" ca="1" si="177"/>
        <v>1.1688611734705869</v>
      </c>
      <c r="W391" s="304">
        <f t="shared" ca="1" si="178"/>
        <v>116.81549936627449</v>
      </c>
      <c r="Y391" s="314" t="str">
        <f t="shared" ca="1" si="196"/>
        <v/>
      </c>
      <c r="Z391" s="315" t="str">
        <f t="shared" ca="1" si="197"/>
        <v/>
      </c>
      <c r="AA391" s="316" t="str">
        <f t="shared" ca="1" si="198"/>
        <v/>
      </c>
      <c r="AC391" s="310" t="e">
        <f t="shared" ca="1" si="199"/>
        <v>#N/A</v>
      </c>
      <c r="AD391" s="323" t="e">
        <f t="shared" ca="1" si="200"/>
        <v>#N/A</v>
      </c>
      <c r="AE391" s="324">
        <f t="shared" ca="1" si="179"/>
        <v>469.02324288107093</v>
      </c>
      <c r="AG391" s="306">
        <f t="shared" ca="1" si="201"/>
        <v>-24.532194000951073</v>
      </c>
      <c r="AH391" s="304">
        <f t="shared" ca="1" si="202"/>
        <v>-15.005497714920205</v>
      </c>
    </row>
    <row r="392" spans="1:34" x14ac:dyDescent="0.2">
      <c r="A392" s="347">
        <f t="shared" ca="1" si="180"/>
        <v>0.01</v>
      </c>
      <c r="B392" s="304">
        <f t="shared" ca="1" si="181"/>
        <v>3.8799999999999613</v>
      </c>
      <c r="D392" s="306">
        <f t="shared" ca="1" si="182"/>
        <v>-3.5714542696824028</v>
      </c>
      <c r="E392" s="307">
        <f t="shared" ca="1" si="183"/>
        <v>-24.338464439082088</v>
      </c>
      <c r="F392" s="304">
        <f t="shared" ca="1" si="184"/>
        <v>24.599108456464354</v>
      </c>
      <c r="G392" s="306">
        <f t="shared" ca="1" si="185"/>
        <v>41.773541954891613</v>
      </c>
      <c r="H392" s="307">
        <f t="shared" ca="1" si="186"/>
        <v>169.83419451041425</v>
      </c>
      <c r="I392" s="304">
        <f t="shared" ca="1" si="187"/>
        <v>174.8962047400066</v>
      </c>
      <c r="J392" s="306">
        <f t="shared" ca="1" si="188"/>
        <v>106.01960989146995</v>
      </c>
      <c r="K392" s="307">
        <f t="shared" ca="1" si="189"/>
        <v>470.72280174939704</v>
      </c>
      <c r="L392" s="304">
        <f t="shared" ca="1" si="174"/>
        <v>482.51436638543896</v>
      </c>
      <c r="M392" s="306">
        <f t="shared" ca="1" si="190"/>
        <v>1.3296173783970722</v>
      </c>
      <c r="N392" s="304">
        <f t="shared" ca="1" si="191"/>
        <v>76.181464149401194</v>
      </c>
      <c r="P392" s="310">
        <f t="shared" ca="1" si="192"/>
        <v>23</v>
      </c>
      <c r="Q392" s="304">
        <f t="shared" ca="1" si="193"/>
        <v>0</v>
      </c>
      <c r="R392" s="306">
        <f t="shared" ca="1" si="194"/>
        <v>0</v>
      </c>
      <c r="S392" s="307">
        <f t="shared" ca="1" si="195"/>
        <v>7.8079999999999892</v>
      </c>
      <c r="T392" s="304">
        <f t="shared" ca="1" si="175"/>
        <v>76.5964799999999</v>
      </c>
      <c r="U392" s="311">
        <f t="shared" ca="1" si="176"/>
        <v>0</v>
      </c>
      <c r="V392" s="306">
        <f t="shared" ca="1" si="177"/>
        <v>1.1686624258237004</v>
      </c>
      <c r="W392" s="304">
        <f t="shared" ca="1" si="178"/>
        <v>116.46927090480847</v>
      </c>
      <c r="Y392" s="314" t="str">
        <f t="shared" ca="1" si="196"/>
        <v/>
      </c>
      <c r="Z392" s="315" t="str">
        <f t="shared" ca="1" si="197"/>
        <v/>
      </c>
      <c r="AA392" s="316" t="str">
        <f t="shared" ca="1" si="198"/>
        <v/>
      </c>
      <c r="AC392" s="310" t="e">
        <f t="shared" ca="1" si="199"/>
        <v>#N/A</v>
      </c>
      <c r="AD392" s="323" t="e">
        <f t="shared" ca="1" si="200"/>
        <v>#N/A</v>
      </c>
      <c r="AE392" s="324">
        <f t="shared" ca="1" si="179"/>
        <v>470.72280174939704</v>
      </c>
      <c r="AG392" s="306">
        <f t="shared" ca="1" si="201"/>
        <v>-24.487384871244188</v>
      </c>
      <c r="AH392" s="304">
        <f t="shared" ca="1" si="202"/>
        <v>-14.961001455721652</v>
      </c>
    </row>
    <row r="393" spans="1:34" x14ac:dyDescent="0.2">
      <c r="A393" s="347">
        <f t="shared" ca="1" si="180"/>
        <v>0.01</v>
      </c>
      <c r="B393" s="304">
        <f t="shared" ca="1" si="181"/>
        <v>3.889999999999961</v>
      </c>
      <c r="D393" s="306">
        <f t="shared" ca="1" si="182"/>
        <v>-3.5628083968711635</v>
      </c>
      <c r="E393" s="307">
        <f t="shared" ca="1" si="183"/>
        <v>-24.294926725412608</v>
      </c>
      <c r="F393" s="304">
        <f t="shared" ca="1" si="184"/>
        <v>24.554776893019888</v>
      </c>
      <c r="G393" s="306">
        <f t="shared" ca="1" si="185"/>
        <v>41.737913870922903</v>
      </c>
      <c r="H393" s="307">
        <f t="shared" ca="1" si="186"/>
        <v>169.59124524316013</v>
      </c>
      <c r="I393" s="304">
        <f t="shared" ca="1" si="187"/>
        <v>174.65177902736136</v>
      </c>
      <c r="J393" s="306">
        <f t="shared" ca="1" si="188"/>
        <v>106.43716717059903</v>
      </c>
      <c r="K393" s="307">
        <f t="shared" ca="1" si="189"/>
        <v>472.41992894816491</v>
      </c>
      <c r="L393" s="304">
        <f t="shared" ca="1" si="174"/>
        <v>484.26176787218213</v>
      </c>
      <c r="M393" s="306">
        <f t="shared" ca="1" si="190"/>
        <v>1.3294832202936866</v>
      </c>
      <c r="N393" s="304">
        <f t="shared" ca="1" si="191"/>
        <v>76.173777456289727</v>
      </c>
      <c r="P393" s="310">
        <f t="shared" ca="1" si="192"/>
        <v>23</v>
      </c>
      <c r="Q393" s="304">
        <f t="shared" ca="1" si="193"/>
        <v>0</v>
      </c>
      <c r="R393" s="306">
        <f t="shared" ca="1" si="194"/>
        <v>0</v>
      </c>
      <c r="S393" s="307">
        <f t="shared" ca="1" si="195"/>
        <v>7.8079999999999892</v>
      </c>
      <c r="T393" s="304">
        <f t="shared" ca="1" si="175"/>
        <v>76.5964799999999</v>
      </c>
      <c r="U393" s="311">
        <f t="shared" ca="1" si="176"/>
        <v>0</v>
      </c>
      <c r="V393" s="306">
        <f t="shared" ca="1" si="177"/>
        <v>1.1684639954660958</v>
      </c>
      <c r="W393" s="304">
        <f t="shared" ca="1" si="178"/>
        <v>116.12423536659499</v>
      </c>
      <c r="Y393" s="314" t="str">
        <f t="shared" ca="1" si="196"/>
        <v/>
      </c>
      <c r="Z393" s="315" t="str">
        <f t="shared" ca="1" si="197"/>
        <v/>
      </c>
      <c r="AA393" s="316" t="str">
        <f t="shared" ca="1" si="198"/>
        <v/>
      </c>
      <c r="AC393" s="310" t="e">
        <f t="shared" ca="1" si="199"/>
        <v>#N/A</v>
      </c>
      <c r="AD393" s="323" t="e">
        <f t="shared" ca="1" si="200"/>
        <v>#N/A</v>
      </c>
      <c r="AE393" s="324">
        <f t="shared" ca="1" si="179"/>
        <v>472.41992894816491</v>
      </c>
      <c r="AG393" s="306">
        <f t="shared" ca="1" si="201"/>
        <v>-24.442728437125737</v>
      </c>
      <c r="AH393" s="304">
        <f t="shared" ca="1" si="202"/>
        <v>-14.916658671210122</v>
      </c>
    </row>
    <row r="394" spans="1:34" x14ac:dyDescent="0.2">
      <c r="A394" s="347">
        <f t="shared" ca="1" si="180"/>
        <v>0.01</v>
      </c>
      <c r="B394" s="304">
        <f t="shared" ca="1" si="181"/>
        <v>3.8999999999999608</v>
      </c>
      <c r="D394" s="306">
        <f t="shared" ca="1" si="182"/>
        <v>-3.5541912015242576</v>
      </c>
      <c r="E394" s="307">
        <f t="shared" ca="1" si="183"/>
        <v>-24.251539018046138</v>
      </c>
      <c r="F394" s="304">
        <f t="shared" ca="1" si="184"/>
        <v>24.510598112669683</v>
      </c>
      <c r="G394" s="306">
        <f t="shared" ca="1" si="185"/>
        <v>41.702371958907662</v>
      </c>
      <c r="H394" s="307">
        <f t="shared" ca="1" si="186"/>
        <v>169.34872985297966</v>
      </c>
      <c r="I394" s="304">
        <f t="shared" ca="1" si="187"/>
        <v>174.40779836296477</v>
      </c>
      <c r="J394" s="306">
        <f t="shared" ca="1" si="188"/>
        <v>106.85436859974818</v>
      </c>
      <c r="K394" s="307">
        <f t="shared" ca="1" si="189"/>
        <v>474.1146288236456</v>
      </c>
      <c r="L394" s="304">
        <f t="shared" ca="1" si="174"/>
        <v>486.00672562572021</v>
      </c>
      <c r="M394" s="306">
        <f t="shared" ca="1" si="190"/>
        <v>1.3293488012400021</v>
      </c>
      <c r="N394" s="304">
        <f t="shared" ca="1" si="191"/>
        <v>76.166075811827454</v>
      </c>
      <c r="P394" s="310">
        <f t="shared" ca="1" si="192"/>
        <v>23</v>
      </c>
      <c r="Q394" s="304">
        <f t="shared" ca="1" si="193"/>
        <v>0</v>
      </c>
      <c r="R394" s="306">
        <f t="shared" ca="1" si="194"/>
        <v>0</v>
      </c>
      <c r="S394" s="307">
        <f t="shared" ca="1" si="195"/>
        <v>7.8079999999999892</v>
      </c>
      <c r="T394" s="304">
        <f t="shared" ca="1" si="175"/>
        <v>76.5964799999999</v>
      </c>
      <c r="U394" s="311">
        <f t="shared" ca="1" si="176"/>
        <v>0</v>
      </c>
      <c r="V394" s="306">
        <f t="shared" ca="1" si="177"/>
        <v>1.1682658817401244</v>
      </c>
      <c r="W394" s="304">
        <f t="shared" ca="1" si="178"/>
        <v>115.78038737545069</v>
      </c>
      <c r="Y394" s="314" t="str">
        <f t="shared" ca="1" si="196"/>
        <v/>
      </c>
      <c r="Z394" s="315" t="str">
        <f t="shared" ca="1" si="197"/>
        <v/>
      </c>
      <c r="AA394" s="316" t="str">
        <f t="shared" ca="1" si="198"/>
        <v/>
      </c>
      <c r="AC394" s="310" t="e">
        <f t="shared" ca="1" si="199"/>
        <v>#N/A</v>
      </c>
      <c r="AD394" s="323" t="e">
        <f t="shared" ca="1" si="200"/>
        <v>#N/A</v>
      </c>
      <c r="AE394" s="324">
        <f t="shared" ca="1" si="179"/>
        <v>474.1146288236456</v>
      </c>
      <c r="AG394" s="306">
        <f t="shared" ca="1" si="201"/>
        <v>-24.398224003867561</v>
      </c>
      <c r="AH394" s="304">
        <f t="shared" ca="1" si="202"/>
        <v>-14.872468668877453</v>
      </c>
    </row>
    <row r="395" spans="1:34" x14ac:dyDescent="0.2">
      <c r="A395" s="347">
        <f t="shared" ca="1" si="180"/>
        <v>0.01</v>
      </c>
      <c r="B395" s="304">
        <f t="shared" ca="1" si="181"/>
        <v>3.9099999999999606</v>
      </c>
      <c r="D395" s="306">
        <f t="shared" ca="1" si="182"/>
        <v>-3.5456025529364266</v>
      </c>
      <c r="E395" s="307">
        <f t="shared" ca="1" si="183"/>
        <v>-24.208300640906611</v>
      </c>
      <c r="F395" s="304">
        <f t="shared" ca="1" si="184"/>
        <v>24.466571426824576</v>
      </c>
      <c r="G395" s="306">
        <f t="shared" ca="1" si="185"/>
        <v>41.666915933378299</v>
      </c>
      <c r="H395" s="307">
        <f t="shared" ca="1" si="186"/>
        <v>169.10664684657058</v>
      </c>
      <c r="I395" s="304">
        <f t="shared" ca="1" si="187"/>
        <v>174.16426123372716</v>
      </c>
      <c r="J395" s="306">
        <f t="shared" ca="1" si="188"/>
        <v>107.27121503920961</v>
      </c>
      <c r="K395" s="307">
        <f t="shared" ca="1" si="189"/>
        <v>475.80690570714336</v>
      </c>
      <c r="L395" s="304">
        <f t="shared" ca="1" si="174"/>
        <v>487.74924407383224</v>
      </c>
      <c r="M395" s="306">
        <f t="shared" ca="1" si="190"/>
        <v>1.3292141207075916</v>
      </c>
      <c r="N395" s="304">
        <f t="shared" ca="1" si="191"/>
        <v>76.158359185737766</v>
      </c>
      <c r="P395" s="310">
        <f t="shared" ca="1" si="192"/>
        <v>23</v>
      </c>
      <c r="Q395" s="304">
        <f t="shared" ca="1" si="193"/>
        <v>0</v>
      </c>
      <c r="R395" s="306">
        <f t="shared" ca="1" si="194"/>
        <v>0</v>
      </c>
      <c r="S395" s="307">
        <f t="shared" ca="1" si="195"/>
        <v>7.8079999999999892</v>
      </c>
      <c r="T395" s="304">
        <f t="shared" ca="1" si="175"/>
        <v>76.5964799999999</v>
      </c>
      <c r="U395" s="311">
        <f t="shared" ca="1" si="176"/>
        <v>0</v>
      </c>
      <c r="V395" s="306">
        <f t="shared" ca="1" si="177"/>
        <v>1.1680680839904978</v>
      </c>
      <c r="W395" s="304">
        <f t="shared" ca="1" si="178"/>
        <v>115.43772158590005</v>
      </c>
      <c r="Y395" s="314" t="str">
        <f t="shared" ca="1" si="196"/>
        <v/>
      </c>
      <c r="Z395" s="315" t="str">
        <f t="shared" ca="1" si="197"/>
        <v/>
      </c>
      <c r="AA395" s="316" t="str">
        <f t="shared" ca="1" si="198"/>
        <v/>
      </c>
      <c r="AC395" s="310" t="e">
        <f t="shared" ca="1" si="199"/>
        <v>#N/A</v>
      </c>
      <c r="AD395" s="323" t="e">
        <f t="shared" ca="1" si="200"/>
        <v>#N/A</v>
      </c>
      <c r="AE395" s="324">
        <f t="shared" ca="1" si="179"/>
        <v>475.80690570714336</v>
      </c>
      <c r="AG395" s="306">
        <f t="shared" ca="1" si="201"/>
        <v>-24.353870880693183</v>
      </c>
      <c r="AH395" s="304">
        <f t="shared" ca="1" si="202"/>
        <v>-14.82843076017557</v>
      </c>
    </row>
    <row r="396" spans="1:34" x14ac:dyDescent="0.2">
      <c r="A396" s="347">
        <f t="shared" ca="1" si="180"/>
        <v>0.01</v>
      </c>
      <c r="B396" s="304">
        <f t="shared" ca="1" si="181"/>
        <v>3.9199999999999604</v>
      </c>
      <c r="D396" s="306">
        <f t="shared" ca="1" si="182"/>
        <v>-3.5370423211477031</v>
      </c>
      <c r="E396" s="307">
        <f t="shared" ca="1" si="183"/>
        <v>-24.165210921779458</v>
      </c>
      <c r="F396" s="304">
        <f t="shared" ca="1" si="184"/>
        <v>24.422696150828209</v>
      </c>
      <c r="G396" s="306">
        <f t="shared" ca="1" si="185"/>
        <v>41.631545510166823</v>
      </c>
      <c r="H396" s="307">
        <f t="shared" ca="1" si="186"/>
        <v>168.86499473735279</v>
      </c>
      <c r="I396" s="304">
        <f t="shared" ca="1" si="187"/>
        <v>173.92116613342748</v>
      </c>
      <c r="J396" s="306">
        <f t="shared" ca="1" si="188"/>
        <v>107.68770734642733</v>
      </c>
      <c r="K396" s="307">
        <f t="shared" ca="1" si="189"/>
        <v>477.49676391506296</v>
      </c>
      <c r="L396" s="304">
        <f t="shared" ca="1" si="174"/>
        <v>489.48932762920083</v>
      </c>
      <c r="M396" s="306">
        <f t="shared" ca="1" si="190"/>
        <v>1.3290791781663669</v>
      </c>
      <c r="N396" s="304">
        <f t="shared" ca="1" si="191"/>
        <v>76.15062754764881</v>
      </c>
      <c r="P396" s="310">
        <f t="shared" ca="1" si="192"/>
        <v>23</v>
      </c>
      <c r="Q396" s="304">
        <f t="shared" ca="1" si="193"/>
        <v>0</v>
      </c>
      <c r="R396" s="306">
        <f t="shared" ca="1" si="194"/>
        <v>0</v>
      </c>
      <c r="S396" s="307">
        <f t="shared" ca="1" si="195"/>
        <v>7.8079999999999892</v>
      </c>
      <c r="T396" s="304">
        <f t="shared" ca="1" si="175"/>
        <v>76.5964799999999</v>
      </c>
      <c r="U396" s="311">
        <f t="shared" ca="1" si="176"/>
        <v>0</v>
      </c>
      <c r="V396" s="306">
        <f t="shared" ca="1" si="177"/>
        <v>1.1678706015642784</v>
      </c>
      <c r="W396" s="304">
        <f t="shared" ca="1" si="178"/>
        <v>115.09623268296477</v>
      </c>
      <c r="Y396" s="314" t="str">
        <f t="shared" ca="1" si="196"/>
        <v/>
      </c>
      <c r="Z396" s="315" t="str">
        <f t="shared" ca="1" si="197"/>
        <v/>
      </c>
      <c r="AA396" s="316" t="str">
        <f t="shared" ca="1" si="198"/>
        <v/>
      </c>
      <c r="AC396" s="310" t="e">
        <f t="shared" ca="1" si="199"/>
        <v>#N/A</v>
      </c>
      <c r="AD396" s="323" t="e">
        <f t="shared" ca="1" si="200"/>
        <v>#N/A</v>
      </c>
      <c r="AE396" s="324">
        <f t="shared" ca="1" si="179"/>
        <v>477.49676391506296</v>
      </c>
      <c r="AG396" s="306">
        <f t="shared" ca="1" si="201"/>
        <v>-24.309668380750526</v>
      </c>
      <c r="AH396" s="304">
        <f t="shared" ca="1" si="202"/>
        <v>-14.784544260489268</v>
      </c>
    </row>
    <row r="397" spans="1:34" x14ac:dyDescent="0.2">
      <c r="A397" s="347">
        <f t="shared" ca="1" si="180"/>
        <v>0.01</v>
      </c>
      <c r="B397" s="304">
        <f t="shared" ca="1" si="181"/>
        <v>3.9299999999999602</v>
      </c>
      <c r="D397" s="306">
        <f t="shared" ca="1" si="182"/>
        <v>-3.5285103769382764</v>
      </c>
      <c r="E397" s="307">
        <f t="shared" ca="1" si="183"/>
        <v>-24.122269192285124</v>
      </c>
      <c r="F397" s="304">
        <f t="shared" ca="1" si="184"/>
        <v>24.378971603930079</v>
      </c>
      <c r="G397" s="306">
        <f t="shared" ca="1" si="185"/>
        <v>41.596260406397441</v>
      </c>
      <c r="H397" s="307">
        <f t="shared" ca="1" si="186"/>
        <v>168.62377204542994</v>
      </c>
      <c r="I397" s="304">
        <f t="shared" ca="1" si="187"/>
        <v>173.67851156267417</v>
      </c>
      <c r="J397" s="306">
        <f t="shared" ca="1" si="188"/>
        <v>108.10384637601015</v>
      </c>
      <c r="K397" s="307">
        <f t="shared" ca="1" si="189"/>
        <v>479.18420774897686</v>
      </c>
      <c r="L397" s="304">
        <f t="shared" ca="1" si="174"/>
        <v>491.22698068947989</v>
      </c>
      <c r="M397" s="306">
        <f t="shared" ca="1" si="190"/>
        <v>1.3289439730845714</v>
      </c>
      <c r="N397" s="304">
        <f t="shared" ca="1" si="191"/>
        <v>76.142880867093211</v>
      </c>
      <c r="P397" s="310">
        <f t="shared" ca="1" si="192"/>
        <v>23</v>
      </c>
      <c r="Q397" s="304">
        <f t="shared" ca="1" si="193"/>
        <v>0</v>
      </c>
      <c r="R397" s="306">
        <f t="shared" ca="1" si="194"/>
        <v>0</v>
      </c>
      <c r="S397" s="307">
        <f t="shared" ca="1" si="195"/>
        <v>7.8079999999999892</v>
      </c>
      <c r="T397" s="304">
        <f t="shared" ca="1" si="175"/>
        <v>76.5964799999999</v>
      </c>
      <c r="U397" s="311">
        <f t="shared" ca="1" si="176"/>
        <v>0</v>
      </c>
      <c r="V397" s="306">
        <f t="shared" ca="1" si="177"/>
        <v>1.1676734338108656</v>
      </c>
      <c r="W397" s="304">
        <f t="shared" ca="1" si="178"/>
        <v>114.75591538195437</v>
      </c>
      <c r="Y397" s="314" t="str">
        <f t="shared" ca="1" si="196"/>
        <v/>
      </c>
      <c r="Z397" s="315" t="str">
        <f t="shared" ca="1" si="197"/>
        <v/>
      </c>
      <c r="AA397" s="316" t="str">
        <f t="shared" ca="1" si="198"/>
        <v/>
      </c>
      <c r="AC397" s="310" t="e">
        <f t="shared" ca="1" si="199"/>
        <v>#N/A</v>
      </c>
      <c r="AD397" s="323" t="e">
        <f t="shared" ca="1" si="200"/>
        <v>#N/A</v>
      </c>
      <c r="AE397" s="324">
        <f t="shared" ca="1" si="179"/>
        <v>479.18420774897686</v>
      </c>
      <c r="AG397" s="306">
        <f t="shared" ca="1" si="201"/>
        <v>-24.265615821084921</v>
      </c>
      <c r="AH397" s="304">
        <f t="shared" ca="1" si="202"/>
        <v>-14.740808489109238</v>
      </c>
    </row>
    <row r="398" spans="1:34" x14ac:dyDescent="0.2">
      <c r="A398" s="347">
        <f t="shared" ca="1" si="180"/>
        <v>0.01</v>
      </c>
      <c r="B398" s="304">
        <f t="shared" ca="1" si="181"/>
        <v>3.93999999999996</v>
      </c>
      <c r="D398" s="306">
        <f t="shared" ca="1" si="182"/>
        <v>-3.5200065918234307</v>
      </c>
      <c r="E398" s="307">
        <f t="shared" ca="1" si="183"/>
        <v>-24.079474787852725</v>
      </c>
      <c r="F398" s="304">
        <f t="shared" ca="1" si="184"/>
        <v>24.335397109258672</v>
      </c>
      <c r="G398" s="306">
        <f t="shared" ca="1" si="185"/>
        <v>41.561060340479209</v>
      </c>
      <c r="H398" s="307">
        <f t="shared" ca="1" si="186"/>
        <v>168.38297729755141</v>
      </c>
      <c r="I398" s="304">
        <f t="shared" ca="1" si="187"/>
        <v>173.43629602886665</v>
      </c>
      <c r="J398" s="306">
        <f t="shared" ca="1" si="188"/>
        <v>108.51963297974454</v>
      </c>
      <c r="K398" s="307">
        <f t="shared" ca="1" si="189"/>
        <v>480.86924149569177</v>
      </c>
      <c r="L398" s="304">
        <f t="shared" ca="1" si="174"/>
        <v>492.96220763736073</v>
      </c>
      <c r="M398" s="306">
        <f t="shared" ca="1" si="190"/>
        <v>1.3288085049287752</v>
      </c>
      <c r="N398" s="304">
        <f t="shared" ca="1" si="191"/>
        <v>76.13511911350767</v>
      </c>
      <c r="P398" s="310">
        <f t="shared" ca="1" si="192"/>
        <v>23</v>
      </c>
      <c r="Q398" s="304">
        <f t="shared" ca="1" si="193"/>
        <v>0</v>
      </c>
      <c r="R398" s="306">
        <f t="shared" ca="1" si="194"/>
        <v>0</v>
      </c>
      <c r="S398" s="307">
        <f t="shared" ca="1" si="195"/>
        <v>7.8079999999999892</v>
      </c>
      <c r="T398" s="304">
        <f t="shared" ca="1" si="175"/>
        <v>76.5964799999999</v>
      </c>
      <c r="U398" s="311">
        <f t="shared" ca="1" si="176"/>
        <v>0</v>
      </c>
      <c r="V398" s="306">
        <f t="shared" ca="1" si="177"/>
        <v>1.1674765800819882</v>
      </c>
      <c r="W398" s="304">
        <f t="shared" ca="1" si="178"/>
        <v>114.41676442825917</v>
      </c>
      <c r="Y398" s="314" t="str">
        <f t="shared" ca="1" si="196"/>
        <v/>
      </c>
      <c r="Z398" s="315" t="str">
        <f t="shared" ca="1" si="197"/>
        <v/>
      </c>
      <c r="AA398" s="316" t="str">
        <f t="shared" ca="1" si="198"/>
        <v/>
      </c>
      <c r="AC398" s="310" t="e">
        <f t="shared" ca="1" si="199"/>
        <v>#N/A</v>
      </c>
      <c r="AD398" s="323" t="e">
        <f t="shared" ca="1" si="200"/>
        <v>#N/A</v>
      </c>
      <c r="AE398" s="324">
        <f t="shared" ca="1" si="179"/>
        <v>480.86924149569177</v>
      </c>
      <c r="AG398" s="306">
        <f t="shared" ca="1" si="201"/>
        <v>-24.221712522612233</v>
      </c>
      <c r="AH398" s="304">
        <f t="shared" ca="1" si="202"/>
        <v>-14.697222769205242</v>
      </c>
    </row>
    <row r="399" spans="1:34" x14ac:dyDescent="0.2">
      <c r="A399" s="347">
        <f t="shared" ca="1" si="180"/>
        <v>0.01</v>
      </c>
      <c r="B399" s="304">
        <f t="shared" ca="1" si="181"/>
        <v>3.9499999999999598</v>
      </c>
      <c r="D399" s="306">
        <f t="shared" ca="1" si="182"/>
        <v>-3.5115308380485049</v>
      </c>
      <c r="E399" s="307">
        <f t="shared" ca="1" si="183"/>
        <v>-24.036827047694025</v>
      </c>
      <c r="F399" s="304">
        <f t="shared" ca="1" si="184"/>
        <v>24.291971993795002</v>
      </c>
      <c r="G399" s="306">
        <f t="shared" ca="1" si="185"/>
        <v>41.525945032098726</v>
      </c>
      <c r="H399" s="307">
        <f t="shared" ca="1" si="186"/>
        <v>168.14260902707446</v>
      </c>
      <c r="I399" s="304">
        <f t="shared" ca="1" si="187"/>
        <v>173.19451804615673</v>
      </c>
      <c r="J399" s="306">
        <f t="shared" ca="1" si="188"/>
        <v>108.93506800660744</v>
      </c>
      <c r="K399" s="307">
        <f t="shared" ca="1" si="189"/>
        <v>482.5518694273149</v>
      </c>
      <c r="L399" s="304">
        <f t="shared" ca="1" si="174"/>
        <v>494.69501284063955</v>
      </c>
      <c r="M399" s="306">
        <f t="shared" ca="1" si="190"/>
        <v>1.3286727731638692</v>
      </c>
      <c r="N399" s="304">
        <f t="shared" ca="1" si="191"/>
        <v>76.127342256232694</v>
      </c>
      <c r="P399" s="310">
        <f t="shared" ca="1" si="192"/>
        <v>23</v>
      </c>
      <c r="Q399" s="304">
        <f t="shared" ca="1" si="193"/>
        <v>0</v>
      </c>
      <c r="R399" s="306">
        <f t="shared" ca="1" si="194"/>
        <v>0</v>
      </c>
      <c r="S399" s="307">
        <f t="shared" ca="1" si="195"/>
        <v>7.8079999999999892</v>
      </c>
      <c r="T399" s="304">
        <f t="shared" ca="1" si="175"/>
        <v>76.5964799999999</v>
      </c>
      <c r="U399" s="311">
        <f t="shared" ca="1" si="176"/>
        <v>0</v>
      </c>
      <c r="V399" s="306">
        <f t="shared" ca="1" si="177"/>
        <v>1.1672800397316909</v>
      </c>
      <c r="W399" s="304">
        <f t="shared" ca="1" si="178"/>
        <v>114.07877459714425</v>
      </c>
      <c r="Y399" s="314" t="str">
        <f t="shared" ca="1" si="196"/>
        <v/>
      </c>
      <c r="Z399" s="315" t="str">
        <f t="shared" ca="1" si="197"/>
        <v/>
      </c>
      <c r="AA399" s="316" t="str">
        <f t="shared" ca="1" si="198"/>
        <v/>
      </c>
      <c r="AC399" s="310" t="e">
        <f t="shared" ca="1" si="199"/>
        <v>#N/A</v>
      </c>
      <c r="AD399" s="323" t="e">
        <f t="shared" ca="1" si="200"/>
        <v>#N/A</v>
      </c>
      <c r="AE399" s="324">
        <f t="shared" ca="1" si="179"/>
        <v>482.5518694273149</v>
      </c>
      <c r="AG399" s="306">
        <f t="shared" ca="1" si="201"/>
        <v>-24.177957810092323</v>
      </c>
      <c r="AH399" s="304">
        <f t="shared" ca="1" si="202"/>
        <v>-14.653786427799607</v>
      </c>
    </row>
    <row r="400" spans="1:34" x14ac:dyDescent="0.2">
      <c r="A400" s="347">
        <f t="shared" ca="1" si="180"/>
        <v>0.01</v>
      </c>
      <c r="B400" s="304">
        <f t="shared" ca="1" si="181"/>
        <v>3.9599999999999596</v>
      </c>
      <c r="D400" s="306">
        <f t="shared" ca="1" si="182"/>
        <v>-3.5030829885838952</v>
      </c>
      <c r="E400" s="307">
        <f t="shared" ca="1" si="183"/>
        <v>-23.99432531477752</v>
      </c>
      <c r="F400" s="304">
        <f t="shared" ca="1" si="184"/>
        <v>24.248695588346173</v>
      </c>
      <c r="G400" s="306">
        <f t="shared" ca="1" si="185"/>
        <v>41.490914202212885</v>
      </c>
      <c r="H400" s="307">
        <f t="shared" ca="1" si="186"/>
        <v>167.90266577392669</v>
      </c>
      <c r="I400" s="304">
        <f t="shared" ca="1" si="187"/>
        <v>172.95317613541047</v>
      </c>
      <c r="J400" s="306">
        <f t="shared" ca="1" si="188"/>
        <v>109.35015230277899</v>
      </c>
      <c r="K400" s="307">
        <f t="shared" ca="1" si="189"/>
        <v>484.23209580131993</v>
      </c>
      <c r="L400" s="304">
        <f t="shared" ca="1" si="174"/>
        <v>496.42540065228292</v>
      </c>
      <c r="M400" s="306">
        <f t="shared" ca="1" si="190"/>
        <v>1.3285367772530585</v>
      </c>
      <c r="N400" s="304">
        <f t="shared" ca="1" si="191"/>
        <v>76.119550264512199</v>
      </c>
      <c r="P400" s="310">
        <f t="shared" ca="1" si="192"/>
        <v>23</v>
      </c>
      <c r="Q400" s="304">
        <f t="shared" ca="1" si="193"/>
        <v>0</v>
      </c>
      <c r="R400" s="306">
        <f t="shared" ca="1" si="194"/>
        <v>0</v>
      </c>
      <c r="S400" s="307">
        <f t="shared" ca="1" si="195"/>
        <v>7.8079999999999892</v>
      </c>
      <c r="T400" s="304">
        <f t="shared" ca="1" si="175"/>
        <v>76.5964799999999</v>
      </c>
      <c r="U400" s="311">
        <f t="shared" ca="1" si="176"/>
        <v>0</v>
      </c>
      <c r="V400" s="306">
        <f t="shared" ca="1" si="177"/>
        <v>1.1670838121163254</v>
      </c>
      <c r="W400" s="304">
        <f t="shared" ca="1" si="178"/>
        <v>113.74194069354543</v>
      </c>
      <c r="Y400" s="314" t="str">
        <f t="shared" ca="1" si="196"/>
        <v/>
      </c>
      <c r="Z400" s="315" t="str">
        <f t="shared" ca="1" si="197"/>
        <v/>
      </c>
      <c r="AA400" s="316" t="str">
        <f t="shared" ca="1" si="198"/>
        <v/>
      </c>
      <c r="AC400" s="310" t="e">
        <f t="shared" ca="1" si="199"/>
        <v>#N/A</v>
      </c>
      <c r="AD400" s="323" t="e">
        <f t="shared" ca="1" si="200"/>
        <v>#N/A</v>
      </c>
      <c r="AE400" s="324">
        <f t="shared" ca="1" si="179"/>
        <v>484.23209580131993</v>
      </c>
      <c r="AG400" s="306">
        <f t="shared" ca="1" si="201"/>
        <v>-24.134351012102613</v>
      </c>
      <c r="AH400" s="304">
        <f t="shared" ca="1" si="202"/>
        <v>-14.610498795740831</v>
      </c>
    </row>
    <row r="401" spans="1:34" x14ac:dyDescent="0.2">
      <c r="A401" s="347">
        <f t="shared" ca="1" si="180"/>
        <v>0.01</v>
      </c>
      <c r="B401" s="304">
        <f t="shared" ca="1" si="181"/>
        <v>3.9699999999999593</v>
      </c>
      <c r="D401" s="306">
        <f t="shared" ca="1" si="182"/>
        <v>-3.4946629171201078</v>
      </c>
      <c r="E401" s="307">
        <f t="shared" ca="1" si="183"/>
        <v>-23.951968935802782</v>
      </c>
      <c r="F401" s="304">
        <f t="shared" ca="1" si="184"/>
        <v>24.205567227519289</v>
      </c>
      <c r="G401" s="306">
        <f t="shared" ca="1" si="185"/>
        <v>41.455967573041683</v>
      </c>
      <c r="H401" s="307">
        <f t="shared" ca="1" si="186"/>
        <v>167.66314608456867</v>
      </c>
      <c r="I401" s="304">
        <f t="shared" ca="1" si="187"/>
        <v>172.71226882417039</v>
      </c>
      <c r="J401" s="306">
        <f t="shared" ca="1" si="188"/>
        <v>109.76488671165527</v>
      </c>
      <c r="K401" s="307">
        <f t="shared" ca="1" si="189"/>
        <v>485.90992486061242</v>
      </c>
      <c r="L401" s="304">
        <f t="shared" ca="1" si="174"/>
        <v>498.15337541049394</v>
      </c>
      <c r="M401" s="306">
        <f t="shared" ca="1" si="190"/>
        <v>1.3284005166578579</v>
      </c>
      <c r="N401" s="304">
        <f t="shared" ca="1" si="191"/>
        <v>76.111743107493268</v>
      </c>
      <c r="P401" s="310">
        <f t="shared" ca="1" si="192"/>
        <v>23</v>
      </c>
      <c r="Q401" s="304">
        <f t="shared" ca="1" si="193"/>
        <v>0</v>
      </c>
      <c r="R401" s="306">
        <f t="shared" ca="1" si="194"/>
        <v>0</v>
      </c>
      <c r="S401" s="307">
        <f t="shared" ca="1" si="195"/>
        <v>7.8079999999999892</v>
      </c>
      <c r="T401" s="304">
        <f t="shared" ca="1" si="175"/>
        <v>76.5964799999999</v>
      </c>
      <c r="U401" s="311">
        <f t="shared" ca="1" si="176"/>
        <v>0</v>
      </c>
      <c r="V401" s="306">
        <f t="shared" ca="1" si="177"/>
        <v>1.1668878965945373</v>
      </c>
      <c r="W401" s="304">
        <f t="shared" ca="1" si="178"/>
        <v>113.40625755186691</v>
      </c>
      <c r="Y401" s="314" t="str">
        <f t="shared" ca="1" si="196"/>
        <v/>
      </c>
      <c r="Z401" s="315" t="str">
        <f t="shared" ca="1" si="197"/>
        <v/>
      </c>
      <c r="AA401" s="316" t="str">
        <f t="shared" ca="1" si="198"/>
        <v/>
      </c>
      <c r="AC401" s="310" t="e">
        <f t="shared" ca="1" si="199"/>
        <v>#N/A</v>
      </c>
      <c r="AD401" s="323" t="e">
        <f t="shared" ca="1" si="200"/>
        <v>#N/A</v>
      </c>
      <c r="AE401" s="324">
        <f t="shared" ca="1" si="179"/>
        <v>485.90992486061242</v>
      </c>
      <c r="AG401" s="306">
        <f t="shared" ca="1" si="201"/>
        <v>-24.090891461011935</v>
      </c>
      <c r="AH401" s="304">
        <f t="shared" ca="1" si="202"/>
        <v>-14.567359207677457</v>
      </c>
    </row>
    <row r="402" spans="1:34" x14ac:dyDescent="0.2">
      <c r="A402" s="347">
        <f t="shared" ca="1" si="180"/>
        <v>0.01</v>
      </c>
      <c r="B402" s="304">
        <f t="shared" ca="1" si="181"/>
        <v>3.9799999999999591</v>
      </c>
      <c r="D402" s="306">
        <f t="shared" ca="1" si="182"/>
        <v>-3.4862704980628298</v>
      </c>
      <c r="E402" s="307">
        <f t="shared" ca="1" si="183"/>
        <v>-23.909757261175006</v>
      </c>
      <c r="F402" s="304">
        <f t="shared" ca="1" si="184"/>
        <v>24.162586249695501</v>
      </c>
      <c r="G402" s="306">
        <f t="shared" ca="1" si="185"/>
        <v>41.421104868061057</v>
      </c>
      <c r="H402" s="307">
        <f t="shared" ca="1" si="186"/>
        <v>167.42404851195693</v>
      </c>
      <c r="I402" s="304">
        <f t="shared" ca="1" si="187"/>
        <v>172.47179464661755</v>
      </c>
      <c r="J402" s="306">
        <f t="shared" ca="1" si="188"/>
        <v>110.17927207386077</v>
      </c>
      <c r="K402" s="307">
        <f t="shared" ca="1" si="189"/>
        <v>487.58536083359508</v>
      </c>
      <c r="L402" s="304">
        <f t="shared" ca="1" si="174"/>
        <v>499.8789414387777</v>
      </c>
      <c r="M402" s="306">
        <f t="shared" ca="1" si="190"/>
        <v>1.3282639908380842</v>
      </c>
      <c r="N402" s="304">
        <f t="shared" ca="1" si="191"/>
        <v>76.103920754225669</v>
      </c>
      <c r="P402" s="310">
        <f t="shared" ca="1" si="192"/>
        <v>23</v>
      </c>
      <c r="Q402" s="304">
        <f t="shared" ca="1" si="193"/>
        <v>0</v>
      </c>
      <c r="R402" s="306">
        <f t="shared" ca="1" si="194"/>
        <v>0</v>
      </c>
      <c r="S402" s="307">
        <f t="shared" ca="1" si="195"/>
        <v>7.8079999999999892</v>
      </c>
      <c r="T402" s="304">
        <f t="shared" ca="1" si="175"/>
        <v>76.5964799999999</v>
      </c>
      <c r="U402" s="311">
        <f t="shared" ca="1" si="176"/>
        <v>0</v>
      </c>
      <c r="V402" s="306">
        <f t="shared" ca="1" si="177"/>
        <v>1.1666922925272585</v>
      </c>
      <c r="W402" s="304">
        <f t="shared" ca="1" si="178"/>
        <v>113.07172003578017</v>
      </c>
      <c r="Y402" s="314" t="str">
        <f t="shared" ca="1" si="196"/>
        <v/>
      </c>
      <c r="Z402" s="315" t="str">
        <f t="shared" ca="1" si="197"/>
        <v/>
      </c>
      <c r="AA402" s="316" t="str">
        <f t="shared" ca="1" si="198"/>
        <v/>
      </c>
      <c r="AC402" s="310" t="e">
        <f t="shared" ca="1" si="199"/>
        <v>#N/A</v>
      </c>
      <c r="AD402" s="323" t="e">
        <f t="shared" ca="1" si="200"/>
        <v>#N/A</v>
      </c>
      <c r="AE402" s="324">
        <f t="shared" ca="1" si="179"/>
        <v>487.58536083359508</v>
      </c>
      <c r="AG402" s="306">
        <f t="shared" ca="1" si="201"/>
        <v>-24.04757849295456</v>
      </c>
      <c r="AH402" s="304">
        <f t="shared" ca="1" si="202"/>
        <v>-14.524367002032156</v>
      </c>
    </row>
    <row r="403" spans="1:34" x14ac:dyDescent="0.2">
      <c r="A403" s="347">
        <f t="shared" ca="1" si="180"/>
        <v>0.01</v>
      </c>
      <c r="B403" s="304">
        <f t="shared" ca="1" si="181"/>
        <v>3.9899999999999589</v>
      </c>
      <c r="D403" s="306">
        <f t="shared" ca="1" si="182"/>
        <v>-3.4779056065280645</v>
      </c>
      <c r="E403" s="307">
        <f t="shared" ca="1" si="183"/>
        <v>-23.867689644979745</v>
      </c>
      <c r="F403" s="304">
        <f t="shared" ca="1" si="184"/>
        <v>24.119751997004297</v>
      </c>
      <c r="G403" s="306">
        <f t="shared" ca="1" si="185"/>
        <v>41.386325811995775</v>
      </c>
      <c r="H403" s="307">
        <f t="shared" ca="1" si="186"/>
        <v>167.18537161550714</v>
      </c>
      <c r="I403" s="304">
        <f t="shared" ca="1" si="187"/>
        <v>172.23175214353446</v>
      </c>
      <c r="J403" s="306">
        <f t="shared" ca="1" si="188"/>
        <v>110.59330922726106</v>
      </c>
      <c r="K403" s="307">
        <f t="shared" ca="1" si="189"/>
        <v>489.25840793423242</v>
      </c>
      <c r="L403" s="304">
        <f t="shared" ca="1" si="174"/>
        <v>501.60210304600633</v>
      </c>
      <c r="M403" s="306">
        <f t="shared" ca="1" si="190"/>
        <v>1.3281271992518513</v>
      </c>
      <c r="N403" s="304">
        <f t="shared" ca="1" si="191"/>
        <v>76.096083173661626</v>
      </c>
      <c r="P403" s="310">
        <f t="shared" ca="1" si="192"/>
        <v>23</v>
      </c>
      <c r="Q403" s="304">
        <f t="shared" ca="1" si="193"/>
        <v>0</v>
      </c>
      <c r="R403" s="306">
        <f t="shared" ca="1" si="194"/>
        <v>0</v>
      </c>
      <c r="S403" s="307">
        <f t="shared" ca="1" si="195"/>
        <v>7.8079999999999892</v>
      </c>
      <c r="T403" s="304">
        <f t="shared" ca="1" si="175"/>
        <v>76.5964799999999</v>
      </c>
      <c r="U403" s="311">
        <f t="shared" ca="1" si="176"/>
        <v>0</v>
      </c>
      <c r="V403" s="306">
        <f t="shared" ca="1" si="177"/>
        <v>1.1664969992776948</v>
      </c>
      <c r="W403" s="304">
        <f t="shared" ca="1" si="178"/>
        <v>112.7383230380251</v>
      </c>
      <c r="Y403" s="314" t="str">
        <f t="shared" ca="1" si="196"/>
        <v/>
      </c>
      <c r="Z403" s="315" t="str">
        <f t="shared" ca="1" si="197"/>
        <v/>
      </c>
      <c r="AA403" s="316" t="str">
        <f t="shared" ca="1" si="198"/>
        <v/>
      </c>
      <c r="AC403" s="310" t="e">
        <f t="shared" ca="1" si="199"/>
        <v>#N/A</v>
      </c>
      <c r="AD403" s="323" t="e">
        <f t="shared" ca="1" si="200"/>
        <v>#N/A</v>
      </c>
      <c r="AE403" s="324">
        <f t="shared" ca="1" si="179"/>
        <v>489.25840793423242</v>
      </c>
      <c r="AG403" s="306">
        <f t="shared" ca="1" si="201"/>
        <v>-24.004411447804408</v>
      </c>
      <c r="AH403" s="304">
        <f t="shared" ca="1" si="202"/>
        <v>-14.481521520975965</v>
      </c>
    </row>
    <row r="404" spans="1:34" x14ac:dyDescent="0.2">
      <c r="A404" s="347">
        <f t="shared" ca="1" si="180"/>
        <v>0.01</v>
      </c>
      <c r="B404" s="304">
        <f t="shared" ca="1" si="181"/>
        <v>3.9999999999999587</v>
      </c>
      <c r="D404" s="306">
        <f t="shared" ca="1" si="182"/>
        <v>-3.4695681183373033</v>
      </c>
      <c r="E404" s="307">
        <f t="shared" ca="1" si="183"/>
        <v>-23.82576544495786</v>
      </c>
      <c r="F404" s="304">
        <f t="shared" ca="1" si="184"/>
        <v>24.077063815297965</v>
      </c>
      <c r="G404" s="306">
        <f t="shared" ca="1" si="185"/>
        <v>41.351630130812403</v>
      </c>
      <c r="H404" s="307">
        <f t="shared" ca="1" si="186"/>
        <v>166.94711396105757</v>
      </c>
      <c r="I404" s="304">
        <f t="shared" ca="1" si="187"/>
        <v>171.99213986226769</v>
      </c>
      <c r="J404" s="306">
        <f t="shared" ca="1" si="188"/>
        <v>111.00699900697511</v>
      </c>
      <c r="K404" s="307">
        <f t="shared" ca="1" si="189"/>
        <v>490.92907036211523</v>
      </c>
      <c r="L404" s="304">
        <f t="shared" ca="1" si="174"/>
        <v>503.3228645264839</v>
      </c>
      <c r="M404" s="306">
        <f t="shared" ca="1" si="190"/>
        <v>1.3279901413555641</v>
      </c>
      <c r="N404" s="304">
        <f t="shared" ca="1" si="191"/>
        <v>76.088230334655435</v>
      </c>
      <c r="P404" s="310">
        <f t="shared" ca="1" si="192"/>
        <v>23</v>
      </c>
      <c r="Q404" s="304">
        <f t="shared" ca="1" si="193"/>
        <v>0</v>
      </c>
      <c r="R404" s="306">
        <f t="shared" ca="1" si="194"/>
        <v>0</v>
      </c>
      <c r="S404" s="307">
        <f t="shared" ca="1" si="195"/>
        <v>7.8079999999999892</v>
      </c>
      <c r="T404" s="304">
        <f t="shared" ca="1" si="175"/>
        <v>76.5964799999999</v>
      </c>
      <c r="U404" s="311">
        <f t="shared" ca="1" si="176"/>
        <v>0</v>
      </c>
      <c r="V404" s="306">
        <f t="shared" ca="1" si="177"/>
        <v>1.1663020162113165</v>
      </c>
      <c r="W404" s="304">
        <f t="shared" ca="1" si="178"/>
        <v>112.40606148021203</v>
      </c>
      <c r="Y404" s="314" t="str">
        <f t="shared" ca="1" si="196"/>
        <v/>
      </c>
      <c r="Z404" s="315" t="str">
        <f t="shared" ca="1" si="197"/>
        <v/>
      </c>
      <c r="AA404" s="316" t="str">
        <f t="shared" ca="1" si="198"/>
        <v/>
      </c>
      <c r="AC404" s="310">
        <f t="shared" ca="1" si="199"/>
        <v>3.9999999999999587</v>
      </c>
      <c r="AD404" s="323">
        <f t="shared" ca="1" si="200"/>
        <v>111.00699900697511</v>
      </c>
      <c r="AE404" s="324">
        <f t="shared" ca="1" si="179"/>
        <v>490.92907036211523</v>
      </c>
      <c r="AG404" s="306">
        <f t="shared" ca="1" si="201"/>
        <v>-23.961389669149533</v>
      </c>
      <c r="AH404" s="304">
        <f t="shared" ca="1" si="202"/>
        <v>-14.438822110402825</v>
      </c>
    </row>
    <row r="405" spans="1:34" x14ac:dyDescent="0.2">
      <c r="A405" s="347">
        <f t="shared" ca="1" si="180"/>
        <v>0.1</v>
      </c>
      <c r="B405" s="304">
        <f t="shared" ca="1" si="181"/>
        <v>4.0999999999999588</v>
      </c>
      <c r="D405" s="306">
        <f t="shared" ca="1" si="182"/>
        <v>-3.4612579100127059</v>
      </c>
      <c r="E405" s="307">
        <f t="shared" ca="1" si="183"/>
        <v>-23.783984022480674</v>
      </c>
      <c r="F405" s="304">
        <f t="shared" ca="1" si="184"/>
        <v>24.034521054126323</v>
      </c>
      <c r="G405" s="306">
        <f t="shared" ca="1" si="185"/>
        <v>41.005504339811132</v>
      </c>
      <c r="H405" s="307">
        <f t="shared" ca="1" si="186"/>
        <v>164.56871555880949</v>
      </c>
      <c r="I405" s="304">
        <f t="shared" ca="1" si="187"/>
        <v>169.60045261389669</v>
      </c>
      <c r="J405" s="306">
        <f t="shared" ca="1" si="188"/>
        <v>115.12485573050628</v>
      </c>
      <c r="K405" s="307">
        <f t="shared" ca="1" si="189"/>
        <v>507.50486183810858</v>
      </c>
      <c r="L405" s="304">
        <f t="shared" ca="1" si="174"/>
        <v>520.39880591358735</v>
      </c>
      <c r="M405" s="306">
        <f t="shared" ca="1" si="190"/>
        <v>1.3265994646656203</v>
      </c>
      <c r="N405" s="304">
        <f t="shared" ca="1" si="191"/>
        <v>76.00855042965442</v>
      </c>
      <c r="P405" s="310">
        <f t="shared" ca="1" si="192"/>
        <v>23</v>
      </c>
      <c r="Q405" s="304">
        <f t="shared" ca="1" si="193"/>
        <v>0</v>
      </c>
      <c r="R405" s="306">
        <f t="shared" ca="1" si="194"/>
        <v>0</v>
      </c>
      <c r="S405" s="307">
        <f t="shared" ca="1" si="195"/>
        <v>7.8079999999999892</v>
      </c>
      <c r="T405" s="304">
        <f t="shared" ca="1" si="175"/>
        <v>76.5964799999999</v>
      </c>
      <c r="U405" s="311">
        <f t="shared" ca="1" si="176"/>
        <v>0</v>
      </c>
      <c r="V405" s="306">
        <f t="shared" ca="1" si="177"/>
        <v>1.1643691763147086</v>
      </c>
      <c r="W405" s="304">
        <f t="shared" ca="1" si="178"/>
        <v>109.12046775341288</v>
      </c>
      <c r="Y405" s="314" t="str">
        <f t="shared" ca="1" si="196"/>
        <v/>
      </c>
      <c r="Z405" s="315" t="str">
        <f t="shared" ca="1" si="197"/>
        <v/>
      </c>
      <c r="AA405" s="316" t="str">
        <f t="shared" ca="1" si="198"/>
        <v/>
      </c>
      <c r="AC405" s="310" t="e">
        <f t="shared" ca="1" si="199"/>
        <v>#N/A</v>
      </c>
      <c r="AD405" s="323" t="e">
        <f t="shared" ca="1" si="200"/>
        <v>#N/A</v>
      </c>
      <c r="AE405" s="324">
        <f t="shared" ca="1" si="179"/>
        <v>507.50486183810858</v>
      </c>
      <c r="AG405" s="306">
        <f t="shared" ca="1" si="201"/>
        <v>-23.918512504266761</v>
      </c>
      <c r="AH405" s="304">
        <f t="shared" ca="1" si="202"/>
        <v>-14.396268119904224</v>
      </c>
    </row>
    <row r="406" spans="1:34" x14ac:dyDescent="0.2">
      <c r="A406" s="347">
        <f t="shared" ca="1" si="180"/>
        <v>0.1</v>
      </c>
      <c r="B406" s="304">
        <f t="shared" ca="1" si="181"/>
        <v>4.1999999999999584</v>
      </c>
      <c r="D406" s="306">
        <f t="shared" ca="1" si="182"/>
        <v>-3.378948442445914</v>
      </c>
      <c r="E406" s="307">
        <f t="shared" ca="1" si="183"/>
        <v>-23.37084296646222</v>
      </c>
      <c r="F406" s="304">
        <f t="shared" ca="1" si="184"/>
        <v>23.613843260675385</v>
      </c>
      <c r="G406" s="306">
        <f t="shared" ca="1" si="185"/>
        <v>40.667609495566538</v>
      </c>
      <c r="H406" s="307">
        <f t="shared" ca="1" si="186"/>
        <v>162.23163126216326</v>
      </c>
      <c r="I406" s="304">
        <f t="shared" ca="1" si="187"/>
        <v>167.25117830397011</v>
      </c>
      <c r="J406" s="306">
        <f t="shared" ca="1" si="188"/>
        <v>119.20851142227517</v>
      </c>
      <c r="K406" s="307">
        <f t="shared" ca="1" si="189"/>
        <v>523.84487917915726</v>
      </c>
      <c r="L406" s="304">
        <f t="shared" ca="1" si="174"/>
        <v>537.23749556200983</v>
      </c>
      <c r="M406" s="306">
        <f t="shared" ca="1" si="190"/>
        <v>1.3251813376917869</v>
      </c>
      <c r="N406" s="304">
        <f t="shared" ca="1" si="191"/>
        <v>75.927297739240117</v>
      </c>
      <c r="P406" s="310">
        <f t="shared" ca="1" si="192"/>
        <v>23</v>
      </c>
      <c r="Q406" s="304">
        <f t="shared" ca="1" si="193"/>
        <v>0</v>
      </c>
      <c r="R406" s="306">
        <f t="shared" ca="1" si="194"/>
        <v>0</v>
      </c>
      <c r="S406" s="307">
        <f t="shared" ca="1" si="195"/>
        <v>7.8079999999999892</v>
      </c>
      <c r="T406" s="304">
        <f t="shared" ca="1" si="175"/>
        <v>76.5964799999999</v>
      </c>
      <c r="U406" s="311">
        <f t="shared" ca="1" si="176"/>
        <v>0</v>
      </c>
      <c r="V406" s="306">
        <f t="shared" ca="1" si="177"/>
        <v>1.1624668849065936</v>
      </c>
      <c r="W406" s="304">
        <f t="shared" ca="1" si="178"/>
        <v>105.94500047471986</v>
      </c>
      <c r="Y406" s="314" t="str">
        <f t="shared" ca="1" si="196"/>
        <v/>
      </c>
      <c r="Z406" s="315" t="str">
        <f t="shared" ca="1" si="197"/>
        <v/>
      </c>
      <c r="AA406" s="316" t="str">
        <f t="shared" ca="1" si="198"/>
        <v/>
      </c>
      <c r="AC406" s="310" t="e">
        <f t="shared" ca="1" si="199"/>
        <v>#N/A</v>
      </c>
      <c r="AD406" s="323" t="e">
        <f t="shared" ca="1" si="200"/>
        <v>#N/A</v>
      </c>
      <c r="AE406" s="324">
        <f t="shared" ca="1" si="179"/>
        <v>523.84487917915726</v>
      </c>
      <c r="AG406" s="306">
        <f t="shared" ca="1" si="201"/>
        <v>-23.494424879922427</v>
      </c>
      <c r="AH406" s="304">
        <f t="shared" ca="1" si="202"/>
        <v>-13.975469743008841</v>
      </c>
    </row>
    <row r="407" spans="1:34" x14ac:dyDescent="0.2">
      <c r="A407" s="347">
        <f t="shared" ca="1" si="180"/>
        <v>0.1</v>
      </c>
      <c r="B407" s="304">
        <f t="shared" ca="1" si="181"/>
        <v>4.2999999999999581</v>
      </c>
      <c r="D407" s="306">
        <f t="shared" ca="1" si="182"/>
        <v>-3.2992871924851745</v>
      </c>
      <c r="E407" s="307">
        <f t="shared" ca="1" si="183"/>
        <v>-22.971549200416707</v>
      </c>
      <c r="F407" s="304">
        <f t="shared" ca="1" si="184"/>
        <v>23.207269736995393</v>
      </c>
      <c r="G407" s="306">
        <f t="shared" ca="1" si="185"/>
        <v>40.337680776318017</v>
      </c>
      <c r="H407" s="307">
        <f t="shared" ca="1" si="186"/>
        <v>159.9344763421216</v>
      </c>
      <c r="I407" s="304">
        <f t="shared" ca="1" si="187"/>
        <v>164.94291501377313</v>
      </c>
      <c r="J407" s="306">
        <f t="shared" ca="1" si="188"/>
        <v>123.25877593586939</v>
      </c>
      <c r="K407" s="307">
        <f t="shared" ca="1" si="189"/>
        <v>539.95318455937149</v>
      </c>
      <c r="L407" s="304">
        <f t="shared" ca="1" si="174"/>
        <v>553.84308911551432</v>
      </c>
      <c r="M407" s="306">
        <f t="shared" ca="1" si="190"/>
        <v>1.3237351823310892</v>
      </c>
      <c r="N407" s="304">
        <f t="shared" ca="1" si="191"/>
        <v>75.844439140551913</v>
      </c>
      <c r="P407" s="310">
        <f t="shared" ca="1" si="192"/>
        <v>23</v>
      </c>
      <c r="Q407" s="304">
        <f t="shared" ca="1" si="193"/>
        <v>0</v>
      </c>
      <c r="R407" s="306">
        <f t="shared" ca="1" si="194"/>
        <v>0</v>
      </c>
      <c r="S407" s="307">
        <f t="shared" ca="1" si="195"/>
        <v>7.8079999999999892</v>
      </c>
      <c r="T407" s="304">
        <f t="shared" ca="1" si="175"/>
        <v>76.5964799999999</v>
      </c>
      <c r="U407" s="311">
        <f t="shared" ca="1" si="176"/>
        <v>0</v>
      </c>
      <c r="V407" s="306">
        <f t="shared" ca="1" si="177"/>
        <v>1.1605945317750326</v>
      </c>
      <c r="W407" s="304">
        <f t="shared" ca="1" si="178"/>
        <v>102.87488342284549</v>
      </c>
      <c r="Y407" s="314" t="str">
        <f t="shared" ca="1" si="196"/>
        <v/>
      </c>
      <c r="Z407" s="315" t="str">
        <f t="shared" ca="1" si="197"/>
        <v/>
      </c>
      <c r="AA407" s="316" t="str">
        <f t="shared" ca="1" si="198"/>
        <v/>
      </c>
      <c r="AC407" s="310" t="e">
        <f t="shared" ca="1" si="199"/>
        <v>#N/A</v>
      </c>
      <c r="AD407" s="323" t="e">
        <f t="shared" ca="1" si="200"/>
        <v>#N/A</v>
      </c>
      <c r="AE407" s="324">
        <f t="shared" ca="1" si="179"/>
        <v>539.95318455937149</v>
      </c>
      <c r="AG407" s="306">
        <f t="shared" ca="1" si="201"/>
        <v>-23.084357681136339</v>
      </c>
      <c r="AH407" s="304">
        <f t="shared" ca="1" si="202"/>
        <v>-13.56877567555328</v>
      </c>
    </row>
    <row r="408" spans="1:34" x14ac:dyDescent="0.2">
      <c r="A408" s="347">
        <f t="shared" ca="1" si="180"/>
        <v>0.1</v>
      </c>
      <c r="B408" s="304">
        <f t="shared" ca="1" si="181"/>
        <v>4.3999999999999577</v>
      </c>
      <c r="D408" s="306">
        <f t="shared" ca="1" si="182"/>
        <v>-3.2221578382899865</v>
      </c>
      <c r="E408" s="307">
        <f t="shared" ca="1" si="183"/>
        <v>-22.585502127061325</v>
      </c>
      <c r="F408" s="304">
        <f t="shared" ca="1" si="184"/>
        <v>22.814188731277412</v>
      </c>
      <c r="G408" s="306">
        <f t="shared" ca="1" si="185"/>
        <v>40.015464992489015</v>
      </c>
      <c r="H408" s="307">
        <f t="shared" ca="1" si="186"/>
        <v>157.67592612941547</v>
      </c>
      <c r="I408" s="304">
        <f t="shared" ca="1" si="187"/>
        <v>162.67432224949945</v>
      </c>
      <c r="J408" s="306">
        <f t="shared" ca="1" si="188"/>
        <v>127.27643322430974</v>
      </c>
      <c r="K408" s="307">
        <f t="shared" ca="1" si="189"/>
        <v>555.83370468294834</v>
      </c>
      <c r="L408" s="304">
        <f t="shared" ca="1" si="174"/>
        <v>570.21960481543704</v>
      </c>
      <c r="M408" s="306">
        <f t="shared" ca="1" si="190"/>
        <v>1.3222604017243844</v>
      </c>
      <c r="N408" s="304">
        <f t="shared" ca="1" si="191"/>
        <v>75.759940436079987</v>
      </c>
      <c r="P408" s="310">
        <f t="shared" ca="1" si="192"/>
        <v>23</v>
      </c>
      <c r="Q408" s="304">
        <f t="shared" ca="1" si="193"/>
        <v>0</v>
      </c>
      <c r="R408" s="306">
        <f t="shared" ca="1" si="194"/>
        <v>0</v>
      </c>
      <c r="S408" s="307">
        <f t="shared" ca="1" si="195"/>
        <v>7.8079999999999892</v>
      </c>
      <c r="T408" s="304">
        <f t="shared" ca="1" si="175"/>
        <v>76.5964799999999</v>
      </c>
      <c r="U408" s="311">
        <f t="shared" ca="1" si="176"/>
        <v>0</v>
      </c>
      <c r="V408" s="306">
        <f t="shared" ca="1" si="177"/>
        <v>1.1587515278612619</v>
      </c>
      <c r="W408" s="304">
        <f t="shared" ca="1" si="178"/>
        <v>99.905601020371378</v>
      </c>
      <c r="Y408" s="314" t="str">
        <f t="shared" ca="1" si="196"/>
        <v/>
      </c>
      <c r="Z408" s="315" t="str">
        <f t="shared" ca="1" si="197"/>
        <v/>
      </c>
      <c r="AA408" s="316" t="str">
        <f t="shared" ca="1" si="198"/>
        <v/>
      </c>
      <c r="AC408" s="310" t="e">
        <f t="shared" ca="1" si="199"/>
        <v>#N/A</v>
      </c>
      <c r="AD408" s="323" t="e">
        <f t="shared" ca="1" si="200"/>
        <v>#N/A</v>
      </c>
      <c r="AE408" s="324">
        <f t="shared" ca="1" si="179"/>
        <v>555.83370468294834</v>
      </c>
      <c r="AG408" s="306">
        <f t="shared" ca="1" si="201"/>
        <v>-22.687696707644573</v>
      </c>
      <c r="AH408" s="304">
        <f t="shared" ca="1" si="202"/>
        <v>-13.175574208868548</v>
      </c>
    </row>
    <row r="409" spans="1:34" x14ac:dyDescent="0.2">
      <c r="A409" s="347">
        <f t="shared" ca="1" si="180"/>
        <v>0.1</v>
      </c>
      <c r="B409" s="304">
        <f t="shared" ca="1" si="181"/>
        <v>4.4999999999999574</v>
      </c>
      <c r="D409" s="306">
        <f t="shared" ca="1" si="182"/>
        <v>-3.1474503939807916</v>
      </c>
      <c r="E409" s="307">
        <f t="shared" ca="1" si="183"/>
        <v>-22.212133922733798</v>
      </c>
      <c r="F409" s="304">
        <f t="shared" ca="1" si="184"/>
        <v>22.434021872683271</v>
      </c>
      <c r="G409" s="306">
        <f t="shared" ca="1" si="185"/>
        <v>39.700719953090939</v>
      </c>
      <c r="H409" s="307">
        <f t="shared" ca="1" si="186"/>
        <v>155.4547127371421</v>
      </c>
      <c r="I409" s="304">
        <f t="shared" ca="1" si="187"/>
        <v>160.44411761414355</v>
      </c>
      <c r="J409" s="306">
        <f t="shared" ca="1" si="188"/>
        <v>131.26224247158873</v>
      </c>
      <c r="K409" s="307">
        <f t="shared" ca="1" si="189"/>
        <v>571.49023662627621</v>
      </c>
      <c r="L409" s="304">
        <f t="shared" ca="1" si="174"/>
        <v>586.37092941057995</v>
      </c>
      <c r="M409" s="306">
        <f t="shared" ca="1" si="190"/>
        <v>1.3207563795686661</v>
      </c>
      <c r="N409" s="304">
        <f t="shared" ca="1" si="191"/>
        <v>75.673766314263162</v>
      </c>
      <c r="P409" s="310">
        <f t="shared" ca="1" si="192"/>
        <v>23</v>
      </c>
      <c r="Q409" s="304">
        <f t="shared" ca="1" si="193"/>
        <v>0</v>
      </c>
      <c r="R409" s="306">
        <f t="shared" ca="1" si="194"/>
        <v>0</v>
      </c>
      <c r="S409" s="307">
        <f t="shared" ca="1" si="195"/>
        <v>7.8079999999999892</v>
      </c>
      <c r="T409" s="304">
        <f t="shared" ca="1" si="175"/>
        <v>76.5964799999999</v>
      </c>
      <c r="U409" s="311">
        <f t="shared" ca="1" si="176"/>
        <v>0</v>
      </c>
      <c r="V409" s="306">
        <f t="shared" ca="1" si="177"/>
        <v>1.1569373043163644</v>
      </c>
      <c r="W409" s="304">
        <f t="shared" ca="1" si="178"/>
        <v>97.032881394017664</v>
      </c>
      <c r="Y409" s="314" t="str">
        <f t="shared" ca="1" si="196"/>
        <v/>
      </c>
      <c r="Z409" s="315" t="str">
        <f t="shared" ca="1" si="197"/>
        <v/>
      </c>
      <c r="AA409" s="316" t="str">
        <f t="shared" ca="1" si="198"/>
        <v/>
      </c>
      <c r="AC409" s="310" t="e">
        <f t="shared" ca="1" si="199"/>
        <v>#N/A</v>
      </c>
      <c r="AD409" s="323" t="e">
        <f t="shared" ca="1" si="200"/>
        <v>#N/A</v>
      </c>
      <c r="AE409" s="324">
        <f t="shared" ca="1" si="179"/>
        <v>571.49023662627621</v>
      </c>
      <c r="AG409" s="306">
        <f t="shared" ca="1" si="201"/>
        <v>-22.303861042487028</v>
      </c>
      <c r="AH409" s="304">
        <f t="shared" ca="1" si="202"/>
        <v>-12.795287015928729</v>
      </c>
    </row>
    <row r="410" spans="1:34" x14ac:dyDescent="0.2">
      <c r="A410" s="347">
        <f t="shared" ca="1" si="180"/>
        <v>0.1</v>
      </c>
      <c r="B410" s="304">
        <f t="shared" ca="1" si="181"/>
        <v>4.599999999999957</v>
      </c>
      <c r="D410" s="306">
        <f t="shared" ca="1" si="182"/>
        <v>-3.0750607977158149</v>
      </c>
      <c r="E410" s="307">
        <f t="shared" ca="1" si="183"/>
        <v>-21.850907407296056</v>
      </c>
      <c r="F410" s="304">
        <f t="shared" ca="1" si="184"/>
        <v>22.066222001780783</v>
      </c>
      <c r="G410" s="306">
        <f t="shared" ca="1" si="185"/>
        <v>39.393213873319354</v>
      </c>
      <c r="H410" s="307">
        <f t="shared" ca="1" si="186"/>
        <v>153.2696219964125</v>
      </c>
      <c r="I410" s="304">
        <f t="shared" ca="1" si="187"/>
        <v>158.25107369680703</v>
      </c>
      <c r="J410" s="306">
        <f t="shared" ca="1" si="188"/>
        <v>135.21693916290926</v>
      </c>
      <c r="K410" s="307">
        <f t="shared" ca="1" si="189"/>
        <v>586.92645336295391</v>
      </c>
      <c r="L410" s="304">
        <f t="shared" ca="1" si="174"/>
        <v>602.30082375321524</v>
      </c>
      <c r="M410" s="306">
        <f t="shared" ca="1" si="190"/>
        <v>1.319222479397784</v>
      </c>
      <c r="N410" s="304">
        <f t="shared" ca="1" si="191"/>
        <v>75.585880308277225</v>
      </c>
      <c r="P410" s="310">
        <f t="shared" ca="1" si="192"/>
        <v>23</v>
      </c>
      <c r="Q410" s="304">
        <f t="shared" ca="1" si="193"/>
        <v>0</v>
      </c>
      <c r="R410" s="306">
        <f t="shared" ca="1" si="194"/>
        <v>0</v>
      </c>
      <c r="S410" s="307">
        <f t="shared" ca="1" si="195"/>
        <v>7.8079999999999892</v>
      </c>
      <c r="T410" s="304">
        <f t="shared" ca="1" si="175"/>
        <v>76.5964799999999</v>
      </c>
      <c r="U410" s="311">
        <f t="shared" ca="1" si="176"/>
        <v>0</v>
      </c>
      <c r="V410" s="306">
        <f t="shared" ca="1" si="177"/>
        <v>1.1551513116104646</v>
      </c>
      <c r="W410" s="304">
        <f t="shared" ca="1" si="178"/>
        <v>94.252680711553225</v>
      </c>
      <c r="Y410" s="314" t="str">
        <f t="shared" ca="1" si="196"/>
        <v/>
      </c>
      <c r="Z410" s="315" t="str">
        <f t="shared" ca="1" si="197"/>
        <v/>
      </c>
      <c r="AA410" s="316" t="str">
        <f t="shared" ca="1" si="198"/>
        <v>Satellite</v>
      </c>
      <c r="AC410" s="310" t="e">
        <f t="shared" ca="1" si="199"/>
        <v>#N/A</v>
      </c>
      <c r="AD410" s="323" t="e">
        <f t="shared" ca="1" si="200"/>
        <v>#N/A</v>
      </c>
      <c r="AE410" s="324">
        <f t="shared" ca="1" si="179"/>
        <v>586.92645336295391</v>
      </c>
      <c r="AG410" s="306">
        <f t="shared" ca="1" si="201"/>
        <v>-21.932300877983344</v>
      </c>
      <c r="AH410" s="304">
        <f t="shared" ca="1" si="202"/>
        <v>-12.427366981815805</v>
      </c>
    </row>
    <row r="411" spans="1:34" x14ac:dyDescent="0.2">
      <c r="A411" s="347">
        <f t="shared" ca="1" si="180"/>
        <v>0.1</v>
      </c>
      <c r="B411" s="304">
        <f t="shared" ca="1" si="181"/>
        <v>4.6999999999999567</v>
      </c>
      <c r="D411" s="306">
        <f t="shared" ca="1" si="182"/>
        <v>-3.0048905308206582</v>
      </c>
      <c r="E411" s="307">
        <f t="shared" ca="1" si="183"/>
        <v>-21.501314074564842</v>
      </c>
      <c r="F411" s="304">
        <f t="shared" ca="1" si="184"/>
        <v>21.710271164481014</v>
      </c>
      <c r="G411" s="306">
        <f t="shared" ca="1" si="185"/>
        <v>39.092724820237287</v>
      </c>
      <c r="H411" s="307">
        <f t="shared" ca="1" si="186"/>
        <v>151.11949058895601</v>
      </c>
      <c r="I411" s="304">
        <f t="shared" ca="1" si="187"/>
        <v>156.09401516309447</v>
      </c>
      <c r="J411" s="306">
        <f t="shared" ca="1" si="188"/>
        <v>139.1412360975871</v>
      </c>
      <c r="K411" s="307">
        <f t="shared" ca="1" si="189"/>
        <v>602.1459089922223</v>
      </c>
      <c r="L411" s="304">
        <f t="shared" ca="1" si="174"/>
        <v>618.01292810007953</v>
      </c>
      <c r="M411" s="306">
        <f t="shared" ca="1" si="190"/>
        <v>1.3176580438299819</v>
      </c>
      <c r="N411" s="304">
        <f t="shared" ca="1" si="191"/>
        <v>75.49624475292201</v>
      </c>
      <c r="P411" s="310">
        <f t="shared" ca="1" si="192"/>
        <v>23</v>
      </c>
      <c r="Q411" s="304">
        <f t="shared" ca="1" si="193"/>
        <v>0</v>
      </c>
      <c r="R411" s="306">
        <f t="shared" ca="1" si="194"/>
        <v>0</v>
      </c>
      <c r="S411" s="307">
        <f t="shared" ca="1" si="195"/>
        <v>7.8079999999999892</v>
      </c>
      <c r="T411" s="304">
        <f t="shared" ca="1" si="175"/>
        <v>76.5964799999999</v>
      </c>
      <c r="U411" s="311">
        <f t="shared" ca="1" si="176"/>
        <v>0</v>
      </c>
      <c r="V411" s="306">
        <f t="shared" ca="1" si="177"/>
        <v>1.1533930186909784</v>
      </c>
      <c r="W411" s="304">
        <f t="shared" ca="1" si="178"/>
        <v>91.561168686240705</v>
      </c>
      <c r="Y411" s="314" t="str">
        <f t="shared" ca="1" si="196"/>
        <v/>
      </c>
      <c r="Z411" s="315" t="str">
        <f t="shared" ca="1" si="197"/>
        <v/>
      </c>
      <c r="AA411" s="316" t="str">
        <f t="shared" ca="1" si="198"/>
        <v/>
      </c>
      <c r="AC411" s="310" t="e">
        <f t="shared" ca="1" si="199"/>
        <v>#N/A</v>
      </c>
      <c r="AD411" s="323" t="e">
        <f t="shared" ca="1" si="200"/>
        <v>#N/A</v>
      </c>
      <c r="AE411" s="324">
        <f t="shared" ca="1" si="179"/>
        <v>602.1459089922223</v>
      </c>
      <c r="AG411" s="306">
        <f t="shared" ca="1" si="201"/>
        <v>-21.572495504971144</v>
      </c>
      <c r="AH411" s="304">
        <f t="shared" ca="1" si="202"/>
        <v>-12.071296197688698</v>
      </c>
    </row>
    <row r="412" spans="1:34" x14ac:dyDescent="0.2">
      <c r="A412" s="347">
        <f t="shared" ca="1" si="180"/>
        <v>0.1</v>
      </c>
      <c r="B412" s="304">
        <f t="shared" ca="1" si="181"/>
        <v>4.7999999999999563</v>
      </c>
      <c r="D412" s="306">
        <f t="shared" ca="1" si="182"/>
        <v>-2.9368462653171963</v>
      </c>
      <c r="E412" s="307">
        <f t="shared" ca="1" si="183"/>
        <v>-21.162872269549794</v>
      </c>
      <c r="F412" s="304">
        <f t="shared" ca="1" si="184"/>
        <v>21.365678755503819</v>
      </c>
      <c r="G412" s="306">
        <f t="shared" ca="1" si="185"/>
        <v>38.799040193705565</v>
      </c>
      <c r="H412" s="307">
        <f t="shared" ca="1" si="186"/>
        <v>149.00320336200105</v>
      </c>
      <c r="I412" s="304">
        <f t="shared" ca="1" si="187"/>
        <v>153.97181603167061</v>
      </c>
      <c r="J412" s="306">
        <f t="shared" ca="1" si="188"/>
        <v>143.03582434828425</v>
      </c>
      <c r="K412" s="307">
        <f t="shared" ca="1" si="189"/>
        <v>617.15204368977015</v>
      </c>
      <c r="L412" s="304">
        <f t="shared" ca="1" si="174"/>
        <v>633.51076713616578</v>
      </c>
      <c r="M412" s="306">
        <f t="shared" ca="1" si="190"/>
        <v>1.3160623937805558</v>
      </c>
      <c r="N412" s="304">
        <f t="shared" ca="1" si="191"/>
        <v>75.404820739510043</v>
      </c>
      <c r="P412" s="310">
        <f t="shared" ca="1" si="192"/>
        <v>23</v>
      </c>
      <c r="Q412" s="304">
        <f t="shared" ca="1" si="193"/>
        <v>0</v>
      </c>
      <c r="R412" s="306">
        <f t="shared" ca="1" si="194"/>
        <v>0</v>
      </c>
      <c r="S412" s="307">
        <f t="shared" ca="1" si="195"/>
        <v>7.8079999999999892</v>
      </c>
      <c r="T412" s="304">
        <f t="shared" ca="1" si="175"/>
        <v>76.5964799999999</v>
      </c>
      <c r="U412" s="311">
        <f t="shared" ca="1" si="176"/>
        <v>0</v>
      </c>
      <c r="V412" s="306">
        <f t="shared" ca="1" si="177"/>
        <v>1.1516619121867167</v>
      </c>
      <c r="W412" s="304">
        <f t="shared" ca="1" si="178"/>
        <v>88.954715150112662</v>
      </c>
      <c r="Y412" s="314" t="str">
        <f t="shared" ca="1" si="196"/>
        <v/>
      </c>
      <c r="Z412" s="315" t="str">
        <f t="shared" ca="1" si="197"/>
        <v/>
      </c>
      <c r="AA412" s="316" t="str">
        <f t="shared" ca="1" si="198"/>
        <v/>
      </c>
      <c r="AC412" s="310" t="e">
        <f t="shared" ca="1" si="199"/>
        <v>#N/A</v>
      </c>
      <c r="AD412" s="323" t="e">
        <f t="shared" ca="1" si="200"/>
        <v>#N/A</v>
      </c>
      <c r="AE412" s="324">
        <f t="shared" ca="1" si="179"/>
        <v>617.15204368977015</v>
      </c>
      <c r="AG412" s="306">
        <f t="shared" ca="1" si="201"/>
        <v>-21.223951451318527</v>
      </c>
      <c r="AH412" s="304">
        <f t="shared" ca="1" si="202"/>
        <v>-11.726584104282894</v>
      </c>
    </row>
    <row r="413" spans="1:34" x14ac:dyDescent="0.2">
      <c r="A413" s="347">
        <f t="shared" ca="1" si="180"/>
        <v>0.1</v>
      </c>
      <c r="B413" s="304">
        <f t="shared" ca="1" si="181"/>
        <v>4.8999999999999559</v>
      </c>
      <c r="D413" s="306">
        <f t="shared" ca="1" si="182"/>
        <v>-2.870839537451396</v>
      </c>
      <c r="E413" s="307">
        <f t="shared" ca="1" si="183"/>
        <v>-20.835125500087514</v>
      </c>
      <c r="F413" s="304">
        <f t="shared" ca="1" si="184"/>
        <v>21.031979798730102</v>
      </c>
      <c r="G413" s="306">
        <f t="shared" ca="1" si="185"/>
        <v>38.511956239960426</v>
      </c>
      <c r="H413" s="307">
        <f t="shared" ca="1" si="186"/>
        <v>146.9196908119923</v>
      </c>
      <c r="I413" s="304">
        <f t="shared" ca="1" si="187"/>
        <v>151.8833971233197</v>
      </c>
      <c r="J413" s="306">
        <f t="shared" ca="1" si="188"/>
        <v>146.90137416996754</v>
      </c>
      <c r="K413" s="307">
        <f t="shared" ca="1" si="189"/>
        <v>631.94818839846982</v>
      </c>
      <c r="L413" s="304">
        <f t="shared" ca="1" si="174"/>
        <v>648.79775473804841</v>
      </c>
      <c r="M413" s="306">
        <f t="shared" ca="1" si="190"/>
        <v>1.3144348276378444</v>
      </c>
      <c r="N413" s="304">
        <f t="shared" ca="1" si="191"/>
        <v>75.311568068654296</v>
      </c>
      <c r="P413" s="310">
        <f t="shared" ca="1" si="192"/>
        <v>23</v>
      </c>
      <c r="Q413" s="304">
        <f t="shared" ca="1" si="193"/>
        <v>0</v>
      </c>
      <c r="R413" s="306">
        <f t="shared" ca="1" si="194"/>
        <v>0</v>
      </c>
      <c r="S413" s="307">
        <f t="shared" ca="1" si="195"/>
        <v>7.8079999999999892</v>
      </c>
      <c r="T413" s="304">
        <f t="shared" ca="1" si="175"/>
        <v>76.5964799999999</v>
      </c>
      <c r="U413" s="311">
        <f t="shared" ca="1" si="176"/>
        <v>0</v>
      </c>
      <c r="V413" s="306">
        <f t="shared" ca="1" si="177"/>
        <v>1.1499574956548768</v>
      </c>
      <c r="W413" s="304">
        <f t="shared" ca="1" si="178"/>
        <v>86.429877606692301</v>
      </c>
      <c r="Y413" s="314" t="str">
        <f t="shared" ca="1" si="196"/>
        <v/>
      </c>
      <c r="Z413" s="315" t="str">
        <f t="shared" ca="1" si="197"/>
        <v/>
      </c>
      <c r="AA413" s="316" t="str">
        <f t="shared" ca="1" si="198"/>
        <v/>
      </c>
      <c r="AC413" s="310" t="e">
        <f t="shared" ca="1" si="199"/>
        <v>#N/A</v>
      </c>
      <c r="AD413" s="323" t="e">
        <f t="shared" ca="1" si="200"/>
        <v>#N/A</v>
      </c>
      <c r="AE413" s="324">
        <f t="shared" ca="1" si="179"/>
        <v>631.94818839846982</v>
      </c>
      <c r="AG413" s="306">
        <f t="shared" ca="1" si="201"/>
        <v>-20.886200757053683</v>
      </c>
      <c r="AH413" s="304">
        <f t="shared" ca="1" si="202"/>
        <v>-11.392765772299281</v>
      </c>
    </row>
    <row r="414" spans="1:34" x14ac:dyDescent="0.2">
      <c r="A414" s="347">
        <f t="shared" ca="1" si="180"/>
        <v>0.1</v>
      </c>
      <c r="B414" s="304">
        <f t="shared" ca="1" si="181"/>
        <v>4.9999999999999556</v>
      </c>
      <c r="D414" s="306">
        <f t="shared" ca="1" si="182"/>
        <v>-2.8067864450463063</v>
      </c>
      <c r="E414" s="307">
        <f t="shared" ca="1" si="183"/>
        <v>-20.51764087163177</v>
      </c>
      <c r="F414" s="304">
        <f t="shared" ca="1" si="184"/>
        <v>20.708733352992649</v>
      </c>
      <c r="G414" s="306">
        <f t="shared" ca="1" si="185"/>
        <v>38.231277595455794</v>
      </c>
      <c r="H414" s="307">
        <f t="shared" ca="1" si="186"/>
        <v>144.86792672482912</v>
      </c>
      <c r="I414" s="304">
        <f t="shared" ca="1" si="187"/>
        <v>149.82772366999126</v>
      </c>
      <c r="J414" s="306">
        <f t="shared" ca="1" si="188"/>
        <v>150.73853586173834</v>
      </c>
      <c r="K414" s="307">
        <f t="shared" ca="1" si="189"/>
        <v>646.53756927531094</v>
      </c>
      <c r="L414" s="304">
        <f t="shared" ca="1" si="174"/>
        <v>663.87719849243808</v>
      </c>
      <c r="M414" s="306">
        <f t="shared" ca="1" si="190"/>
        <v>1.312774620400647</v>
      </c>
      <c r="N414" s="304">
        <f t="shared" ca="1" si="191"/>
        <v>75.216445200845811</v>
      </c>
      <c r="P414" s="310">
        <f t="shared" ca="1" si="192"/>
        <v>23</v>
      </c>
      <c r="Q414" s="304">
        <f t="shared" ca="1" si="193"/>
        <v>0</v>
      </c>
      <c r="R414" s="306">
        <f t="shared" ca="1" si="194"/>
        <v>0</v>
      </c>
      <c r="S414" s="307">
        <f t="shared" ca="1" si="195"/>
        <v>7.8079999999999892</v>
      </c>
      <c r="T414" s="304">
        <f t="shared" ca="1" si="175"/>
        <v>76.5964799999999</v>
      </c>
      <c r="U414" s="311">
        <f t="shared" ca="1" si="176"/>
        <v>0</v>
      </c>
      <c r="V414" s="306">
        <f t="shared" ca="1" si="177"/>
        <v>1.1482792888681863</v>
      </c>
      <c r="W414" s="304">
        <f t="shared" ca="1" si="178"/>
        <v>83.983389682112147</v>
      </c>
      <c r="Y414" s="314" t="str">
        <f t="shared" ca="1" si="196"/>
        <v/>
      </c>
      <c r="Z414" s="315" t="str">
        <f t="shared" ca="1" si="197"/>
        <v/>
      </c>
      <c r="AA414" s="316" t="str">
        <f t="shared" ca="1" si="198"/>
        <v/>
      </c>
      <c r="AC414" s="310">
        <f t="shared" ca="1" si="199"/>
        <v>4.9999999999999556</v>
      </c>
      <c r="AD414" s="323">
        <f t="shared" ca="1" si="200"/>
        <v>150.73853586173834</v>
      </c>
      <c r="AE414" s="324">
        <f t="shared" ca="1" si="179"/>
        <v>646.53756927531094</v>
      </c>
      <c r="AG414" s="306">
        <f t="shared" ca="1" si="201"/>
        <v>-20.558799374647037</v>
      </c>
      <c r="AH414" s="304">
        <f t="shared" ca="1" si="202"/>
        <v>-11.069400308234172</v>
      </c>
    </row>
    <row r="415" spans="1:34" x14ac:dyDescent="0.2">
      <c r="A415" s="347">
        <f t="shared" ca="1" si="180"/>
        <v>0.1</v>
      </c>
      <c r="B415" s="304">
        <f t="shared" ca="1" si="181"/>
        <v>5.0999999999999552</v>
      </c>
      <c r="D415" s="306">
        <f t="shared" ca="1" si="182"/>
        <v>-2.7446073667093334</v>
      </c>
      <c r="E415" s="307">
        <f t="shared" ca="1" si="183"/>
        <v>-20.210007635008608</v>
      </c>
      <c r="F415" s="304">
        <f t="shared" ca="1" si="184"/>
        <v>20.395521032925377</v>
      </c>
      <c r="G415" s="306">
        <f t="shared" ca="1" si="185"/>
        <v>37.956816858784862</v>
      </c>
      <c r="H415" s="307">
        <f t="shared" ca="1" si="186"/>
        <v>142.84692596132825</v>
      </c>
      <c r="I415" s="304">
        <f t="shared" ca="1" si="187"/>
        <v>147.80380307235851</v>
      </c>
      <c r="J415" s="306">
        <f t="shared" ca="1" si="188"/>
        <v>154.54794058445037</v>
      </c>
      <c r="K415" s="307">
        <f t="shared" ca="1" si="189"/>
        <v>660.92331190961886</v>
      </c>
      <c r="L415" s="304">
        <f t="shared" ca="1" si="174"/>
        <v>678.75230398465249</v>
      </c>
      <c r="M415" s="306">
        <f t="shared" ca="1" si="190"/>
        <v>1.3110810227750609</v>
      </c>
      <c r="N415" s="304">
        <f t="shared" ca="1" si="191"/>
        <v>75.119409204706358</v>
      </c>
      <c r="P415" s="310">
        <f t="shared" ca="1" si="192"/>
        <v>23</v>
      </c>
      <c r="Q415" s="304">
        <f t="shared" ca="1" si="193"/>
        <v>0</v>
      </c>
      <c r="R415" s="306">
        <f t="shared" ca="1" si="194"/>
        <v>0</v>
      </c>
      <c r="S415" s="307">
        <f t="shared" ca="1" si="195"/>
        <v>7.8079999999999892</v>
      </c>
      <c r="T415" s="304">
        <f t="shared" ca="1" si="175"/>
        <v>76.5964799999999</v>
      </c>
      <c r="U415" s="311">
        <f t="shared" ca="1" si="176"/>
        <v>0</v>
      </c>
      <c r="V415" s="306">
        <f t="shared" ca="1" si="177"/>
        <v>1.1466268271396582</v>
      </c>
      <c r="W415" s="304">
        <f t="shared" ca="1" si="178"/>
        <v>81.612150401073222</v>
      </c>
      <c r="Y415" s="314" t="str">
        <f t="shared" ca="1" si="196"/>
        <v/>
      </c>
      <c r="Z415" s="315" t="str">
        <f t="shared" ca="1" si="197"/>
        <v/>
      </c>
      <c r="AA415" s="316" t="str">
        <f t="shared" ca="1" si="198"/>
        <v/>
      </c>
      <c r="AC415" s="310" t="e">
        <f t="shared" ca="1" si="199"/>
        <v>#N/A</v>
      </c>
      <c r="AD415" s="323" t="e">
        <f t="shared" ca="1" si="200"/>
        <v>#N/A</v>
      </c>
      <c r="AE415" s="324">
        <f t="shared" ca="1" si="179"/>
        <v>660.92331190961886</v>
      </c>
      <c r="AG415" s="306">
        <f t="shared" ca="1" si="201"/>
        <v>-20.241325684048142</v>
      </c>
      <c r="AH415" s="304">
        <f t="shared" ca="1" si="202"/>
        <v>-10.756069375270526</v>
      </c>
    </row>
    <row r="416" spans="1:34" x14ac:dyDescent="0.2">
      <c r="A416" s="347">
        <f t="shared" ca="1" si="180"/>
        <v>0.1</v>
      </c>
      <c r="B416" s="304">
        <f t="shared" ca="1" si="181"/>
        <v>5.1999999999999549</v>
      </c>
      <c r="D416" s="306">
        <f t="shared" ca="1" si="182"/>
        <v>-2.6842267011050969</v>
      </c>
      <c r="E416" s="307">
        <f t="shared" ca="1" si="183"/>
        <v>-19.911835837886834</v>
      </c>
      <c r="F416" s="304">
        <f t="shared" ca="1" si="184"/>
        <v>20.091945635450042</v>
      </c>
      <c r="G416" s="306">
        <f t="shared" ca="1" si="185"/>
        <v>37.688394188674351</v>
      </c>
      <c r="H416" s="307">
        <f t="shared" ca="1" si="186"/>
        <v>140.85574237753957</v>
      </c>
      <c r="I416" s="304">
        <f t="shared" ca="1" si="187"/>
        <v>145.81068279535864</v>
      </c>
      <c r="J416" s="306">
        <f t="shared" ca="1" si="188"/>
        <v>158.33020113682335</v>
      </c>
      <c r="K416" s="307">
        <f t="shared" ca="1" si="189"/>
        <v>675.10844532656222</v>
      </c>
      <c r="L416" s="304">
        <f t="shared" ca="1" si="174"/>
        <v>693.42617887073948</v>
      </c>
      <c r="M416" s="306">
        <f t="shared" ca="1" si="190"/>
        <v>1.3093532602286051</v>
      </c>
      <c r="N416" s="304">
        <f t="shared" ca="1" si="191"/>
        <v>75.020415702793656</v>
      </c>
      <c r="P416" s="310">
        <f t="shared" ca="1" si="192"/>
        <v>23</v>
      </c>
      <c r="Q416" s="304">
        <f t="shared" ca="1" si="193"/>
        <v>0</v>
      </c>
      <c r="R416" s="306">
        <f t="shared" ca="1" si="194"/>
        <v>0</v>
      </c>
      <c r="S416" s="307">
        <f t="shared" ca="1" si="195"/>
        <v>7.8079999999999892</v>
      </c>
      <c r="T416" s="304">
        <f t="shared" ca="1" si="175"/>
        <v>76.5964799999999</v>
      </c>
      <c r="U416" s="311">
        <f t="shared" ca="1" si="176"/>
        <v>0</v>
      </c>
      <c r="V416" s="306">
        <f t="shared" ca="1" si="177"/>
        <v>1.1449996606826045</v>
      </c>
      <c r="W416" s="304">
        <f t="shared" ca="1" si="178"/>
        <v>79.313214220809698</v>
      </c>
      <c r="Y416" s="314" t="str">
        <f t="shared" ca="1" si="196"/>
        <v/>
      </c>
      <c r="Z416" s="315" t="str">
        <f t="shared" ca="1" si="197"/>
        <v/>
      </c>
      <c r="AA416" s="316" t="str">
        <f t="shared" ca="1" si="198"/>
        <v/>
      </c>
      <c r="AC416" s="310" t="e">
        <f t="shared" ca="1" si="199"/>
        <v>#N/A</v>
      </c>
      <c r="AD416" s="323" t="e">
        <f t="shared" ca="1" si="200"/>
        <v>#N/A</v>
      </c>
      <c r="AE416" s="324">
        <f t="shared" ca="1" si="179"/>
        <v>675.10844532656222</v>
      </c>
      <c r="AG416" s="306">
        <f t="shared" ca="1" si="201"/>
        <v>-19.933379113037439</v>
      </c>
      <c r="AH416" s="304">
        <f t="shared" ca="1" si="202"/>
        <v>-10.452375819809598</v>
      </c>
    </row>
    <row r="417" spans="1:34" x14ac:dyDescent="0.2">
      <c r="A417" s="347">
        <f t="shared" ca="1" si="180"/>
        <v>0.1</v>
      </c>
      <c r="B417" s="304">
        <f t="shared" ca="1" si="181"/>
        <v>5.2999999999999545</v>
      </c>
      <c r="D417" s="306">
        <f t="shared" ca="1" si="182"/>
        <v>-2.6255726246686879</v>
      </c>
      <c r="E417" s="307">
        <f t="shared" ca="1" si="183"/>
        <v>-19.622755071559641</v>
      </c>
      <c r="F417" s="304">
        <f t="shared" ca="1" si="184"/>
        <v>19.797629863340443</v>
      </c>
      <c r="G417" s="306">
        <f t="shared" ca="1" si="185"/>
        <v>37.425836926207481</v>
      </c>
      <c r="H417" s="307">
        <f t="shared" ca="1" si="186"/>
        <v>138.89346687038361</v>
      </c>
      <c r="I417" s="304">
        <f t="shared" ca="1" si="187"/>
        <v>143.84744839204282</v>
      </c>
      <c r="J417" s="306">
        <f t="shared" ca="1" si="188"/>
        <v>162.08591269256743</v>
      </c>
      <c r="K417" s="307">
        <f t="shared" ca="1" si="189"/>
        <v>689.09590578895836</v>
      </c>
      <c r="L417" s="304">
        <f t="shared" ca="1" si="174"/>
        <v>707.90183674608977</v>
      </c>
      <c r="M417" s="306">
        <f t="shared" ca="1" si="190"/>
        <v>1.3075905319993728</v>
      </c>
      <c r="N417" s="304">
        <f t="shared" ca="1" si="191"/>
        <v>74.919418814830081</v>
      </c>
      <c r="P417" s="310">
        <f t="shared" ca="1" si="192"/>
        <v>23</v>
      </c>
      <c r="Q417" s="304">
        <f t="shared" ca="1" si="193"/>
        <v>0</v>
      </c>
      <c r="R417" s="306">
        <f t="shared" ca="1" si="194"/>
        <v>0</v>
      </c>
      <c r="S417" s="307">
        <f t="shared" ca="1" si="195"/>
        <v>7.8079999999999892</v>
      </c>
      <c r="T417" s="304">
        <f t="shared" ca="1" si="175"/>
        <v>76.5964799999999</v>
      </c>
      <c r="U417" s="311">
        <f t="shared" ca="1" si="176"/>
        <v>0</v>
      </c>
      <c r="V417" s="306">
        <f t="shared" ca="1" si="177"/>
        <v>1.1433973540037312</v>
      </c>
      <c r="W417" s="304">
        <f t="shared" ca="1" si="178"/>
        <v>77.083781762271286</v>
      </c>
      <c r="Y417" s="314" t="str">
        <f t="shared" ca="1" si="196"/>
        <v/>
      </c>
      <c r="Z417" s="315" t="str">
        <f t="shared" ca="1" si="197"/>
        <v/>
      </c>
      <c r="AA417" s="316" t="str">
        <f t="shared" ca="1" si="198"/>
        <v/>
      </c>
      <c r="AC417" s="310" t="e">
        <f t="shared" ca="1" si="199"/>
        <v>#N/A</v>
      </c>
      <c r="AD417" s="323" t="e">
        <f t="shared" ca="1" si="200"/>
        <v>#N/A</v>
      </c>
      <c r="AE417" s="324">
        <f t="shared" ca="1" si="179"/>
        <v>689.09590578895836</v>
      </c>
      <c r="AG417" s="306">
        <f t="shared" ca="1" si="201"/>
        <v>-19.63457885431286</v>
      </c>
      <c r="AH417" s="304">
        <f t="shared" ca="1" si="202"/>
        <v>-10.157942395083223</v>
      </c>
    </row>
    <row r="418" spans="1:34" x14ac:dyDescent="0.2">
      <c r="A418" s="347">
        <f t="shared" ca="1" si="180"/>
        <v>0.1</v>
      </c>
      <c r="B418" s="304">
        <f t="shared" ca="1" si="181"/>
        <v>5.3999999999999542</v>
      </c>
      <c r="D418" s="306">
        <f t="shared" ca="1" si="182"/>
        <v>-2.5685768662812585</v>
      </c>
      <c r="E418" s="307">
        <f t="shared" ca="1" si="183"/>
        <v>-19.342413305393553</v>
      </c>
      <c r="F418" s="304">
        <f t="shared" ca="1" si="184"/>
        <v>19.512215138078524</v>
      </c>
      <c r="G418" s="306">
        <f t="shared" ca="1" si="185"/>
        <v>37.168979239579357</v>
      </c>
      <c r="H418" s="307">
        <f t="shared" ca="1" si="186"/>
        <v>136.95922553984425</v>
      </c>
      <c r="I418" s="304">
        <f t="shared" ca="1" si="187"/>
        <v>141.91322164684377</v>
      </c>
      <c r="J418" s="306">
        <f t="shared" ca="1" si="188"/>
        <v>165.81565350085677</v>
      </c>
      <c r="K418" s="307">
        <f t="shared" ca="1" si="189"/>
        <v>702.88854040946978</v>
      </c>
      <c r="L418" s="304">
        <f t="shared" ca="1" si="174"/>
        <v>722.18220082252856</v>
      </c>
      <c r="M418" s="306">
        <f t="shared" ca="1" si="190"/>
        <v>1.3057920100578195</v>
      </c>
      <c r="N418" s="304">
        <f t="shared" ca="1" si="191"/>
        <v>74.816371098217402</v>
      </c>
      <c r="P418" s="310">
        <f t="shared" ca="1" si="192"/>
        <v>23</v>
      </c>
      <c r="Q418" s="304">
        <f t="shared" ca="1" si="193"/>
        <v>0</v>
      </c>
      <c r="R418" s="306">
        <f t="shared" ca="1" si="194"/>
        <v>0</v>
      </c>
      <c r="S418" s="307">
        <f t="shared" ca="1" si="195"/>
        <v>7.8079999999999892</v>
      </c>
      <c r="T418" s="304">
        <f t="shared" ca="1" si="175"/>
        <v>76.5964799999999</v>
      </c>
      <c r="U418" s="311">
        <f t="shared" ca="1" si="176"/>
        <v>0</v>
      </c>
      <c r="V418" s="306">
        <f t="shared" ca="1" si="177"/>
        <v>1.1418194853272809</v>
      </c>
      <c r="W418" s="304">
        <f t="shared" ca="1" si="178"/>
        <v>74.921191183178451</v>
      </c>
      <c r="Y418" s="314" t="str">
        <f t="shared" ca="1" si="196"/>
        <v/>
      </c>
      <c r="Z418" s="315" t="str">
        <f t="shared" ca="1" si="197"/>
        <v/>
      </c>
      <c r="AA418" s="316" t="str">
        <f t="shared" ca="1" si="198"/>
        <v/>
      </c>
      <c r="AC418" s="310" t="e">
        <f t="shared" ca="1" si="199"/>
        <v>#N/A</v>
      </c>
      <c r="AD418" s="323" t="e">
        <f t="shared" ca="1" si="200"/>
        <v>#N/A</v>
      </c>
      <c r="AE418" s="324">
        <f t="shared" ca="1" si="179"/>
        <v>702.88854040946978</v>
      </c>
      <c r="AG418" s="306">
        <f t="shared" ca="1" si="201"/>
        <v>-19.344562671504058</v>
      </c>
      <c r="AH418" s="304">
        <f t="shared" ca="1" si="202"/>
        <v>-9.8724105740613979</v>
      </c>
    </row>
    <row r="419" spans="1:34" x14ac:dyDescent="0.2">
      <c r="A419" s="347">
        <f t="shared" ca="1" si="180"/>
        <v>0.1</v>
      </c>
      <c r="B419" s="304">
        <f t="shared" ca="1" si="181"/>
        <v>5.4999999999999538</v>
      </c>
      <c r="D419" s="306">
        <f t="shared" ca="1" si="182"/>
        <v>-2.5131744975622641</v>
      </c>
      <c r="E419" s="307">
        <f t="shared" ca="1" si="183"/>
        <v>-19.070475801985204</v>
      </c>
      <c r="F419" s="304">
        <f t="shared" ca="1" si="184"/>
        <v>19.235360494914062</v>
      </c>
      <c r="G419" s="306">
        <f t="shared" ca="1" si="185"/>
        <v>36.917661789823129</v>
      </c>
      <c r="H419" s="307">
        <f t="shared" ca="1" si="186"/>
        <v>135.05217795964575</v>
      </c>
      <c r="I419" s="304">
        <f t="shared" ca="1" si="187"/>
        <v>140.00715883008121</v>
      </c>
      <c r="J419" s="306">
        <f t="shared" ca="1" si="188"/>
        <v>169.51998555232689</v>
      </c>
      <c r="K419" s="307">
        <f t="shared" ca="1" si="189"/>
        <v>716.48911058444423</v>
      </c>
      <c r="L419" s="304">
        <f t="shared" ca="1" si="174"/>
        <v>736.27010742508696</v>
      </c>
      <c r="M419" s="306">
        <f t="shared" ca="1" si="190"/>
        <v>1.3039568380186455</v>
      </c>
      <c r="N419" s="304">
        <f t="shared" ca="1" si="191"/>
        <v>74.711223485692315</v>
      </c>
      <c r="P419" s="310">
        <f t="shared" ca="1" si="192"/>
        <v>23</v>
      </c>
      <c r="Q419" s="304">
        <f t="shared" ca="1" si="193"/>
        <v>0</v>
      </c>
      <c r="R419" s="306">
        <f t="shared" ca="1" si="194"/>
        <v>0</v>
      </c>
      <c r="S419" s="307">
        <f t="shared" ca="1" si="195"/>
        <v>7.8079999999999892</v>
      </c>
      <c r="T419" s="304">
        <f t="shared" ca="1" si="175"/>
        <v>76.5964799999999</v>
      </c>
      <c r="U419" s="311">
        <f t="shared" ca="1" si="176"/>
        <v>0</v>
      </c>
      <c r="V419" s="306">
        <f t="shared" ca="1" si="177"/>
        <v>1.1402656460483442</v>
      </c>
      <c r="W419" s="304">
        <f t="shared" ca="1" si="178"/>
        <v>72.82291014251264</v>
      </c>
      <c r="Y419" s="314" t="str">
        <f t="shared" ca="1" si="196"/>
        <v/>
      </c>
      <c r="Z419" s="315" t="str">
        <f t="shared" ca="1" si="197"/>
        <v/>
      </c>
      <c r="AA419" s="316" t="str">
        <f t="shared" ca="1" si="198"/>
        <v/>
      </c>
      <c r="AC419" s="310" t="e">
        <f t="shared" ca="1" si="199"/>
        <v>#N/A</v>
      </c>
      <c r="AD419" s="323" t="e">
        <f t="shared" ca="1" si="200"/>
        <v>#N/A</v>
      </c>
      <c r="AE419" s="324">
        <f t="shared" ca="1" si="179"/>
        <v>716.48911058444423</v>
      </c>
      <c r="AG419" s="306">
        <f t="shared" ca="1" si="201"/>
        <v>-19.062985787002837</v>
      </c>
      <c r="AH419" s="304">
        <f t="shared" ca="1" si="202"/>
        <v>-9.5954394445669262</v>
      </c>
    </row>
    <row r="420" spans="1:34" x14ac:dyDescent="0.2">
      <c r="A420" s="347">
        <f t="shared" ca="1" si="180"/>
        <v>0.1</v>
      </c>
      <c r="B420" s="304">
        <f t="shared" ca="1" si="181"/>
        <v>5.5999999999999535</v>
      </c>
      <c r="D420" s="306">
        <f t="shared" ca="1" si="182"/>
        <v>-2.4593037375521236</v>
      </c>
      <c r="E420" s="307">
        <f t="shared" ca="1" si="183"/>
        <v>-18.806624106683508</v>
      </c>
      <c r="F420" s="304">
        <f t="shared" ca="1" si="184"/>
        <v>18.966741553667752</v>
      </c>
      <c r="G420" s="306">
        <f t="shared" ca="1" si="185"/>
        <v>36.671731416067914</v>
      </c>
      <c r="H420" s="307">
        <f t="shared" ca="1" si="186"/>
        <v>133.1715155489774</v>
      </c>
      <c r="I420" s="304">
        <f t="shared" ca="1" si="187"/>
        <v>138.12844905617291</v>
      </c>
      <c r="J420" s="306">
        <f t="shared" ca="1" si="188"/>
        <v>173.19945521262144</v>
      </c>
      <c r="K420" s="307">
        <f t="shared" ca="1" si="189"/>
        <v>729.90029525987541</v>
      </c>
      <c r="L420" s="304">
        <f t="shared" ca="1" si="174"/>
        <v>750.16830931891695</v>
      </c>
      <c r="M420" s="306">
        <f t="shared" ca="1" si="190"/>
        <v>1.3020841300000872</v>
      </c>
      <c r="N420" s="304">
        <f t="shared" ca="1" si="191"/>
        <v>74.603925219968616</v>
      </c>
      <c r="P420" s="310">
        <f t="shared" ca="1" si="192"/>
        <v>23</v>
      </c>
      <c r="Q420" s="304">
        <f t="shared" ca="1" si="193"/>
        <v>0</v>
      </c>
      <c r="R420" s="306">
        <f t="shared" ca="1" si="194"/>
        <v>0</v>
      </c>
      <c r="S420" s="307">
        <f t="shared" ca="1" si="195"/>
        <v>7.8079999999999892</v>
      </c>
      <c r="T420" s="304">
        <f t="shared" ca="1" si="175"/>
        <v>76.5964799999999</v>
      </c>
      <c r="U420" s="311">
        <f t="shared" ca="1" si="176"/>
        <v>0</v>
      </c>
      <c r="V420" s="306">
        <f t="shared" ca="1" si="177"/>
        <v>1.1387354402135934</v>
      </c>
      <c r="W420" s="304">
        <f t="shared" ca="1" si="178"/>
        <v>70.786528310430285</v>
      </c>
      <c r="Y420" s="314" t="str">
        <f t="shared" ca="1" si="196"/>
        <v/>
      </c>
      <c r="Z420" s="315" t="str">
        <f t="shared" ca="1" si="197"/>
        <v/>
      </c>
      <c r="AA420" s="316" t="str">
        <f t="shared" ca="1" si="198"/>
        <v/>
      </c>
      <c r="AC420" s="310" t="e">
        <f t="shared" ca="1" si="199"/>
        <v>#N/A</v>
      </c>
      <c r="AD420" s="323" t="e">
        <f t="shared" ca="1" si="200"/>
        <v>#N/A</v>
      </c>
      <c r="AE420" s="324">
        <f t="shared" ca="1" si="179"/>
        <v>729.90029525987541</v>
      </c>
      <c r="AG420" s="306">
        <f t="shared" ca="1" si="201"/>
        <v>-18.789519845125021</v>
      </c>
      <c r="AH420" s="304">
        <f t="shared" ca="1" si="202"/>
        <v>-9.3267046801373894</v>
      </c>
    </row>
    <row r="421" spans="1:34" x14ac:dyDescent="0.2">
      <c r="A421" s="347">
        <f t="shared" ca="1" si="180"/>
        <v>0.1</v>
      </c>
      <c r="B421" s="304">
        <f t="shared" ca="1" si="181"/>
        <v>5.6999999999999531</v>
      </c>
      <c r="D421" s="306">
        <f t="shared" ca="1" si="182"/>
        <v>-2.4069057706666417</v>
      </c>
      <c r="E421" s="307">
        <f t="shared" ca="1" si="183"/>
        <v>-18.550555105691398</v>
      </c>
      <c r="F421" s="304">
        <f t="shared" ca="1" si="184"/>
        <v>18.706049559384834</v>
      </c>
      <c r="G421" s="306">
        <f t="shared" ca="1" si="185"/>
        <v>36.431040839001248</v>
      </c>
      <c r="H421" s="307">
        <f t="shared" ca="1" si="186"/>
        <v>131.31646003840825</v>
      </c>
      <c r="I421" s="304">
        <f t="shared" ca="1" si="187"/>
        <v>136.27631273861152</v>
      </c>
      <c r="J421" s="306">
        <f t="shared" ca="1" si="188"/>
        <v>176.85459382537491</v>
      </c>
      <c r="K421" s="307">
        <f t="shared" ca="1" si="189"/>
        <v>743.12469403924467</v>
      </c>
      <c r="L421" s="304">
        <f t="shared" ca="1" si="174"/>
        <v>763.87947887612438</v>
      </c>
      <c r="M421" s="306">
        <f t="shared" ca="1" si="190"/>
        <v>1.3001729694277588</v>
      </c>
      <c r="N421" s="304">
        <f t="shared" ca="1" si="191"/>
        <v>74.4944237852024</v>
      </c>
      <c r="P421" s="310">
        <f t="shared" ca="1" si="192"/>
        <v>23</v>
      </c>
      <c r="Q421" s="304">
        <f t="shared" ca="1" si="193"/>
        <v>0</v>
      </c>
      <c r="R421" s="306">
        <f t="shared" ca="1" si="194"/>
        <v>0</v>
      </c>
      <c r="S421" s="307">
        <f t="shared" ca="1" si="195"/>
        <v>7.8079999999999892</v>
      </c>
      <c r="T421" s="304">
        <f t="shared" ca="1" si="175"/>
        <v>76.5964799999999</v>
      </c>
      <c r="U421" s="311">
        <f t="shared" ca="1" si="176"/>
        <v>0</v>
      </c>
      <c r="V421" s="306">
        <f t="shared" ca="1" si="177"/>
        <v>1.1372284840278026</v>
      </c>
      <c r="W421" s="304">
        <f t="shared" ca="1" si="178"/>
        <v>68.809750381586809</v>
      </c>
      <c r="Y421" s="314" t="str">
        <f t="shared" ca="1" si="196"/>
        <v/>
      </c>
      <c r="Z421" s="315" t="str">
        <f t="shared" ca="1" si="197"/>
        <v/>
      </c>
      <c r="AA421" s="316" t="str">
        <f t="shared" ca="1" si="198"/>
        <v/>
      </c>
      <c r="AC421" s="310" t="e">
        <f t="shared" ca="1" si="199"/>
        <v>#N/A</v>
      </c>
      <c r="AD421" s="323" t="e">
        <f t="shared" ca="1" si="200"/>
        <v>#N/A</v>
      </c>
      <c r="AE421" s="324">
        <f t="shared" ca="1" si="179"/>
        <v>743.12469403924467</v>
      </c>
      <c r="AG421" s="306">
        <f t="shared" ca="1" si="201"/>
        <v>-18.523851944684303</v>
      </c>
      <c r="AH421" s="304">
        <f t="shared" ca="1" si="202"/>
        <v>-9.0658975807415967</v>
      </c>
    </row>
    <row r="422" spans="1:34" x14ac:dyDescent="0.2">
      <c r="A422" s="347">
        <f t="shared" ca="1" si="180"/>
        <v>0.1</v>
      </c>
      <c r="B422" s="304">
        <f t="shared" ca="1" si="181"/>
        <v>5.7999999999999527</v>
      </c>
      <c r="D422" s="306">
        <f t="shared" ca="1" si="182"/>
        <v>-2.3559245769019093</v>
      </c>
      <c r="E422" s="307">
        <f t="shared" ca="1" si="183"/>
        <v>-18.301980147463851</v>
      </c>
      <c r="F422" s="304">
        <f t="shared" ca="1" si="184"/>
        <v>18.452990487457889</v>
      </c>
      <c r="G422" s="306">
        <f t="shared" ca="1" si="185"/>
        <v>36.19544838131106</v>
      </c>
      <c r="H422" s="307">
        <f t="shared" ca="1" si="186"/>
        <v>129.48626202366188</v>
      </c>
      <c r="I422" s="304">
        <f t="shared" ca="1" si="187"/>
        <v>134.45000013530893</v>
      </c>
      <c r="J422" s="306">
        <f t="shared" ca="1" si="188"/>
        <v>180.48591828639053</v>
      </c>
      <c r="K422" s="307">
        <f t="shared" ca="1" si="189"/>
        <v>756.16483014234814</v>
      </c>
      <c r="L422" s="304">
        <f t="shared" ca="1" si="174"/>
        <v>777.40621109165829</v>
      </c>
      <c r="M422" s="306">
        <f t="shared" ca="1" si="190"/>
        <v>1.2982224077800182</v>
      </c>
      <c r="N422" s="304">
        <f t="shared" ca="1" si="191"/>
        <v>74.382664835106766</v>
      </c>
      <c r="P422" s="310">
        <f t="shared" ca="1" si="192"/>
        <v>23</v>
      </c>
      <c r="Q422" s="304">
        <f t="shared" ca="1" si="193"/>
        <v>0</v>
      </c>
      <c r="R422" s="306">
        <f t="shared" ca="1" si="194"/>
        <v>0</v>
      </c>
      <c r="S422" s="307">
        <f t="shared" ca="1" si="195"/>
        <v>7.8079999999999892</v>
      </c>
      <c r="T422" s="304">
        <f t="shared" ca="1" si="175"/>
        <v>76.5964799999999</v>
      </c>
      <c r="U422" s="311">
        <f t="shared" ca="1" si="176"/>
        <v>0</v>
      </c>
      <c r="V422" s="306">
        <f t="shared" ca="1" si="177"/>
        <v>1.1357444053846413</v>
      </c>
      <c r="W422" s="304">
        <f t="shared" ca="1" si="178"/>
        <v>66.890389553473625</v>
      </c>
      <c r="Y422" s="314" t="str">
        <f t="shared" ca="1" si="196"/>
        <v/>
      </c>
      <c r="Z422" s="315" t="str">
        <f t="shared" ca="1" si="197"/>
        <v/>
      </c>
      <c r="AA422" s="316" t="str">
        <f t="shared" ca="1" si="198"/>
        <v/>
      </c>
      <c r="AC422" s="310" t="e">
        <f t="shared" ca="1" si="199"/>
        <v>#N/A</v>
      </c>
      <c r="AD422" s="323" t="e">
        <f t="shared" ca="1" si="200"/>
        <v>#N/A</v>
      </c>
      <c r="AE422" s="324">
        <f t="shared" ca="1" si="179"/>
        <v>756.16483014234814</v>
      </c>
      <c r="AG422" s="306">
        <f t="shared" ca="1" si="201"/>
        <v>-18.265683735568466</v>
      </c>
      <c r="AH422" s="304">
        <f t="shared" ca="1" si="202"/>
        <v>-8.8127241779696348</v>
      </c>
    </row>
    <row r="423" spans="1:34" x14ac:dyDescent="0.2">
      <c r="A423" s="347">
        <f t="shared" ca="1" si="180"/>
        <v>0.1</v>
      </c>
      <c r="B423" s="304">
        <f t="shared" ca="1" si="181"/>
        <v>5.8999999999999524</v>
      </c>
      <c r="D423" s="306">
        <f t="shared" ca="1" si="182"/>
        <v>-2.3063067733563418</v>
      </c>
      <c r="E423" s="307">
        <f t="shared" ca="1" si="183"/>
        <v>-18.060624222573821</v>
      </c>
      <c r="F423" s="304">
        <f t="shared" ca="1" si="184"/>
        <v>18.207284208301072</v>
      </c>
      <c r="G423" s="306">
        <f t="shared" ca="1" si="185"/>
        <v>35.964817703975427</v>
      </c>
      <c r="H423" s="307">
        <f t="shared" ca="1" si="186"/>
        <v>127.6801996014045</v>
      </c>
      <c r="I423" s="304">
        <f t="shared" ca="1" si="187"/>
        <v>132.64878997840378</v>
      </c>
      <c r="J423" s="306">
        <f t="shared" ca="1" si="188"/>
        <v>184.09393159065485</v>
      </c>
      <c r="K423" s="307">
        <f t="shared" ca="1" si="189"/>
        <v>769.02315322360141</v>
      </c>
      <c r="L423" s="304">
        <f t="shared" ca="1" si="174"/>
        <v>790.75102645679533</v>
      </c>
      <c r="M423" s="306">
        <f t="shared" ca="1" si="190"/>
        <v>1.2962314632716432</v>
      </c>
      <c r="N423" s="304">
        <f t="shared" ca="1" si="191"/>
        <v>74.268592117532137</v>
      </c>
      <c r="P423" s="310">
        <f t="shared" ca="1" si="192"/>
        <v>23</v>
      </c>
      <c r="Q423" s="304">
        <f t="shared" ca="1" si="193"/>
        <v>0</v>
      </c>
      <c r="R423" s="306">
        <f t="shared" ca="1" si="194"/>
        <v>0</v>
      </c>
      <c r="S423" s="307">
        <f t="shared" ca="1" si="195"/>
        <v>7.8079999999999892</v>
      </c>
      <c r="T423" s="304">
        <f t="shared" ca="1" si="175"/>
        <v>76.5964799999999</v>
      </c>
      <c r="U423" s="311">
        <f t="shared" ca="1" si="176"/>
        <v>0</v>
      </c>
      <c r="V423" s="306">
        <f t="shared" ca="1" si="177"/>
        <v>1.1342828434203276</v>
      </c>
      <c r="W423" s="304">
        <f t="shared" ca="1" si="178"/>
        <v>65.026361434641899</v>
      </c>
      <c r="Y423" s="314" t="str">
        <f t="shared" ca="1" si="196"/>
        <v/>
      </c>
      <c r="Z423" s="315" t="str">
        <f t="shared" ca="1" si="197"/>
        <v/>
      </c>
      <c r="AA423" s="316" t="str">
        <f t="shared" ca="1" si="198"/>
        <v/>
      </c>
      <c r="AC423" s="310" t="e">
        <f t="shared" ca="1" si="199"/>
        <v>#N/A</v>
      </c>
      <c r="AD423" s="323" t="e">
        <f t="shared" ca="1" si="200"/>
        <v>#N/A</v>
      </c>
      <c r="AE423" s="324">
        <f t="shared" ca="1" si="179"/>
        <v>769.02315322360141</v>
      </c>
      <c r="AG423" s="306">
        <f t="shared" ca="1" si="201"/>
        <v>-18.014730574369818</v>
      </c>
      <c r="AH423" s="304">
        <f t="shared" ca="1" si="202"/>
        <v>-8.5669043997789078</v>
      </c>
    </row>
    <row r="424" spans="1:34" x14ac:dyDescent="0.2">
      <c r="A424" s="347">
        <f t="shared" ca="1" si="180"/>
        <v>0.1</v>
      </c>
      <c r="B424" s="304">
        <f t="shared" ca="1" si="181"/>
        <v>5.999999999999952</v>
      </c>
      <c r="D424" s="306">
        <f t="shared" ca="1" si="182"/>
        <v>-2.2580014662160992</v>
      </c>
      <c r="E424" s="307">
        <f t="shared" ca="1" si="183"/>
        <v>-17.826225197628844</v>
      </c>
      <c r="F424" s="304">
        <f t="shared" ca="1" si="184"/>
        <v>17.968663707076594</v>
      </c>
      <c r="G424" s="306">
        <f t="shared" ca="1" si="185"/>
        <v>35.739017557353819</v>
      </c>
      <c r="H424" s="307">
        <f t="shared" ca="1" si="186"/>
        <v>125.89757708164161</v>
      </c>
      <c r="I424" s="304">
        <f t="shared" ca="1" si="187"/>
        <v>130.87198818308192</v>
      </c>
      <c r="J424" s="306">
        <f t="shared" ca="1" si="188"/>
        <v>187.67912335372131</v>
      </c>
      <c r="K424" s="307">
        <f t="shared" ca="1" si="189"/>
        <v>781.70204205775372</v>
      </c>
      <c r="L424" s="304">
        <f t="shared" ca="1" si="174"/>
        <v>803.91637369821217</v>
      </c>
      <c r="M424" s="306">
        <f t="shared" ca="1" si="190"/>
        <v>1.2941991194724103</v>
      </c>
      <c r="N424" s="304">
        <f t="shared" ca="1" si="191"/>
        <v>74.152147395316504</v>
      </c>
      <c r="P424" s="310">
        <f t="shared" ca="1" si="192"/>
        <v>23</v>
      </c>
      <c r="Q424" s="304">
        <f t="shared" ca="1" si="193"/>
        <v>0</v>
      </c>
      <c r="R424" s="306">
        <f t="shared" ca="1" si="194"/>
        <v>0</v>
      </c>
      <c r="S424" s="307">
        <f t="shared" ca="1" si="195"/>
        <v>7.8079999999999892</v>
      </c>
      <c r="T424" s="304">
        <f t="shared" ca="1" si="175"/>
        <v>76.5964799999999</v>
      </c>
      <c r="U424" s="311">
        <f t="shared" ca="1" si="176"/>
        <v>0</v>
      </c>
      <c r="V424" s="306">
        <f t="shared" ca="1" si="177"/>
        <v>1.1328434480888236</v>
      </c>
      <c r="W424" s="304">
        <f t="shared" ca="1" si="178"/>
        <v>63.215678350652389</v>
      </c>
      <c r="Y424" s="314" t="str">
        <f t="shared" ca="1" si="196"/>
        <v/>
      </c>
      <c r="Z424" s="315" t="str">
        <f t="shared" ca="1" si="197"/>
        <v/>
      </c>
      <c r="AA424" s="316" t="str">
        <f t="shared" ca="1" si="198"/>
        <v/>
      </c>
      <c r="AC424" s="310">
        <f t="shared" ca="1" si="199"/>
        <v>5.999999999999952</v>
      </c>
      <c r="AD424" s="323">
        <f t="shared" ca="1" si="200"/>
        <v>187.67912335372131</v>
      </c>
      <c r="AE424" s="324">
        <f t="shared" ca="1" si="179"/>
        <v>781.70204205775372</v>
      </c>
      <c r="AG424" s="306">
        <f t="shared" ca="1" si="201"/>
        <v>-17.770720734538088</v>
      </c>
      <c r="AH424" s="304">
        <f t="shared" ca="1" si="202"/>
        <v>-8.3281712902973855</v>
      </c>
    </row>
    <row r="425" spans="1:34" x14ac:dyDescent="0.2">
      <c r="A425" s="347">
        <f t="shared" ca="1" si="180"/>
        <v>0.1</v>
      </c>
      <c r="B425" s="304">
        <f t="shared" ca="1" si="181"/>
        <v>6.0999999999999517</v>
      </c>
      <c r="D425" s="306">
        <f t="shared" ca="1" si="182"/>
        <v>-2.2109601124223164</v>
      </c>
      <c r="E425" s="307">
        <f t="shared" ca="1" si="183"/>
        <v>-17.59853309919394</v>
      </c>
      <c r="F425" s="304">
        <f t="shared" ca="1" si="184"/>
        <v>17.736874354354185</v>
      </c>
      <c r="G425" s="306">
        <f t="shared" ca="1" si="185"/>
        <v>35.517921546111587</v>
      </c>
      <c r="H425" s="307">
        <f t="shared" ca="1" si="186"/>
        <v>124.13772377172222</v>
      </c>
      <c r="I425" s="304">
        <f t="shared" ca="1" si="187"/>
        <v>129.11892663037494</v>
      </c>
      <c r="J425" s="306">
        <f t="shared" ca="1" si="188"/>
        <v>191.24197030889457</v>
      </c>
      <c r="K425" s="307">
        <f t="shared" ca="1" si="189"/>
        <v>794.20380710042195</v>
      </c>
      <c r="L425" s="304">
        <f t="shared" ca="1" si="174"/>
        <v>816.90463239011706</v>
      </c>
      <c r="M425" s="306">
        <f t="shared" ca="1" si="190"/>
        <v>1.2921243238569542</v>
      </c>
      <c r="N425" s="304">
        <f t="shared" ca="1" si="191"/>
        <v>74.033270363198625</v>
      </c>
      <c r="P425" s="310">
        <f t="shared" ca="1" si="192"/>
        <v>23</v>
      </c>
      <c r="Q425" s="304">
        <f t="shared" ca="1" si="193"/>
        <v>0</v>
      </c>
      <c r="R425" s="306">
        <f t="shared" ca="1" si="194"/>
        <v>0</v>
      </c>
      <c r="S425" s="307">
        <f t="shared" ca="1" si="195"/>
        <v>7.8079999999999892</v>
      </c>
      <c r="T425" s="304">
        <f t="shared" ca="1" si="175"/>
        <v>76.5964799999999</v>
      </c>
      <c r="U425" s="311">
        <f t="shared" ca="1" si="176"/>
        <v>0</v>
      </c>
      <c r="V425" s="306">
        <f t="shared" ca="1" si="177"/>
        <v>1.1314258797573382</v>
      </c>
      <c r="W425" s="304">
        <f t="shared" ca="1" si="178"/>
        <v>61.456444018279022</v>
      </c>
      <c r="Y425" s="314" t="str">
        <f t="shared" ca="1" si="196"/>
        <v/>
      </c>
      <c r="Z425" s="315" t="str">
        <f t="shared" ca="1" si="197"/>
        <v/>
      </c>
      <c r="AA425" s="316" t="str">
        <f t="shared" ca="1" si="198"/>
        <v/>
      </c>
      <c r="AC425" s="310" t="e">
        <f t="shared" ca="1" si="199"/>
        <v>#N/A</v>
      </c>
      <c r="AD425" s="323" t="e">
        <f t="shared" ca="1" si="200"/>
        <v>#N/A</v>
      </c>
      <c r="AE425" s="324">
        <f t="shared" ca="1" si="179"/>
        <v>794.20380710042195</v>
      </c>
      <c r="AG425" s="306">
        <f t="shared" ca="1" si="201"/>
        <v>-17.533394666901618</v>
      </c>
      <c r="AH425" s="304">
        <f t="shared" ca="1" si="202"/>
        <v>-8.0962702805651219</v>
      </c>
    </row>
    <row r="426" spans="1:34" x14ac:dyDescent="0.2">
      <c r="A426" s="347">
        <f t="shared" ca="1" si="180"/>
        <v>0.1</v>
      </c>
      <c r="B426" s="304">
        <f t="shared" ca="1" si="181"/>
        <v>6.1999999999999513</v>
      </c>
      <c r="D426" s="306">
        <f t="shared" ca="1" si="182"/>
        <v>-2.1651363903039891</v>
      </c>
      <c r="E426" s="307">
        <f t="shared" ca="1" si="183"/>
        <v>-17.37730944401461</v>
      </c>
      <c r="F426" s="304">
        <f t="shared" ca="1" si="184"/>
        <v>17.511673223928604</v>
      </c>
      <c r="G426" s="306">
        <f t="shared" ca="1" si="185"/>
        <v>35.301407907081192</v>
      </c>
      <c r="H426" s="307">
        <f t="shared" ca="1" si="186"/>
        <v>122.39999282732076</v>
      </c>
      <c r="I426" s="304">
        <f t="shared" ca="1" si="187"/>
        <v>127.38896201928293</v>
      </c>
      <c r="J426" s="306">
        <f t="shared" ca="1" si="188"/>
        <v>194.78293678155421</v>
      </c>
      <c r="K426" s="307">
        <f t="shared" ca="1" si="189"/>
        <v>806.53069293037413</v>
      </c>
      <c r="L426" s="304">
        <f t="shared" ca="1" si="174"/>
        <v>829.71811544644265</v>
      </c>
      <c r="M426" s="306">
        <f t="shared" ca="1" si="190"/>
        <v>1.2900059862820632</v>
      </c>
      <c r="N426" s="304">
        <f t="shared" ca="1" si="191"/>
        <v>73.911898560573391</v>
      </c>
      <c r="P426" s="310">
        <f t="shared" ca="1" si="192"/>
        <v>23</v>
      </c>
      <c r="Q426" s="304">
        <f t="shared" ca="1" si="193"/>
        <v>0</v>
      </c>
      <c r="R426" s="306">
        <f t="shared" ca="1" si="194"/>
        <v>0</v>
      </c>
      <c r="S426" s="307">
        <f t="shared" ca="1" si="195"/>
        <v>7.8079999999999892</v>
      </c>
      <c r="T426" s="304">
        <f t="shared" ca="1" si="175"/>
        <v>76.5964799999999</v>
      </c>
      <c r="U426" s="311">
        <f t="shared" ca="1" si="176"/>
        <v>0</v>
      </c>
      <c r="V426" s="306">
        <f t="shared" ca="1" si="177"/>
        <v>1.1300298088209961</v>
      </c>
      <c r="W426" s="304">
        <f t="shared" ca="1" si="178"/>
        <v>59.746848560934836</v>
      </c>
      <c r="Y426" s="314" t="str">
        <f t="shared" ca="1" si="196"/>
        <v/>
      </c>
      <c r="Z426" s="315" t="str">
        <f t="shared" ca="1" si="197"/>
        <v/>
      </c>
      <c r="AA426" s="316" t="str">
        <f t="shared" ca="1" si="198"/>
        <v/>
      </c>
      <c r="AC426" s="310" t="e">
        <f t="shared" ca="1" si="199"/>
        <v>#N/A</v>
      </c>
      <c r="AD426" s="323" t="e">
        <f t="shared" ca="1" si="200"/>
        <v>#N/A</v>
      </c>
      <c r="AE426" s="324">
        <f t="shared" ca="1" si="179"/>
        <v>806.53069293037413</v>
      </c>
      <c r="AG426" s="306">
        <f t="shared" ca="1" si="201"/>
        <v>-17.302504306744382</v>
      </c>
      <c r="AH426" s="304">
        <f t="shared" ca="1" si="202"/>
        <v>-7.8709585064394352</v>
      </c>
    </row>
    <row r="427" spans="1:34" x14ac:dyDescent="0.2">
      <c r="A427" s="347">
        <f t="shared" ca="1" si="180"/>
        <v>0.1</v>
      </c>
      <c r="B427" s="304">
        <f t="shared" ca="1" si="181"/>
        <v>6.299999999999951</v>
      </c>
      <c r="D427" s="306">
        <f t="shared" ca="1" si="182"/>
        <v>-2.1204860785197988</v>
      </c>
      <c r="E427" s="307">
        <f t="shared" ca="1" si="183"/>
        <v>-17.162326612140408</v>
      </c>
      <c r="F427" s="304">
        <f t="shared" ca="1" si="184"/>
        <v>17.292828454332714</v>
      </c>
      <c r="G427" s="306">
        <f t="shared" ca="1" si="185"/>
        <v>35.089359299229208</v>
      </c>
      <c r="H427" s="307">
        <f t="shared" ca="1" si="186"/>
        <v>120.68376016610672</v>
      </c>
      <c r="I427" s="304">
        <f t="shared" ca="1" si="187"/>
        <v>125.68147478391862</v>
      </c>
      <c r="J427" s="306">
        <f t="shared" ca="1" si="188"/>
        <v>198.30247514186973</v>
      </c>
      <c r="K427" s="307">
        <f t="shared" ca="1" si="189"/>
        <v>818.6848805800455</v>
      </c>
      <c r="L427" s="304">
        <f t="shared" ca="1" si="174"/>
        <v>842.35907149965158</v>
      </c>
      <c r="M427" s="306">
        <f t="shared" ca="1" si="190"/>
        <v>1.2878429773873314</v>
      </c>
      <c r="N427" s="304">
        <f t="shared" ca="1" si="191"/>
        <v>73.787967279856005</v>
      </c>
      <c r="P427" s="310">
        <f t="shared" ca="1" si="192"/>
        <v>23</v>
      </c>
      <c r="Q427" s="304">
        <f t="shared" ca="1" si="193"/>
        <v>0</v>
      </c>
      <c r="R427" s="306">
        <f t="shared" ca="1" si="194"/>
        <v>0</v>
      </c>
      <c r="S427" s="307">
        <f t="shared" ca="1" si="195"/>
        <v>7.8079999999999892</v>
      </c>
      <c r="T427" s="304">
        <f t="shared" ca="1" si="175"/>
        <v>76.5964799999999</v>
      </c>
      <c r="U427" s="311">
        <f t="shared" ca="1" si="176"/>
        <v>0</v>
      </c>
      <c r="V427" s="306">
        <f t="shared" ca="1" si="177"/>
        <v>1.128654915335592</v>
      </c>
      <c r="W427" s="304">
        <f t="shared" ca="1" si="178"/>
        <v>58.085163840506517</v>
      </c>
      <c r="Y427" s="314" t="str">
        <f t="shared" ca="1" si="196"/>
        <v/>
      </c>
      <c r="Z427" s="315" t="str">
        <f t="shared" ca="1" si="197"/>
        <v/>
      </c>
      <c r="AA427" s="316" t="str">
        <f t="shared" ca="1" si="198"/>
        <v/>
      </c>
      <c r="AC427" s="310" t="e">
        <f t="shared" ca="1" si="199"/>
        <v>#N/A</v>
      </c>
      <c r="AD427" s="323" t="e">
        <f t="shared" ca="1" si="200"/>
        <v>#N/A</v>
      </c>
      <c r="AE427" s="324">
        <f t="shared" ca="1" si="179"/>
        <v>818.6848805800455</v>
      </c>
      <c r="AG427" s="306">
        <f t="shared" ca="1" si="201"/>
        <v>-17.07781242393612</v>
      </c>
      <c r="AH427" s="304">
        <f t="shared" ca="1" si="202"/>
        <v>-7.6520041702017059</v>
      </c>
    </row>
    <row r="428" spans="1:34" x14ac:dyDescent="0.2">
      <c r="A428" s="347">
        <f t="shared" ca="1" si="180"/>
        <v>0.1</v>
      </c>
      <c r="B428" s="304">
        <f t="shared" ca="1" si="181"/>
        <v>6.3999999999999506</v>
      </c>
      <c r="D428" s="306">
        <f t="shared" ca="1" si="182"/>
        <v>-2.0769669427060942</v>
      </c>
      <c r="E428" s="307">
        <f t="shared" ca="1" si="183"/>
        <v>-16.953367259828546</v>
      </c>
      <c r="F428" s="304">
        <f t="shared" ca="1" si="184"/>
        <v>17.08011865086775</v>
      </c>
      <c r="G428" s="306">
        <f t="shared" ca="1" si="185"/>
        <v>34.881662604958599</v>
      </c>
      <c r="H428" s="307">
        <f t="shared" ca="1" si="186"/>
        <v>118.98842344012387</v>
      </c>
      <c r="I428" s="304">
        <f t="shared" ca="1" si="187"/>
        <v>123.99586807169175</v>
      </c>
      <c r="J428" s="306">
        <f t="shared" ca="1" si="188"/>
        <v>201.80102623707913</v>
      </c>
      <c r="K428" s="307">
        <f t="shared" ca="1" si="189"/>
        <v>830.66848976035703</v>
      </c>
      <c r="L428" s="304">
        <f t="shared" ca="1" si="174"/>
        <v>854.82968717229915</v>
      </c>
      <c r="M428" s="306">
        <f t="shared" ca="1" si="190"/>
        <v>1.2856341269148284</v>
      </c>
      <c r="N428" s="304">
        <f t="shared" ca="1" si="191"/>
        <v>73.661409470206095</v>
      </c>
      <c r="P428" s="310">
        <f t="shared" ca="1" si="192"/>
        <v>23</v>
      </c>
      <c r="Q428" s="304">
        <f t="shared" ca="1" si="193"/>
        <v>0</v>
      </c>
      <c r="R428" s="306">
        <f t="shared" ca="1" si="194"/>
        <v>0</v>
      </c>
      <c r="S428" s="307">
        <f t="shared" ca="1" si="195"/>
        <v>7.8079999999999892</v>
      </c>
      <c r="T428" s="304">
        <f t="shared" ca="1" si="175"/>
        <v>76.5964799999999</v>
      </c>
      <c r="U428" s="311">
        <f t="shared" ca="1" si="176"/>
        <v>0</v>
      </c>
      <c r="V428" s="306">
        <f t="shared" ca="1" si="177"/>
        <v>1.1273008886674341</v>
      </c>
      <c r="W428" s="304">
        <f t="shared" ca="1" si="178"/>
        <v>56.469739082800785</v>
      </c>
      <c r="Y428" s="314" t="str">
        <f t="shared" ca="1" si="196"/>
        <v/>
      </c>
      <c r="Z428" s="315" t="str">
        <f t="shared" ca="1" si="197"/>
        <v/>
      </c>
      <c r="AA428" s="316" t="str">
        <f t="shared" ca="1" si="198"/>
        <v/>
      </c>
      <c r="AC428" s="310" t="e">
        <f t="shared" ca="1" si="199"/>
        <v>#N/A</v>
      </c>
      <c r="AD428" s="323" t="e">
        <f t="shared" ca="1" si="200"/>
        <v>#N/A</v>
      </c>
      <c r="AE428" s="324">
        <f t="shared" ca="1" si="179"/>
        <v>830.66848976035703</v>
      </c>
      <c r="AG428" s="306">
        <f t="shared" ca="1" si="201"/>
        <v>-16.85909201289407</v>
      </c>
      <c r="AH428" s="304">
        <f t="shared" ca="1" si="202"/>
        <v>-7.4391859426878328</v>
      </c>
    </row>
    <row r="429" spans="1:34" x14ac:dyDescent="0.2">
      <c r="A429" s="347">
        <f t="shared" ca="1" si="180"/>
        <v>0.1</v>
      </c>
      <c r="B429" s="304">
        <f t="shared" ca="1" si="181"/>
        <v>6.4999999999999503</v>
      </c>
      <c r="D429" s="306">
        <f t="shared" ca="1" si="182"/>
        <v>-2.0345386292774035</v>
      </c>
      <c r="E429" s="307">
        <f t="shared" ca="1" si="183"/>
        <v>-16.750223769360552</v>
      </c>
      <c r="F429" s="304">
        <f t="shared" ca="1" si="184"/>
        <v>16.873332325230642</v>
      </c>
      <c r="G429" s="306">
        <f t="shared" ca="1" si="185"/>
        <v>34.678208742030861</v>
      </c>
      <c r="H429" s="307">
        <f t="shared" ca="1" si="186"/>
        <v>117.31340106318781</v>
      </c>
      <c r="I429" s="304">
        <f t="shared" ca="1" si="187"/>
        <v>122.33156677884993</v>
      </c>
      <c r="J429" s="306">
        <f t="shared" ca="1" si="188"/>
        <v>205.2790198044286</v>
      </c>
      <c r="K429" s="307">
        <f t="shared" ca="1" si="189"/>
        <v>842.48358098552262</v>
      </c>
      <c r="L429" s="304">
        <f t="shared" ca="1" si="174"/>
        <v>867.13208924710921</v>
      </c>
      <c r="M429" s="306">
        <f t="shared" ca="1" si="190"/>
        <v>1.2833782219431815</v>
      </c>
      <c r="N429" s="304">
        <f t="shared" ca="1" si="191"/>
        <v>73.532155636348165</v>
      </c>
      <c r="P429" s="310">
        <f t="shared" ca="1" si="192"/>
        <v>23</v>
      </c>
      <c r="Q429" s="304">
        <f t="shared" ca="1" si="193"/>
        <v>0</v>
      </c>
      <c r="R429" s="306">
        <f t="shared" ca="1" si="194"/>
        <v>0</v>
      </c>
      <c r="S429" s="307">
        <f t="shared" ca="1" si="195"/>
        <v>7.8079999999999892</v>
      </c>
      <c r="T429" s="304">
        <f t="shared" ca="1" si="175"/>
        <v>76.5964799999999</v>
      </c>
      <c r="U429" s="311">
        <f t="shared" ca="1" si="176"/>
        <v>0</v>
      </c>
      <c r="V429" s="306">
        <f t="shared" ca="1" si="177"/>
        <v>1.125967427159325</v>
      </c>
      <c r="W429" s="304">
        <f t="shared" ca="1" si="178"/>
        <v>54.89899677564209</v>
      </c>
      <c r="Y429" s="314" t="str">
        <f t="shared" ca="1" si="196"/>
        <v/>
      </c>
      <c r="Z429" s="315" t="str">
        <f t="shared" ca="1" si="197"/>
        <v/>
      </c>
      <c r="AA429" s="316" t="str">
        <f t="shared" ca="1" si="198"/>
        <v/>
      </c>
      <c r="AC429" s="310" t="e">
        <f t="shared" ca="1" si="199"/>
        <v>#N/A</v>
      </c>
      <c r="AD429" s="323" t="e">
        <f t="shared" ca="1" si="200"/>
        <v>#N/A</v>
      </c>
      <c r="AE429" s="324">
        <f t="shared" ca="1" si="179"/>
        <v>842.48358098552262</v>
      </c>
      <c r="AG429" s="306">
        <f t="shared" ca="1" si="201"/>
        <v>-16.646125719409621</v>
      </c>
      <c r="AH429" s="304">
        <f t="shared" ca="1" si="202"/>
        <v>-7.2322924030226519</v>
      </c>
    </row>
    <row r="430" spans="1:34" x14ac:dyDescent="0.2">
      <c r="A430" s="347">
        <f t="shared" ca="1" si="180"/>
        <v>0.1</v>
      </c>
      <c r="B430" s="304">
        <f t="shared" ca="1" si="181"/>
        <v>6.5999999999999499</v>
      </c>
      <c r="D430" s="306">
        <f t="shared" ca="1" si="182"/>
        <v>-1.9931625658705268</v>
      </c>
      <c r="E430" s="307">
        <f t="shared" ca="1" si="183"/>
        <v>-16.552697733135801</v>
      </c>
      <c r="F430" s="304">
        <f t="shared" ca="1" si="184"/>
        <v>16.67226737005338</v>
      </c>
      <c r="G430" s="306">
        <f t="shared" ca="1" si="185"/>
        <v>34.478892485443808</v>
      </c>
      <c r="H430" s="307">
        <f t="shared" ca="1" si="186"/>
        <v>115.65813128987423</v>
      </c>
      <c r="I430" s="304">
        <f t="shared" ca="1" si="187"/>
        <v>120.68801663996545</v>
      </c>
      <c r="J430" s="306">
        <f t="shared" ca="1" si="188"/>
        <v>208.73687486580232</v>
      </c>
      <c r="K430" s="307">
        <f t="shared" ca="1" si="189"/>
        <v>854.13215760317576</v>
      </c>
      <c r="L430" s="304">
        <f t="shared" ca="1" si="174"/>
        <v>879.2683467409696</v>
      </c>
      <c r="M430" s="306">
        <f t="shared" ca="1" si="190"/>
        <v>1.2810740050311715</v>
      </c>
      <c r="N430" s="304">
        <f t="shared" ca="1" si="191"/>
        <v>73.400133732207323</v>
      </c>
      <c r="P430" s="310">
        <f t="shared" ca="1" si="192"/>
        <v>23</v>
      </c>
      <c r="Q430" s="304">
        <f t="shared" ca="1" si="193"/>
        <v>0</v>
      </c>
      <c r="R430" s="306">
        <f t="shared" ca="1" si="194"/>
        <v>0</v>
      </c>
      <c r="S430" s="307">
        <f t="shared" ca="1" si="195"/>
        <v>7.8079999999999892</v>
      </c>
      <c r="T430" s="304">
        <f t="shared" ca="1" si="175"/>
        <v>76.5964799999999</v>
      </c>
      <c r="U430" s="311">
        <f t="shared" ca="1" si="176"/>
        <v>0</v>
      </c>
      <c r="V430" s="306">
        <f t="shared" ca="1" si="177"/>
        <v>1.1246542378118174</v>
      </c>
      <c r="W430" s="304">
        <f t="shared" ca="1" si="178"/>
        <v>53.371428820334422</v>
      </c>
      <c r="Y430" s="314" t="str">
        <f t="shared" ca="1" si="196"/>
        <v/>
      </c>
      <c r="Z430" s="315" t="str">
        <f t="shared" ca="1" si="197"/>
        <v/>
      </c>
      <c r="AA430" s="316" t="str">
        <f t="shared" ca="1" si="198"/>
        <v/>
      </c>
      <c r="AC430" s="310" t="e">
        <f t="shared" ca="1" si="199"/>
        <v>#N/A</v>
      </c>
      <c r="AD430" s="323" t="e">
        <f t="shared" ca="1" si="200"/>
        <v>#N/A</v>
      </c>
      <c r="AE430" s="324">
        <f t="shared" ca="1" si="179"/>
        <v>854.13215760317576</v>
      </c>
      <c r="AG430" s="306">
        <f t="shared" ca="1" si="201"/>
        <v>-16.438705301605111</v>
      </c>
      <c r="AH430" s="304">
        <f t="shared" ca="1" si="202"/>
        <v>-7.0311215132738427</v>
      </c>
    </row>
    <row r="431" spans="1:34" x14ac:dyDescent="0.2">
      <c r="A431" s="347">
        <f t="shared" ca="1" si="180"/>
        <v>0.1</v>
      </c>
      <c r="B431" s="304">
        <f t="shared" ca="1" si="181"/>
        <v>6.6999999999999496</v>
      </c>
      <c r="D431" s="306">
        <f t="shared" ca="1" si="182"/>
        <v>-1.9528018679640722</v>
      </c>
      <c r="E431" s="307">
        <f t="shared" ca="1" si="183"/>
        <v>-16.36059946961614</v>
      </c>
      <c r="F431" s="304">
        <f t="shared" ca="1" si="184"/>
        <v>16.476730565883752</v>
      </c>
      <c r="G431" s="306">
        <f t="shared" ca="1" si="185"/>
        <v>34.283612298647398</v>
      </c>
      <c r="H431" s="307">
        <f t="shared" ca="1" si="186"/>
        <v>114.02207134291262</v>
      </c>
      <c r="I431" s="304">
        <f t="shared" ca="1" si="187"/>
        <v>119.06468336821051</v>
      </c>
      <c r="J431" s="306">
        <f t="shared" ca="1" si="188"/>
        <v>212.17500010500689</v>
      </c>
      <c r="K431" s="307">
        <f t="shared" ca="1" si="189"/>
        <v>865.61616773481512</v>
      </c>
      <c r="L431" s="304">
        <f t="shared" ca="1" si="174"/>
        <v>891.2404728879111</v>
      </c>
      <c r="M431" s="306">
        <f t="shared" ca="1" si="190"/>
        <v>1.2787201722656412</v>
      </c>
      <c r="N431" s="304">
        <f t="shared" ca="1" si="191"/>
        <v>73.265269049062823</v>
      </c>
      <c r="P431" s="310">
        <f t="shared" ca="1" si="192"/>
        <v>23</v>
      </c>
      <c r="Q431" s="304">
        <f t="shared" ca="1" si="193"/>
        <v>0</v>
      </c>
      <c r="R431" s="306">
        <f t="shared" ca="1" si="194"/>
        <v>0</v>
      </c>
      <c r="S431" s="307">
        <f t="shared" ca="1" si="195"/>
        <v>7.8079999999999892</v>
      </c>
      <c r="T431" s="304">
        <f t="shared" ca="1" si="175"/>
        <v>76.5964799999999</v>
      </c>
      <c r="U431" s="311">
        <f t="shared" ca="1" si="176"/>
        <v>0</v>
      </c>
      <c r="V431" s="306">
        <f t="shared" ca="1" si="177"/>
        <v>1.123361035978909</v>
      </c>
      <c r="W431" s="304">
        <f t="shared" ca="1" si="178"/>
        <v>51.88559291872523</v>
      </c>
      <c r="Y431" s="314" t="str">
        <f t="shared" ca="1" si="196"/>
        <v/>
      </c>
      <c r="Z431" s="315" t="str">
        <f t="shared" ca="1" si="197"/>
        <v/>
      </c>
      <c r="AA431" s="316" t="str">
        <f t="shared" ca="1" si="198"/>
        <v/>
      </c>
      <c r="AC431" s="310" t="e">
        <f t="shared" ca="1" si="199"/>
        <v>#N/A</v>
      </c>
      <c r="AD431" s="323" t="e">
        <f t="shared" ca="1" si="200"/>
        <v>#N/A</v>
      </c>
      <c r="AE431" s="324">
        <f t="shared" ca="1" si="179"/>
        <v>865.61616773481512</v>
      </c>
      <c r="AG431" s="306">
        <f t="shared" ca="1" si="201"/>
        <v>-16.236631122496327</v>
      </c>
      <c r="AH431" s="304">
        <f t="shared" ca="1" si="202"/>
        <v>-6.8354801255551356</v>
      </c>
    </row>
    <row r="432" spans="1:34" x14ac:dyDescent="0.2">
      <c r="A432" s="347">
        <f t="shared" ca="1" si="180"/>
        <v>0.1</v>
      </c>
      <c r="B432" s="304">
        <f t="shared" ca="1" si="181"/>
        <v>6.7999999999999492</v>
      </c>
      <c r="D432" s="306">
        <f t="shared" ca="1" si="182"/>
        <v>-1.9134212512423723</v>
      </c>
      <c r="E432" s="307">
        <f t="shared" ca="1" si="183"/>
        <v>-16.173747568887613</v>
      </c>
      <c r="F432" s="304">
        <f t="shared" ca="1" si="184"/>
        <v>16.286537118331935</v>
      </c>
      <c r="G432" s="306">
        <f t="shared" ca="1" si="185"/>
        <v>34.092270173523161</v>
      </c>
      <c r="H432" s="307">
        <f t="shared" ca="1" si="186"/>
        <v>112.40469658602386</v>
      </c>
      <c r="I432" s="304">
        <f t="shared" ca="1" si="187"/>
        <v>117.46105184349653</v>
      </c>
      <c r="J432" s="306">
        <f t="shared" ca="1" si="188"/>
        <v>215.59379422861542</v>
      </c>
      <c r="K432" s="307">
        <f t="shared" ca="1" si="189"/>
        <v>876.9375061312619</v>
      </c>
      <c r="L432" s="304">
        <f t="shared" ca="1" si="174"/>
        <v>903.05042703583706</v>
      </c>
      <c r="M432" s="306">
        <f t="shared" ca="1" si="190"/>
        <v>1.2763153712081809</v>
      </c>
      <c r="N432" s="304">
        <f t="shared" ca="1" si="191"/>
        <v>73.127484097901757</v>
      </c>
      <c r="P432" s="310">
        <f t="shared" ca="1" si="192"/>
        <v>23</v>
      </c>
      <c r="Q432" s="304">
        <f t="shared" ca="1" si="193"/>
        <v>0</v>
      </c>
      <c r="R432" s="306">
        <f t="shared" ca="1" si="194"/>
        <v>0</v>
      </c>
      <c r="S432" s="307">
        <f t="shared" ca="1" si="195"/>
        <v>7.8079999999999892</v>
      </c>
      <c r="T432" s="304">
        <f t="shared" ca="1" si="175"/>
        <v>76.5964799999999</v>
      </c>
      <c r="U432" s="311">
        <f t="shared" ca="1" si="176"/>
        <v>0</v>
      </c>
      <c r="V432" s="306">
        <f t="shared" ca="1" si="177"/>
        <v>1.1220875450774042</v>
      </c>
      <c r="W432" s="304">
        <f t="shared" ca="1" si="178"/>
        <v>50.440109179501732</v>
      </c>
      <c r="Y432" s="314" t="str">
        <f t="shared" ca="1" si="196"/>
        <v/>
      </c>
      <c r="Z432" s="315" t="str">
        <f t="shared" ca="1" si="197"/>
        <v/>
      </c>
      <c r="AA432" s="316" t="str">
        <f t="shared" ca="1" si="198"/>
        <v/>
      </c>
      <c r="AC432" s="310" t="e">
        <f t="shared" ca="1" si="199"/>
        <v>#N/A</v>
      </c>
      <c r="AD432" s="323" t="e">
        <f t="shared" ca="1" si="200"/>
        <v>#N/A</v>
      </c>
      <c r="AE432" s="324">
        <f t="shared" ca="1" si="179"/>
        <v>876.9375061312619</v>
      </c>
      <c r="AG432" s="306">
        <f t="shared" ca="1" si="201"/>
        <v>-16.039711671827646</v>
      </c>
      <c r="AH432" s="304">
        <f t="shared" ca="1" si="202"/>
        <v>-6.6451835193039575</v>
      </c>
    </row>
    <row r="433" spans="1:34" x14ac:dyDescent="0.2">
      <c r="A433" s="347">
        <f t="shared" ca="1" si="180"/>
        <v>0.1</v>
      </c>
      <c r="B433" s="304">
        <f t="shared" ca="1" si="181"/>
        <v>6.8999999999999488</v>
      </c>
      <c r="D433" s="306">
        <f t="shared" ca="1" si="182"/>
        <v>-1.8749869493067468</v>
      </c>
      <c r="E433" s="307">
        <f t="shared" ca="1" si="183"/>
        <v>-15.991968465780211</v>
      </c>
      <c r="F433" s="304">
        <f t="shared" ca="1" si="184"/>
        <v>16.101510223285867</v>
      </c>
      <c r="G433" s="306">
        <f t="shared" ca="1" si="185"/>
        <v>33.904771478592487</v>
      </c>
      <c r="H433" s="307">
        <f t="shared" ca="1" si="186"/>
        <v>110.80549973944584</v>
      </c>
      <c r="I433" s="304">
        <f t="shared" ca="1" si="187"/>
        <v>115.87662534576984</v>
      </c>
      <c r="J433" s="306">
        <f t="shared" ca="1" si="188"/>
        <v>218.9936463112212</v>
      </c>
      <c r="K433" s="307">
        <f t="shared" ca="1" si="189"/>
        <v>888.09801594753537</v>
      </c>
      <c r="L433" s="304">
        <f t="shared" ca="1" si="174"/>
        <v>914.7001164614735</v>
      </c>
      <c r="M433" s="306">
        <f t="shared" ca="1" si="190"/>
        <v>1.2738581987347131</v>
      </c>
      <c r="N433" s="304">
        <f t="shared" ca="1" si="191"/>
        <v>72.986698485636325</v>
      </c>
      <c r="P433" s="310">
        <f t="shared" ca="1" si="192"/>
        <v>23</v>
      </c>
      <c r="Q433" s="304">
        <f t="shared" ca="1" si="193"/>
        <v>0</v>
      </c>
      <c r="R433" s="306">
        <f t="shared" ca="1" si="194"/>
        <v>0</v>
      </c>
      <c r="S433" s="307">
        <f t="shared" ca="1" si="195"/>
        <v>7.8079999999999892</v>
      </c>
      <c r="T433" s="304">
        <f t="shared" ca="1" si="175"/>
        <v>76.5964799999999</v>
      </c>
      <c r="U433" s="311">
        <f t="shared" ca="1" si="176"/>
        <v>0</v>
      </c>
      <c r="V433" s="306">
        <f t="shared" ca="1" si="177"/>
        <v>1.1208334963092252</v>
      </c>
      <c r="W433" s="304">
        <f t="shared" ca="1" si="178"/>
        <v>49.033656928622896</v>
      </c>
      <c r="Y433" s="314" t="str">
        <f t="shared" ca="1" si="196"/>
        <v/>
      </c>
      <c r="Z433" s="315" t="str">
        <f t="shared" ca="1" si="197"/>
        <v/>
      </c>
      <c r="AA433" s="316" t="str">
        <f t="shared" ca="1" si="198"/>
        <v/>
      </c>
      <c r="AC433" s="310" t="e">
        <f t="shared" ca="1" si="199"/>
        <v>#N/A</v>
      </c>
      <c r="AD433" s="323" t="e">
        <f t="shared" ca="1" si="200"/>
        <v>#N/A</v>
      </c>
      <c r="AE433" s="324">
        <f t="shared" ca="1" si="179"/>
        <v>888.09801594753537</v>
      </c>
      <c r="AG433" s="306">
        <f t="shared" ca="1" si="201"/>
        <v>-15.847763115020555</v>
      </c>
      <c r="AH433" s="304">
        <f t="shared" ca="1" si="202"/>
        <v>-6.4600549666370135</v>
      </c>
    </row>
    <row r="434" spans="1:34" x14ac:dyDescent="0.2">
      <c r="A434" s="347">
        <f t="shared" ca="1" si="180"/>
        <v>0.1</v>
      </c>
      <c r="B434" s="304">
        <f t="shared" ca="1" si="181"/>
        <v>6.9999999999999485</v>
      </c>
      <c r="D434" s="306">
        <f t="shared" ca="1" si="182"/>
        <v>-1.837466636368025</v>
      </c>
      <c r="E434" s="307">
        <f t="shared" ca="1" si="183"/>
        <v>-15.815096038646708</v>
      </c>
      <c r="F434" s="304">
        <f t="shared" ca="1" si="184"/>
        <v>15.921480658261167</v>
      </c>
      <c r="G434" s="306">
        <f t="shared" ca="1" si="185"/>
        <v>33.721024814955683</v>
      </c>
      <c r="H434" s="307">
        <f t="shared" ca="1" si="186"/>
        <v>109.22399013558116</v>
      </c>
      <c r="I434" s="304">
        <f t="shared" ca="1" si="187"/>
        <v>114.31092483095563</v>
      </c>
      <c r="J434" s="306">
        <f t="shared" ca="1" si="188"/>
        <v>222.37493612589861</v>
      </c>
      <c r="K434" s="307">
        <f t="shared" ca="1" si="189"/>
        <v>899.09949044128678</v>
      </c>
      <c r="L434" s="304">
        <f t="shared" ca="1" si="174"/>
        <v>926.19139810774482</v>
      </c>
      <c r="M434" s="306">
        <f t="shared" ca="1" si="190"/>
        <v>1.2713471987617171</v>
      </c>
      <c r="N434" s="304">
        <f t="shared" ca="1" si="191"/>
        <v>72.842828784826196</v>
      </c>
      <c r="P434" s="310">
        <f t="shared" ca="1" si="192"/>
        <v>23</v>
      </c>
      <c r="Q434" s="304">
        <f t="shared" ca="1" si="193"/>
        <v>0</v>
      </c>
      <c r="R434" s="306">
        <f t="shared" ca="1" si="194"/>
        <v>0</v>
      </c>
      <c r="S434" s="307">
        <f t="shared" ca="1" si="195"/>
        <v>7.8079999999999892</v>
      </c>
      <c r="T434" s="304">
        <f t="shared" ca="1" si="175"/>
        <v>76.5964799999999</v>
      </c>
      <c r="U434" s="311">
        <f t="shared" ca="1" si="176"/>
        <v>0</v>
      </c>
      <c r="V434" s="306">
        <f t="shared" ca="1" si="177"/>
        <v>1.1195986283959913</v>
      </c>
      <c r="W434" s="304">
        <f t="shared" ca="1" si="178"/>
        <v>47.664971709952134</v>
      </c>
      <c r="Y434" s="314" t="str">
        <f t="shared" ca="1" si="196"/>
        <v/>
      </c>
      <c r="Z434" s="315" t="str">
        <f t="shared" ca="1" si="197"/>
        <v/>
      </c>
      <c r="AA434" s="316" t="str">
        <f t="shared" ca="1" si="198"/>
        <v/>
      </c>
      <c r="AC434" s="310">
        <f t="shared" ca="1" si="199"/>
        <v>6.9999999999999485</v>
      </c>
      <c r="AD434" s="323">
        <f t="shared" ca="1" si="200"/>
        <v>222.37493612589861</v>
      </c>
      <c r="AE434" s="324">
        <f t="shared" ca="1" si="179"/>
        <v>899.09949044128678</v>
      </c>
      <c r="AG434" s="306">
        <f t="shared" ca="1" si="201"/>
        <v>-15.660608867234513</v>
      </c>
      <c r="AH434" s="304">
        <f t="shared" ca="1" si="202"/>
        <v>-6.2799253238502768</v>
      </c>
    </row>
    <row r="435" spans="1:34" x14ac:dyDescent="0.2">
      <c r="A435" s="347">
        <f t="shared" ca="1" si="180"/>
        <v>0.1</v>
      </c>
      <c r="B435" s="304">
        <f t="shared" ca="1" si="181"/>
        <v>7.0999999999999481</v>
      </c>
      <c r="D435" s="306">
        <f t="shared" ca="1" si="182"/>
        <v>-1.800829354582637</v>
      </c>
      <c r="E435" s="307">
        <f t="shared" ca="1" si="183"/>
        <v>-15.642971232047575</v>
      </c>
      <c r="F435" s="304">
        <f t="shared" ca="1" si="184"/>
        <v>15.746286398100175</v>
      </c>
      <c r="G435" s="306">
        <f t="shared" ca="1" si="185"/>
        <v>33.540941879497417</v>
      </c>
      <c r="H435" s="307">
        <f t="shared" ca="1" si="186"/>
        <v>107.65969301237641</v>
      </c>
      <c r="I435" s="304">
        <f t="shared" ca="1" si="187"/>
        <v>112.76348824722899</v>
      </c>
      <c r="J435" s="306">
        <f t="shared" ca="1" si="188"/>
        <v>225.73803446062126</v>
      </c>
      <c r="K435" s="307">
        <f t="shared" ca="1" si="189"/>
        <v>909.94367459868465</v>
      </c>
      <c r="L435" s="304">
        <f t="shared" ca="1" si="174"/>
        <v>937.52608024753181</v>
      </c>
      <c r="M435" s="306">
        <f t="shared" ca="1" si="190"/>
        <v>1.2687808598524455</v>
      </c>
      <c r="N435" s="304">
        <f t="shared" ca="1" si="191"/>
        <v>72.695788396524719</v>
      </c>
      <c r="P435" s="310">
        <f t="shared" ca="1" si="192"/>
        <v>23</v>
      </c>
      <c r="Q435" s="304">
        <f t="shared" ca="1" si="193"/>
        <v>0</v>
      </c>
      <c r="R435" s="306">
        <f t="shared" ca="1" si="194"/>
        <v>0</v>
      </c>
      <c r="S435" s="307">
        <f t="shared" ca="1" si="195"/>
        <v>7.8079999999999892</v>
      </c>
      <c r="T435" s="304">
        <f t="shared" ca="1" si="175"/>
        <v>76.5964799999999</v>
      </c>
      <c r="U435" s="311">
        <f t="shared" ca="1" si="176"/>
        <v>0</v>
      </c>
      <c r="V435" s="306">
        <f t="shared" ca="1" si="177"/>
        <v>1.1183826873252174</v>
      </c>
      <c r="W435" s="304">
        <f t="shared" ca="1" si="178"/>
        <v>46.332842463220359</v>
      </c>
      <c r="Y435" s="314" t="str">
        <f t="shared" ca="1" si="196"/>
        <v/>
      </c>
      <c r="Z435" s="315" t="str">
        <f t="shared" ca="1" si="197"/>
        <v/>
      </c>
      <c r="AA435" s="316" t="str">
        <f t="shared" ca="1" si="198"/>
        <v/>
      </c>
      <c r="AC435" s="310" t="e">
        <f t="shared" ca="1" si="199"/>
        <v>#N/A</v>
      </c>
      <c r="AD435" s="323" t="e">
        <f t="shared" ca="1" si="200"/>
        <v>#N/A</v>
      </c>
      <c r="AE435" s="324">
        <f t="shared" ca="1" si="179"/>
        <v>909.94367459868465</v>
      </c>
      <c r="AG435" s="306">
        <f t="shared" ca="1" si="201"/>
        <v>-15.478079190682852</v>
      </c>
      <c r="AH435" s="304">
        <f t="shared" ca="1" si="202"/>
        <v>-6.1046326472787138</v>
      </c>
    </row>
    <row r="436" spans="1:34" x14ac:dyDescent="0.2">
      <c r="A436" s="347">
        <f t="shared" ca="1" si="180"/>
        <v>0.1</v>
      </c>
      <c r="B436" s="304">
        <f t="shared" ca="1" si="181"/>
        <v>7.1999999999999478</v>
      </c>
      <c r="D436" s="306">
        <f t="shared" ca="1" si="182"/>
        <v>-1.765045445720532</v>
      </c>
      <c r="E436" s="307">
        <f t="shared" ca="1" si="183"/>
        <v>-15.475441701722804</v>
      </c>
      <c r="F436" s="304">
        <f t="shared" ca="1" si="184"/>
        <v>15.575772253370937</v>
      </c>
      <c r="G436" s="306">
        <f t="shared" ca="1" si="185"/>
        <v>33.364437334925363</v>
      </c>
      <c r="H436" s="307">
        <f t="shared" ca="1" si="186"/>
        <v>106.11214884220412</v>
      </c>
      <c r="I436" s="304">
        <f t="shared" ca="1" si="187"/>
        <v>111.23386988946417</v>
      </c>
      <c r="J436" s="306">
        <f t="shared" ca="1" si="188"/>
        <v>229.08330342134241</v>
      </c>
      <c r="K436" s="307">
        <f t="shared" ca="1" si="189"/>
        <v>920.63226669141363</v>
      </c>
      <c r="L436" s="304">
        <f t="shared" ca="1" si="174"/>
        <v>948.70592407753259</v>
      </c>
      <c r="M436" s="306">
        <f t="shared" ca="1" si="190"/>
        <v>1.2661576126960523</v>
      </c>
      <c r="N436" s="304">
        <f t="shared" ca="1" si="191"/>
        <v>72.545487405843701</v>
      </c>
      <c r="P436" s="310">
        <f t="shared" ca="1" si="192"/>
        <v>23</v>
      </c>
      <c r="Q436" s="304">
        <f t="shared" ca="1" si="193"/>
        <v>0</v>
      </c>
      <c r="R436" s="306">
        <f t="shared" ca="1" si="194"/>
        <v>0</v>
      </c>
      <c r="S436" s="307">
        <f t="shared" ca="1" si="195"/>
        <v>7.8079999999999892</v>
      </c>
      <c r="T436" s="304">
        <f t="shared" ca="1" si="175"/>
        <v>76.5964799999999</v>
      </c>
      <c r="U436" s="311">
        <f t="shared" ca="1" si="176"/>
        <v>0</v>
      </c>
      <c r="V436" s="306">
        <f t="shared" ca="1" si="177"/>
        <v>1.1171854261075507</v>
      </c>
      <c r="W436" s="304">
        <f t="shared" ca="1" si="178"/>
        <v>45.036108867423856</v>
      </c>
      <c r="Y436" s="314" t="str">
        <f t="shared" ca="1" si="196"/>
        <v/>
      </c>
      <c r="Z436" s="315" t="str">
        <f t="shared" ca="1" si="197"/>
        <v/>
      </c>
      <c r="AA436" s="316" t="str">
        <f t="shared" ca="1" si="198"/>
        <v/>
      </c>
      <c r="AC436" s="310" t="e">
        <f t="shared" ca="1" si="199"/>
        <v>#N/A</v>
      </c>
      <c r="AD436" s="323" t="e">
        <f t="shared" ca="1" si="200"/>
        <v>#N/A</v>
      </c>
      <c r="AE436" s="324">
        <f t="shared" ca="1" si="179"/>
        <v>920.63226669141363</v>
      </c>
      <c r="AG436" s="306">
        <f t="shared" ca="1" si="201"/>
        <v>-15.300010813476991</v>
      </c>
      <c r="AH436" s="304">
        <f t="shared" ca="1" si="202"/>
        <v>-5.9340218318673701</v>
      </c>
    </row>
    <row r="437" spans="1:34" x14ac:dyDescent="0.2">
      <c r="A437" s="347">
        <f t="shared" ca="1" si="180"/>
        <v>0.1</v>
      </c>
      <c r="B437" s="304">
        <f t="shared" ca="1" si="181"/>
        <v>7.2999999999999474</v>
      </c>
      <c r="D437" s="306">
        <f t="shared" ca="1" si="182"/>
        <v>-1.7300864868769994</v>
      </c>
      <c r="E437" s="307">
        <f t="shared" ca="1" si="183"/>
        <v>-15.312361480354001</v>
      </c>
      <c r="F437" s="304">
        <f t="shared" ca="1" si="184"/>
        <v>15.409789529941783</v>
      </c>
      <c r="G437" s="306">
        <f t="shared" ca="1" si="185"/>
        <v>33.191428686237664</v>
      </c>
      <c r="H437" s="307">
        <f t="shared" ca="1" si="186"/>
        <v>104.58091269416872</v>
      </c>
      <c r="I437" s="304">
        <f t="shared" ca="1" si="187"/>
        <v>109.72163978987436</v>
      </c>
      <c r="J437" s="306">
        <f t="shared" ca="1" si="188"/>
        <v>232.41109672240057</v>
      </c>
      <c r="K437" s="307">
        <f t="shared" ca="1" si="189"/>
        <v>931.16691976823222</v>
      </c>
      <c r="L437" s="304">
        <f t="shared" ca="1" si="174"/>
        <v>959.73264524573017</v>
      </c>
      <c r="M437" s="306">
        <f t="shared" ca="1" si="190"/>
        <v>1.2634758274521103</v>
      </c>
      <c r="N437" s="304">
        <f t="shared" ca="1" si="191"/>
        <v>72.391832429805362</v>
      </c>
      <c r="P437" s="310">
        <f t="shared" ca="1" si="192"/>
        <v>23</v>
      </c>
      <c r="Q437" s="304">
        <f t="shared" ca="1" si="193"/>
        <v>0</v>
      </c>
      <c r="R437" s="306">
        <f t="shared" ca="1" si="194"/>
        <v>0</v>
      </c>
      <c r="S437" s="307">
        <f t="shared" ca="1" si="195"/>
        <v>7.8079999999999892</v>
      </c>
      <c r="T437" s="304">
        <f t="shared" ca="1" si="175"/>
        <v>76.5964799999999</v>
      </c>
      <c r="U437" s="311">
        <f t="shared" ca="1" si="176"/>
        <v>0</v>
      </c>
      <c r="V437" s="306">
        <f t="shared" ca="1" si="177"/>
        <v>1.1160066045444623</v>
      </c>
      <c r="W437" s="304">
        <f t="shared" ca="1" si="178"/>
        <v>43.773658838652992</v>
      </c>
      <c r="Y437" s="314" t="str">
        <f t="shared" ca="1" si="196"/>
        <v/>
      </c>
      <c r="Z437" s="315" t="str">
        <f t="shared" ca="1" si="197"/>
        <v/>
      </c>
      <c r="AA437" s="316" t="str">
        <f t="shared" ca="1" si="198"/>
        <v/>
      </c>
      <c r="AC437" s="310" t="e">
        <f t="shared" ca="1" si="199"/>
        <v>#N/A</v>
      </c>
      <c r="AD437" s="323" t="e">
        <f t="shared" ca="1" si="200"/>
        <v>#N/A</v>
      </c>
      <c r="AE437" s="324">
        <f t="shared" ca="1" si="179"/>
        <v>931.16691976823222</v>
      </c>
      <c r="AG437" s="306">
        <f t="shared" ca="1" si="201"/>
        <v>-15.126246568391068</v>
      </c>
      <c r="AH437" s="304">
        <f t="shared" ca="1" si="202"/>
        <v>-5.7679442709303173</v>
      </c>
    </row>
    <row r="438" spans="1:34" x14ac:dyDescent="0.2">
      <c r="A438" s="347">
        <f t="shared" ca="1" si="180"/>
        <v>0.1</v>
      </c>
      <c r="B438" s="304">
        <f t="shared" ca="1" si="181"/>
        <v>7.3999999999999471</v>
      </c>
      <c r="D438" s="306">
        <f t="shared" ca="1" si="182"/>
        <v>-1.6959252299622296</v>
      </c>
      <c r="E438" s="307">
        <f t="shared" ca="1" si="183"/>
        <v>-15.153590662732103</v>
      </c>
      <c r="F438" s="304">
        <f t="shared" ca="1" si="184"/>
        <v>15.248195708321166</v>
      </c>
      <c r="G438" s="306">
        <f t="shared" ca="1" si="185"/>
        <v>33.021836163241439</v>
      </c>
      <c r="H438" s="307">
        <f t="shared" ca="1" si="186"/>
        <v>103.06555362789551</v>
      </c>
      <c r="I438" s="304">
        <f t="shared" ca="1" si="187"/>
        <v>108.22638314300524</v>
      </c>
      <c r="J438" s="306">
        <f t="shared" ca="1" si="188"/>
        <v>235.72175996487454</v>
      </c>
      <c r="K438" s="307">
        <f t="shared" ca="1" si="189"/>
        <v>941.54924308433544</v>
      </c>
      <c r="L438" s="304">
        <f t="shared" ca="1" si="174"/>
        <v>970.60791531576899</v>
      </c>
      <c r="M438" s="306">
        <f t="shared" ca="1" si="190"/>
        <v>1.2607338109525079</v>
      </c>
      <c r="N438" s="304">
        <f t="shared" ca="1" si="191"/>
        <v>72.234726457022902</v>
      </c>
      <c r="P438" s="310">
        <f t="shared" ca="1" si="192"/>
        <v>23</v>
      </c>
      <c r="Q438" s="304">
        <f t="shared" ca="1" si="193"/>
        <v>0</v>
      </c>
      <c r="R438" s="306">
        <f t="shared" ca="1" si="194"/>
        <v>0</v>
      </c>
      <c r="S438" s="307">
        <f t="shared" ca="1" si="195"/>
        <v>7.8079999999999892</v>
      </c>
      <c r="T438" s="304">
        <f t="shared" ca="1" si="175"/>
        <v>76.5964799999999</v>
      </c>
      <c r="U438" s="311">
        <f t="shared" ca="1" si="176"/>
        <v>0</v>
      </c>
      <c r="V438" s="306">
        <f t="shared" ca="1" si="177"/>
        <v>1.1148459890058797</v>
      </c>
      <c r="W438" s="304">
        <f t="shared" ca="1" si="178"/>
        <v>42.544426172168784</v>
      </c>
      <c r="Y438" s="314" t="str">
        <f t="shared" ca="1" si="196"/>
        <v/>
      </c>
      <c r="Z438" s="315" t="str">
        <f t="shared" ca="1" si="197"/>
        <v/>
      </c>
      <c r="AA438" s="316" t="str">
        <f t="shared" ca="1" si="198"/>
        <v/>
      </c>
      <c r="AC438" s="310" t="e">
        <f t="shared" ca="1" si="199"/>
        <v>#N/A</v>
      </c>
      <c r="AD438" s="323" t="e">
        <f t="shared" ca="1" si="200"/>
        <v>#N/A</v>
      </c>
      <c r="AE438" s="324">
        <f t="shared" ca="1" si="179"/>
        <v>941.54924308433544</v>
      </c>
      <c r="AG438" s="306">
        <f t="shared" ca="1" si="201"/>
        <v>-14.956635050046749</v>
      </c>
      <c r="AH438" s="304">
        <f t="shared" ca="1" si="202"/>
        <v>-5.6062575356881474</v>
      </c>
    </row>
    <row r="439" spans="1:34" x14ac:dyDescent="0.2">
      <c r="A439" s="347">
        <f t="shared" ca="1" si="180"/>
        <v>0.1</v>
      </c>
      <c r="B439" s="304">
        <f t="shared" ca="1" si="181"/>
        <v>7.4999999999999467</v>
      </c>
      <c r="D439" s="306">
        <f t="shared" ca="1" si="182"/>
        <v>-1.6625355447225563</v>
      </c>
      <c r="E439" s="307">
        <f t="shared" ca="1" si="183"/>
        <v>-14.99899510904924</v>
      </c>
      <c r="F439" s="304">
        <f t="shared" ca="1" si="184"/>
        <v>15.090854141457632</v>
      </c>
      <c r="G439" s="306">
        <f t="shared" ca="1" si="185"/>
        <v>32.855582608769183</v>
      </c>
      <c r="H439" s="307">
        <f t="shared" ca="1" si="186"/>
        <v>101.56565411699059</v>
      </c>
      <c r="I439" s="304">
        <f t="shared" ca="1" si="187"/>
        <v>106.74769976338517</v>
      </c>
      <c r="J439" s="306">
        <f t="shared" ca="1" si="188"/>
        <v>239.01563090347506</v>
      </c>
      <c r="K439" s="307">
        <f t="shared" ca="1" si="189"/>
        <v>951.7808034715797</v>
      </c>
      <c r="L439" s="304">
        <f t="shared" ca="1" si="174"/>
        <v>981.33336317134967</v>
      </c>
      <c r="M439" s="306">
        <f t="shared" ca="1" si="190"/>
        <v>1.2579298037522071</v>
      </c>
      <c r="N439" s="304">
        <f t="shared" ca="1" si="191"/>
        <v>72.074068678721375</v>
      </c>
      <c r="P439" s="310">
        <f t="shared" ca="1" si="192"/>
        <v>23</v>
      </c>
      <c r="Q439" s="304">
        <f t="shared" ca="1" si="193"/>
        <v>0</v>
      </c>
      <c r="R439" s="306">
        <f t="shared" ca="1" si="194"/>
        <v>0</v>
      </c>
      <c r="S439" s="307">
        <f t="shared" ca="1" si="195"/>
        <v>7.8079999999999892</v>
      </c>
      <c r="T439" s="304">
        <f t="shared" ca="1" si="175"/>
        <v>76.5964799999999</v>
      </c>
      <c r="U439" s="311">
        <f t="shared" ca="1" si="176"/>
        <v>0</v>
      </c>
      <c r="V439" s="306">
        <f t="shared" ca="1" si="177"/>
        <v>1.1137033522172497</v>
      </c>
      <c r="W439" s="304">
        <f t="shared" ca="1" si="178"/>
        <v>41.347388319293749</v>
      </c>
      <c r="Y439" s="314" t="str">
        <f t="shared" ca="1" si="196"/>
        <v/>
      </c>
      <c r="Z439" s="315" t="str">
        <f t="shared" ca="1" si="197"/>
        <v/>
      </c>
      <c r="AA439" s="316" t="str">
        <f t="shared" ca="1" si="198"/>
        <v/>
      </c>
      <c r="AC439" s="310" t="e">
        <f t="shared" ca="1" si="199"/>
        <v>#N/A</v>
      </c>
      <c r="AD439" s="323" t="e">
        <f t="shared" ca="1" si="200"/>
        <v>#N/A</v>
      </c>
      <c r="AE439" s="324">
        <f t="shared" ca="1" si="179"/>
        <v>951.7808034715797</v>
      </c>
      <c r="AG439" s="306">
        <f t="shared" ca="1" si="201"/>
        <v>-14.791030289115879</v>
      </c>
      <c r="AH439" s="304">
        <f t="shared" ca="1" si="202"/>
        <v>-5.4488250732798207</v>
      </c>
    </row>
    <row r="440" spans="1:34" x14ac:dyDescent="0.2">
      <c r="A440" s="347">
        <f t="shared" ca="1" si="180"/>
        <v>0.1</v>
      </c>
      <c r="B440" s="304">
        <f t="shared" ca="1" si="181"/>
        <v>7.5999999999999464</v>
      </c>
      <c r="D440" s="306">
        <f t="shared" ca="1" si="182"/>
        <v>-1.6298923650656407</v>
      </c>
      <c r="E440" s="307">
        <f t="shared" ca="1" si="183"/>
        <v>-14.848446165127433</v>
      </c>
      <c r="F440" s="304">
        <f t="shared" ca="1" si="184"/>
        <v>14.937633769790544</v>
      </c>
      <c r="G440" s="306">
        <f t="shared" ca="1" si="185"/>
        <v>32.692593372262621</v>
      </c>
      <c r="H440" s="307">
        <f t="shared" ca="1" si="186"/>
        <v>100.08080950047784</v>
      </c>
      <c r="I440" s="304">
        <f t="shared" ca="1" si="187"/>
        <v>105.28520357426797</v>
      </c>
      <c r="J440" s="306">
        <f t="shared" ca="1" si="188"/>
        <v>242.29303970252664</v>
      </c>
      <c r="K440" s="307">
        <f t="shared" ca="1" si="189"/>
        <v>961.86312665245316</v>
      </c>
      <c r="L440" s="304">
        <f t="shared" ca="1" si="174"/>
        <v>991.91057636357687</v>
      </c>
      <c r="M440" s="306">
        <f t="shared" ca="1" si="190"/>
        <v>1.2550619770197984</v>
      </c>
      <c r="N440" s="304">
        <f t="shared" ca="1" si="191"/>
        <v>71.909754310579558</v>
      </c>
      <c r="P440" s="310">
        <f t="shared" ca="1" si="192"/>
        <v>23</v>
      </c>
      <c r="Q440" s="304">
        <f t="shared" ca="1" si="193"/>
        <v>0</v>
      </c>
      <c r="R440" s="306">
        <f t="shared" ca="1" si="194"/>
        <v>0</v>
      </c>
      <c r="S440" s="307">
        <f t="shared" ca="1" si="195"/>
        <v>7.8079999999999892</v>
      </c>
      <c r="T440" s="304">
        <f t="shared" ca="1" si="175"/>
        <v>76.5964799999999</v>
      </c>
      <c r="U440" s="311">
        <f t="shared" ca="1" si="176"/>
        <v>0</v>
      </c>
      <c r="V440" s="306">
        <f t="shared" ca="1" si="177"/>
        <v>1.1125784730555655</v>
      </c>
      <c r="W440" s="304">
        <f t="shared" ca="1" si="178"/>
        <v>40.18156429037581</v>
      </c>
      <c r="Y440" s="314" t="str">
        <f t="shared" ca="1" si="196"/>
        <v/>
      </c>
      <c r="Z440" s="315" t="str">
        <f t="shared" ca="1" si="197"/>
        <v/>
      </c>
      <c r="AA440" s="316" t="str">
        <f t="shared" ca="1" si="198"/>
        <v/>
      </c>
      <c r="AC440" s="310" t="e">
        <f t="shared" ca="1" si="199"/>
        <v>#N/A</v>
      </c>
      <c r="AD440" s="323" t="e">
        <f t="shared" ca="1" si="200"/>
        <v>#N/A</v>
      </c>
      <c r="AE440" s="324">
        <f t="shared" ca="1" si="179"/>
        <v>961.86312665245316</v>
      </c>
      <c r="AG440" s="306">
        <f t="shared" ca="1" si="201"/>
        <v>-14.629291442226968</v>
      </c>
      <c r="AH440" s="304">
        <f t="shared" ca="1" si="202"/>
        <v>-5.2955159220407024</v>
      </c>
    </row>
    <row r="441" spans="1:34" x14ac:dyDescent="0.2">
      <c r="A441" s="347">
        <f t="shared" ca="1" si="180"/>
        <v>0.1</v>
      </c>
      <c r="B441" s="304">
        <f t="shared" ca="1" si="181"/>
        <v>7.699999999999946</v>
      </c>
      <c r="D441" s="306">
        <f t="shared" ca="1" si="182"/>
        <v>-1.5979716384788429</v>
      </c>
      <c r="E441" s="307">
        <f t="shared" ca="1" si="183"/>
        <v>-14.701820398483704</v>
      </c>
      <c r="F441" s="304">
        <f t="shared" ca="1" si="184"/>
        <v>14.788408852430821</v>
      </c>
      <c r="G441" s="306">
        <f t="shared" ca="1" si="185"/>
        <v>32.532796208414737</v>
      </c>
      <c r="H441" s="307">
        <f t="shared" ca="1" si="186"/>
        <v>98.610627460629473</v>
      </c>
      <c r="I441" s="304">
        <f t="shared" ca="1" si="187"/>
        <v>103.8385221260265</v>
      </c>
      <c r="J441" s="306">
        <f t="shared" ca="1" si="188"/>
        <v>245.55430918156051</v>
      </c>
      <c r="K441" s="307">
        <f t="shared" ca="1" si="189"/>
        <v>971.79769850050855</v>
      </c>
      <c r="L441" s="304">
        <f t="shared" ca="1" si="174"/>
        <v>1002.3411024040263</v>
      </c>
      <c r="M441" s="306">
        <f t="shared" ca="1" si="190"/>
        <v>1.2521284292582131</v>
      </c>
      <c r="N441" s="304">
        <f t="shared" ca="1" si="191"/>
        <v>71.74167440484068</v>
      </c>
      <c r="P441" s="310">
        <f t="shared" ca="1" si="192"/>
        <v>23</v>
      </c>
      <c r="Q441" s="304">
        <f t="shared" ca="1" si="193"/>
        <v>0</v>
      </c>
      <c r="R441" s="306">
        <f t="shared" ca="1" si="194"/>
        <v>0</v>
      </c>
      <c r="S441" s="307">
        <f t="shared" ca="1" si="195"/>
        <v>7.8079999999999892</v>
      </c>
      <c r="T441" s="304">
        <f t="shared" ca="1" si="175"/>
        <v>76.5964799999999</v>
      </c>
      <c r="U441" s="311">
        <f t="shared" ca="1" si="176"/>
        <v>0</v>
      </c>
      <c r="V441" s="306">
        <f t="shared" ca="1" si="177"/>
        <v>1.1114711363539198</v>
      </c>
      <c r="W441" s="304">
        <f t="shared" ca="1" si="178"/>
        <v>39.046012675717265</v>
      </c>
      <c r="Y441" s="314" t="str">
        <f t="shared" ca="1" si="196"/>
        <v/>
      </c>
      <c r="Z441" s="315" t="str">
        <f t="shared" ca="1" si="197"/>
        <v/>
      </c>
      <c r="AA441" s="316" t="str">
        <f t="shared" ca="1" si="198"/>
        <v/>
      </c>
      <c r="AC441" s="310" t="e">
        <f t="shared" ca="1" si="199"/>
        <v>#N/A</v>
      </c>
      <c r="AD441" s="323" t="e">
        <f t="shared" ca="1" si="200"/>
        <v>#N/A</v>
      </c>
      <c r="AE441" s="324">
        <f t="shared" ca="1" si="179"/>
        <v>971.79769850050855</v>
      </c>
      <c r="AG441" s="306">
        <f t="shared" ca="1" si="201"/>
        <v>-14.471282496341772</v>
      </c>
      <c r="AH441" s="304">
        <f t="shared" ca="1" si="202"/>
        <v>-5.1462044429272371</v>
      </c>
    </row>
    <row r="442" spans="1:34" x14ac:dyDescent="0.2">
      <c r="A442" s="347">
        <f t="shared" ca="1" si="180"/>
        <v>0.1</v>
      </c>
      <c r="B442" s="304">
        <f t="shared" ca="1" si="181"/>
        <v>7.7999999999999456</v>
      </c>
      <c r="D442" s="306">
        <f t="shared" ca="1" si="182"/>
        <v>-1.5667502783455329</v>
      </c>
      <c r="E442" s="307">
        <f t="shared" ca="1" si="183"/>
        <v>-14.558999349210794</v>
      </c>
      <c r="F442" s="304">
        <f t="shared" ca="1" si="184"/>
        <v>14.643058713431977</v>
      </c>
      <c r="G442" s="306">
        <f t="shared" ca="1" si="185"/>
        <v>32.376121180580185</v>
      </c>
      <c r="H442" s="307">
        <f t="shared" ca="1" si="186"/>
        <v>97.154727525708395</v>
      </c>
      <c r="I442" s="304">
        <f t="shared" ca="1" si="187"/>
        <v>102.40729614287379</v>
      </c>
      <c r="J442" s="306">
        <f t="shared" ca="1" si="188"/>
        <v>248.79975505101027</v>
      </c>
      <c r="K442" s="307">
        <f t="shared" ca="1" si="189"/>
        <v>981.58596624982545</v>
      </c>
      <c r="L442" s="304">
        <f t="shared" ca="1" si="174"/>
        <v>1012.6264500061443</v>
      </c>
      <c r="M442" s="306">
        <f t="shared" ca="1" si="190"/>
        <v>1.2491271828453288</v>
      </c>
      <c r="N442" s="304">
        <f t="shared" ca="1" si="191"/>
        <v>71.569715652103625</v>
      </c>
      <c r="P442" s="310">
        <f t="shared" ca="1" si="192"/>
        <v>23</v>
      </c>
      <c r="Q442" s="304">
        <f t="shared" ca="1" si="193"/>
        <v>0</v>
      </c>
      <c r="R442" s="306">
        <f t="shared" ca="1" si="194"/>
        <v>0</v>
      </c>
      <c r="S442" s="307">
        <f t="shared" ca="1" si="195"/>
        <v>7.8079999999999892</v>
      </c>
      <c r="T442" s="304">
        <f t="shared" ca="1" si="175"/>
        <v>76.5964799999999</v>
      </c>
      <c r="U442" s="311">
        <f t="shared" ca="1" si="176"/>
        <v>0</v>
      </c>
      <c r="V442" s="306">
        <f t="shared" ca="1" si="177"/>
        <v>1.1103811327141579</v>
      </c>
      <c r="W442" s="304">
        <f t="shared" ca="1" si="178"/>
        <v>37.939829776945629</v>
      </c>
      <c r="Y442" s="314" t="str">
        <f t="shared" ca="1" si="196"/>
        <v/>
      </c>
      <c r="Z442" s="315" t="str">
        <f t="shared" ca="1" si="197"/>
        <v/>
      </c>
      <c r="AA442" s="316" t="str">
        <f t="shared" ca="1" si="198"/>
        <v/>
      </c>
      <c r="AC442" s="310" t="e">
        <f t="shared" ca="1" si="199"/>
        <v>#N/A</v>
      </c>
      <c r="AD442" s="323" t="e">
        <f t="shared" ca="1" si="200"/>
        <v>#N/A</v>
      </c>
      <c r="AE442" s="324">
        <f t="shared" ca="1" si="179"/>
        <v>981.58596624982545</v>
      </c>
      <c r="AG442" s="306">
        <f t="shared" ca="1" si="201"/>
        <v>-14.316871986440249</v>
      </c>
      <c r="AH442" s="304">
        <f t="shared" ca="1" si="202"/>
        <v>-5.0007700660498617</v>
      </c>
    </row>
    <row r="443" spans="1:34" x14ac:dyDescent="0.2">
      <c r="A443" s="347">
        <f t="shared" ca="1" si="180"/>
        <v>0.1</v>
      </c>
      <c r="B443" s="304">
        <f t="shared" ca="1" si="181"/>
        <v>7.8999999999999453</v>
      </c>
      <c r="D443" s="306">
        <f t="shared" ca="1" si="182"/>
        <v>-1.5362061189785159</v>
      </c>
      <c r="E443" s="307">
        <f t="shared" ca="1" si="183"/>
        <v>-14.41986929472597</v>
      </c>
      <c r="F443" s="304">
        <f t="shared" ca="1" si="184"/>
        <v>14.501467502186387</v>
      </c>
      <c r="G443" s="306">
        <f t="shared" ca="1" si="185"/>
        <v>32.222500568682335</v>
      </c>
      <c r="H443" s="307">
        <f t="shared" ca="1" si="186"/>
        <v>95.712740596235804</v>
      </c>
      <c r="I443" s="304">
        <f t="shared" ca="1" si="187"/>
        <v>100.99117909669665</v>
      </c>
      <c r="J443" s="306">
        <f t="shared" ca="1" si="188"/>
        <v>252.02968613847338</v>
      </c>
      <c r="K443" s="307">
        <f t="shared" ca="1" si="189"/>
        <v>991.22933965592267</v>
      </c>
      <c r="L443" s="304">
        <f t="shared" ca="1" si="174"/>
        <v>1022.768090277446</v>
      </c>
      <c r="M443" s="306">
        <f t="shared" ca="1" si="190"/>
        <v>1.2460561803835621</v>
      </c>
      <c r="N443" s="304">
        <f t="shared" ca="1" si="191"/>
        <v>71.393760172170104</v>
      </c>
      <c r="P443" s="310">
        <f t="shared" ca="1" si="192"/>
        <v>23</v>
      </c>
      <c r="Q443" s="304">
        <f t="shared" ca="1" si="193"/>
        <v>0</v>
      </c>
      <c r="R443" s="306">
        <f t="shared" ca="1" si="194"/>
        <v>0</v>
      </c>
      <c r="S443" s="307">
        <f t="shared" ca="1" si="195"/>
        <v>7.8079999999999892</v>
      </c>
      <c r="T443" s="304">
        <f t="shared" ca="1" si="175"/>
        <v>76.5964799999999</v>
      </c>
      <c r="U443" s="311">
        <f t="shared" ca="1" si="176"/>
        <v>0</v>
      </c>
      <c r="V443" s="306">
        <f t="shared" ca="1" si="177"/>
        <v>1.109308258327246</v>
      </c>
      <c r="W443" s="304">
        <f t="shared" ca="1" si="178"/>
        <v>36.862147841839565</v>
      </c>
      <c r="Y443" s="314" t="str">
        <f t="shared" ca="1" si="196"/>
        <v/>
      </c>
      <c r="Z443" s="315" t="str">
        <f t="shared" ca="1" si="197"/>
        <v/>
      </c>
      <c r="AA443" s="316" t="str">
        <f t="shared" ca="1" si="198"/>
        <v/>
      </c>
      <c r="AC443" s="310" t="e">
        <f t="shared" ca="1" si="199"/>
        <v>#N/A</v>
      </c>
      <c r="AD443" s="323" t="e">
        <f t="shared" ca="1" si="200"/>
        <v>#N/A</v>
      </c>
      <c r="AE443" s="324">
        <f t="shared" ca="1" si="179"/>
        <v>991.22933965592267</v>
      </c>
      <c r="AG443" s="306">
        <f t="shared" ca="1" si="201"/>
        <v>-14.165932725417212</v>
      </c>
      <c r="AH443" s="304">
        <f t="shared" ca="1" si="202"/>
        <v>-4.8590970513506253</v>
      </c>
    </row>
    <row r="444" spans="1:34" x14ac:dyDescent="0.2">
      <c r="A444" s="347">
        <f t="shared" ca="1" si="180"/>
        <v>0.1</v>
      </c>
      <c r="B444" s="304">
        <f t="shared" ca="1" si="181"/>
        <v>7.9999999999999449</v>
      </c>
      <c r="D444" s="306">
        <f t="shared" ca="1" si="182"/>
        <v>-1.5063178732028746</v>
      </c>
      <c r="E444" s="307">
        <f t="shared" ca="1" si="183"/>
        <v>-14.28432102750789</v>
      </c>
      <c r="F444" s="304">
        <f t="shared" ca="1" si="184"/>
        <v>14.363523967050511</v>
      </c>
      <c r="G444" s="306">
        <f t="shared" ca="1" si="185"/>
        <v>32.071868781362049</v>
      </c>
      <c r="H444" s="307">
        <f t="shared" ca="1" si="186"/>
        <v>94.284308493485014</v>
      </c>
      <c r="I444" s="304">
        <f t="shared" ca="1" si="187"/>
        <v>99.589836806892876</v>
      </c>
      <c r="J444" s="306">
        <f t="shared" ca="1" si="188"/>
        <v>255.2444046059756</v>
      </c>
      <c r="K444" s="307">
        <f t="shared" ca="1" si="189"/>
        <v>1000.7291921104087</v>
      </c>
      <c r="L444" s="304">
        <f t="shared" ca="1" si="174"/>
        <v>1032.767457864843</v>
      </c>
      <c r="M444" s="306">
        <f t="shared" ca="1" si="190"/>
        <v>1.2429132808468355</v>
      </c>
      <c r="N444" s="304">
        <f t="shared" ca="1" si="191"/>
        <v>71.213685293282055</v>
      </c>
      <c r="P444" s="310">
        <f t="shared" ca="1" si="192"/>
        <v>23</v>
      </c>
      <c r="Q444" s="304">
        <f t="shared" ca="1" si="193"/>
        <v>0</v>
      </c>
      <c r="R444" s="306">
        <f t="shared" ca="1" si="194"/>
        <v>0</v>
      </c>
      <c r="S444" s="307">
        <f t="shared" ca="1" si="195"/>
        <v>7.8079999999999892</v>
      </c>
      <c r="T444" s="304">
        <f t="shared" ca="1" si="175"/>
        <v>76.5964799999999</v>
      </c>
      <c r="U444" s="311">
        <f t="shared" ca="1" si="176"/>
        <v>0</v>
      </c>
      <c r="V444" s="306">
        <f t="shared" ca="1" si="177"/>
        <v>1.1082523148009742</v>
      </c>
      <c r="W444" s="304">
        <f t="shared" ca="1" si="178"/>
        <v>35.812133396118675</v>
      </c>
      <c r="Y444" s="314" t="str">
        <f t="shared" ca="1" si="196"/>
        <v/>
      </c>
      <c r="Z444" s="315" t="str">
        <f t="shared" ca="1" si="197"/>
        <v/>
      </c>
      <c r="AA444" s="316" t="str">
        <f t="shared" ca="1" si="198"/>
        <v/>
      </c>
      <c r="AC444" s="310">
        <f t="shared" ca="1" si="199"/>
        <v>7.9999999999999449</v>
      </c>
      <c r="AD444" s="323">
        <f t="shared" ca="1" si="200"/>
        <v>255.2444046059756</v>
      </c>
      <c r="AE444" s="324">
        <f t="shared" ca="1" si="179"/>
        <v>1000.7291921104087</v>
      </c>
      <c r="AG444" s="306">
        <f t="shared" ca="1" si="201"/>
        <v>-14.018341545152062</v>
      </c>
      <c r="AH444" s="304">
        <f t="shared" ca="1" si="202"/>
        <v>-4.7210742625306885</v>
      </c>
    </row>
    <row r="445" spans="1:34" x14ac:dyDescent="0.2">
      <c r="A445" s="347">
        <f t="shared" ca="1" si="180"/>
        <v>0.1</v>
      </c>
      <c r="B445" s="304">
        <f t="shared" ca="1" si="181"/>
        <v>8.0999999999999446</v>
      </c>
      <c r="D445" s="306">
        <f t="shared" ca="1" si="182"/>
        <v>-1.4770650923328348</v>
      </c>
      <c r="E445" s="307">
        <f t="shared" ca="1" si="183"/>
        <v>-14.152249645003462</v>
      </c>
      <c r="F445" s="304">
        <f t="shared" ca="1" si="184"/>
        <v>14.229121241365849</v>
      </c>
      <c r="G445" s="306">
        <f t="shared" ca="1" si="185"/>
        <v>31.924162272128765</v>
      </c>
      <c r="H445" s="307">
        <f t="shared" ca="1" si="186"/>
        <v>92.869083528984675</v>
      </c>
      <c r="I445" s="304">
        <f t="shared" ca="1" si="187"/>
        <v>98.202947065201371</v>
      </c>
      <c r="J445" s="306">
        <f t="shared" ca="1" si="188"/>
        <v>258.44420615865016</v>
      </c>
      <c r="K445" s="307">
        <f t="shared" ca="1" si="189"/>
        <v>1010.0868617115322</v>
      </c>
      <c r="L445" s="304">
        <f t="shared" ca="1" si="174"/>
        <v>1042.6259520553028</v>
      </c>
      <c r="M445" s="306">
        <f t="shared" ca="1" si="190"/>
        <v>1.2396962555125732</v>
      </c>
      <c r="N445" s="304">
        <f t="shared" ca="1" si="191"/>
        <v>71.029363319042162</v>
      </c>
      <c r="P445" s="310">
        <f t="shared" ca="1" si="192"/>
        <v>23</v>
      </c>
      <c r="Q445" s="304">
        <f t="shared" ca="1" si="193"/>
        <v>0</v>
      </c>
      <c r="R445" s="306">
        <f t="shared" ca="1" si="194"/>
        <v>0</v>
      </c>
      <c r="S445" s="307">
        <f t="shared" ca="1" si="195"/>
        <v>7.8079999999999892</v>
      </c>
      <c r="T445" s="304">
        <f t="shared" ca="1" si="175"/>
        <v>76.5964799999999</v>
      </c>
      <c r="U445" s="311">
        <f t="shared" ca="1" si="176"/>
        <v>0</v>
      </c>
      <c r="V445" s="306">
        <f t="shared" ca="1" si="177"/>
        <v>1.1072131089946546</v>
      </c>
      <c r="W445" s="304">
        <f t="shared" ca="1" si="178"/>
        <v>34.788985666162247</v>
      </c>
      <c r="Y445" s="314" t="str">
        <f t="shared" ca="1" si="196"/>
        <v/>
      </c>
      <c r="Z445" s="315" t="str">
        <f t="shared" ca="1" si="197"/>
        <v/>
      </c>
      <c r="AA445" s="316" t="str">
        <f t="shared" ca="1" si="198"/>
        <v/>
      </c>
      <c r="AC445" s="310" t="e">
        <f t="shared" ca="1" si="199"/>
        <v>#N/A</v>
      </c>
      <c r="AD445" s="323" t="e">
        <f t="shared" ca="1" si="200"/>
        <v>#N/A</v>
      </c>
      <c r="AE445" s="324">
        <f t="shared" ca="1" si="179"/>
        <v>1010.0868617115322</v>
      </c>
      <c r="AG445" s="306">
        <f t="shared" ca="1" si="201"/>
        <v>-13.87397904776482</v>
      </c>
      <c r="AH445" s="304">
        <f t="shared" ca="1" si="202"/>
        <v>-4.5865949533963528</v>
      </c>
    </row>
    <row r="446" spans="1:34" x14ac:dyDescent="0.2">
      <c r="A446" s="347">
        <f t="shared" ca="1" si="180"/>
        <v>0.1</v>
      </c>
      <c r="B446" s="304">
        <f t="shared" ca="1" si="181"/>
        <v>8.1999999999999442</v>
      </c>
      <c r="D446" s="306">
        <f t="shared" ca="1" si="182"/>
        <v>-1.4484281283985005</v>
      </c>
      <c r="E446" s="307">
        <f t="shared" ca="1" si="183"/>
        <v>-14.023554350944027</v>
      </c>
      <c r="F446" s="304">
        <f t="shared" ca="1" si="184"/>
        <v>14.098156641100889</v>
      </c>
      <c r="G446" s="306">
        <f t="shared" ca="1" si="185"/>
        <v>31.779319459288914</v>
      </c>
      <c r="H446" s="307">
        <f t="shared" ca="1" si="186"/>
        <v>91.466728093890268</v>
      </c>
      <c r="I446" s="304">
        <f t="shared" ca="1" si="187"/>
        <v>96.83019928460952</v>
      </c>
      <c r="J446" s="306">
        <f t="shared" ca="1" si="188"/>
        <v>261.62938024522106</v>
      </c>
      <c r="K446" s="307">
        <f t="shared" ca="1" si="189"/>
        <v>1019.3036522926759</v>
      </c>
      <c r="L446" s="304">
        <f t="shared" ca="1" si="174"/>
        <v>1052.3449378339246</v>
      </c>
      <c r="M446" s="306">
        <f t="shared" ca="1" si="190"/>
        <v>1.2364027836656053</v>
      </c>
      <c r="N446" s="304">
        <f t="shared" ca="1" si="191"/>
        <v>70.840661282265742</v>
      </c>
      <c r="P446" s="310">
        <f t="shared" ca="1" si="192"/>
        <v>23</v>
      </c>
      <c r="Q446" s="304">
        <f t="shared" ca="1" si="193"/>
        <v>0</v>
      </c>
      <c r="R446" s="306">
        <f t="shared" ca="1" si="194"/>
        <v>0</v>
      </c>
      <c r="S446" s="307">
        <f t="shared" ca="1" si="195"/>
        <v>7.8079999999999892</v>
      </c>
      <c r="T446" s="304">
        <f t="shared" ca="1" si="175"/>
        <v>76.5964799999999</v>
      </c>
      <c r="U446" s="311">
        <f t="shared" ca="1" si="176"/>
        <v>0</v>
      </c>
      <c r="V446" s="306">
        <f t="shared" ca="1" si="177"/>
        <v>1.1061904528604749</v>
      </c>
      <c r="W446" s="304">
        <f t="shared" ca="1" si="178"/>
        <v>33.791935087042198</v>
      </c>
      <c r="Y446" s="314" t="str">
        <f t="shared" ca="1" si="196"/>
        <v/>
      </c>
      <c r="Z446" s="315" t="str">
        <f t="shared" ca="1" si="197"/>
        <v/>
      </c>
      <c r="AA446" s="316" t="str">
        <f t="shared" ca="1" si="198"/>
        <v/>
      </c>
      <c r="AC446" s="310" t="e">
        <f t="shared" ca="1" si="199"/>
        <v>#N/A</v>
      </c>
      <c r="AD446" s="323" t="e">
        <f t="shared" ca="1" si="200"/>
        <v>#N/A</v>
      </c>
      <c r="AE446" s="324">
        <f t="shared" ca="1" si="179"/>
        <v>1019.3036522926759</v>
      </c>
      <c r="AG446" s="306">
        <f t="shared" ca="1" si="201"/>
        <v>-13.732729366117638</v>
      </c>
      <c r="AH446" s="304">
        <f t="shared" ca="1" si="202"/>
        <v>-4.4555565658507037</v>
      </c>
    </row>
    <row r="447" spans="1:34" x14ac:dyDescent="0.2">
      <c r="A447" s="347">
        <f t="shared" ca="1" si="180"/>
        <v>0.1</v>
      </c>
      <c r="B447" s="304">
        <f t="shared" ca="1" si="181"/>
        <v>8.2999999999999439</v>
      </c>
      <c r="D447" s="306">
        <f t="shared" ca="1" si="182"/>
        <v>-1.4203880984887085</v>
      </c>
      <c r="E447" s="307">
        <f t="shared" ca="1" si="183"/>
        <v>-13.898138267362746</v>
      </c>
      <c r="F447" s="304">
        <f t="shared" ca="1" si="184"/>
        <v>13.970531473392883</v>
      </c>
      <c r="G447" s="306">
        <f t="shared" ca="1" si="185"/>
        <v>31.637280649440044</v>
      </c>
      <c r="H447" s="307">
        <f t="shared" ca="1" si="186"/>
        <v>90.076914267153995</v>
      </c>
      <c r="I447" s="304">
        <f t="shared" ca="1" si="187"/>
        <v>95.471294171513378</v>
      </c>
      <c r="J447" s="306">
        <f t="shared" ca="1" si="188"/>
        <v>264.80021025065753</v>
      </c>
      <c r="K447" s="307">
        <f t="shared" ca="1" si="189"/>
        <v>1028.3808344107281</v>
      </c>
      <c r="L447" s="304">
        <f t="shared" ca="1" si="174"/>
        <v>1061.9257469014008</v>
      </c>
      <c r="M447" s="306">
        <f t="shared" ca="1" si="190"/>
        <v>1.2330304480600189</v>
      </c>
      <c r="N447" s="304">
        <f t="shared" ca="1" si="191"/>
        <v>70.647440684963954</v>
      </c>
      <c r="P447" s="310">
        <f t="shared" ca="1" si="192"/>
        <v>23</v>
      </c>
      <c r="Q447" s="304">
        <f t="shared" ca="1" si="193"/>
        <v>0</v>
      </c>
      <c r="R447" s="306">
        <f t="shared" ca="1" si="194"/>
        <v>0</v>
      </c>
      <c r="S447" s="307">
        <f t="shared" ca="1" si="195"/>
        <v>7.8079999999999892</v>
      </c>
      <c r="T447" s="304">
        <f t="shared" ca="1" si="175"/>
        <v>76.5964799999999</v>
      </c>
      <c r="U447" s="311">
        <f t="shared" ca="1" si="176"/>
        <v>0</v>
      </c>
      <c r="V447" s="306">
        <f t="shared" ca="1" si="177"/>
        <v>1.105184163291197</v>
      </c>
      <c r="W447" s="304">
        <f t="shared" ca="1" si="178"/>
        <v>32.820241890644638</v>
      </c>
      <c r="Y447" s="314" t="str">
        <f t="shared" ca="1" si="196"/>
        <v/>
      </c>
      <c r="Z447" s="315" t="str">
        <f t="shared" ca="1" si="197"/>
        <v/>
      </c>
      <c r="AA447" s="316" t="str">
        <f t="shared" ca="1" si="198"/>
        <v/>
      </c>
      <c r="AC447" s="310" t="e">
        <f t="shared" ca="1" si="199"/>
        <v>#N/A</v>
      </c>
      <c r="AD447" s="323" t="e">
        <f t="shared" ca="1" si="200"/>
        <v>#N/A</v>
      </c>
      <c r="AE447" s="324">
        <f t="shared" ca="1" si="179"/>
        <v>1028.3808344107281</v>
      </c>
      <c r="AG447" s="306">
        <f t="shared" ca="1" si="201"/>
        <v>-13.59447993266115</v>
      </c>
      <c r="AH447" s="304">
        <f t="shared" ca="1" si="202"/>
        <v>-4.3278605388117626</v>
      </c>
    </row>
    <row r="448" spans="1:34" x14ac:dyDescent="0.2">
      <c r="A448" s="347">
        <f t="shared" ca="1" si="180"/>
        <v>0.1</v>
      </c>
      <c r="B448" s="304">
        <f t="shared" ca="1" si="181"/>
        <v>8.3999999999999435</v>
      </c>
      <c r="D448" s="306">
        <f t="shared" ca="1" si="182"/>
        <v>-1.3929268510859933</v>
      </c>
      <c r="E448" s="307">
        <f t="shared" ca="1" si="183"/>
        <v>-13.775908256653864</v>
      </c>
      <c r="F448" s="304">
        <f t="shared" ca="1" si="184"/>
        <v>13.846150855317893</v>
      </c>
      <c r="G448" s="306">
        <f t="shared" ca="1" si="185"/>
        <v>31.497987964331443</v>
      </c>
      <c r="H448" s="307">
        <f t="shared" ca="1" si="186"/>
        <v>88.699323441488616</v>
      </c>
      <c r="I448" s="304">
        <f t="shared" ca="1" si="187"/>
        <v>94.125943420392773</v>
      </c>
      <c r="J448" s="306">
        <f t="shared" ca="1" si="188"/>
        <v>267.95697368134608</v>
      </c>
      <c r="K448" s="307">
        <f t="shared" ca="1" si="189"/>
        <v>1037.3196462961603</v>
      </c>
      <c r="L448" s="304">
        <f t="shared" ca="1" si="174"/>
        <v>1071.3696786527312</v>
      </c>
      <c r="M448" s="306">
        <f t="shared" ca="1" si="190"/>
        <v>1.229576730124136</v>
      </c>
      <c r="N448" s="304">
        <f t="shared" ca="1" si="191"/>
        <v>70.449557223609233</v>
      </c>
      <c r="P448" s="310">
        <f t="shared" ca="1" si="192"/>
        <v>23</v>
      </c>
      <c r="Q448" s="304">
        <f t="shared" ca="1" si="193"/>
        <v>0</v>
      </c>
      <c r="R448" s="306">
        <f t="shared" ca="1" si="194"/>
        <v>0</v>
      </c>
      <c r="S448" s="307">
        <f t="shared" ca="1" si="195"/>
        <v>7.8079999999999892</v>
      </c>
      <c r="T448" s="304">
        <f t="shared" ca="1" si="175"/>
        <v>76.5964799999999</v>
      </c>
      <c r="U448" s="311">
        <f t="shared" ca="1" si="176"/>
        <v>0</v>
      </c>
      <c r="V448" s="306">
        <f t="shared" ca="1" si="177"/>
        <v>1.1041940619739057</v>
      </c>
      <c r="W448" s="304">
        <f t="shared" ca="1" si="178"/>
        <v>31.873194769012585</v>
      </c>
      <c r="Y448" s="314" t="str">
        <f t="shared" ca="1" si="196"/>
        <v/>
      </c>
      <c r="Z448" s="315" t="str">
        <f t="shared" ca="1" si="197"/>
        <v/>
      </c>
      <c r="AA448" s="316" t="str">
        <f t="shared" ca="1" si="198"/>
        <v/>
      </c>
      <c r="AC448" s="310" t="e">
        <f t="shared" ca="1" si="199"/>
        <v>#N/A</v>
      </c>
      <c r="AD448" s="323" t="e">
        <f t="shared" ca="1" si="200"/>
        <v>#N/A</v>
      </c>
      <c r="AE448" s="324">
        <f t="shared" ca="1" si="179"/>
        <v>1037.3196462961603</v>
      </c>
      <c r="AG448" s="306">
        <f t="shared" ca="1" si="201"/>
        <v>-13.45912125576006</v>
      </c>
      <c r="AH448" s="304">
        <f t="shared" ca="1" si="202"/>
        <v>-4.203412127387895</v>
      </c>
    </row>
    <row r="449" spans="1:34" x14ac:dyDescent="0.2">
      <c r="A449" s="347">
        <f t="shared" ca="1" si="180"/>
        <v>0.1</v>
      </c>
      <c r="B449" s="304">
        <f t="shared" ca="1" si="181"/>
        <v>8.4999999999999432</v>
      </c>
      <c r="D449" s="306">
        <f t="shared" ca="1" si="182"/>
        <v>-1.3660269342785265</v>
      </c>
      <c r="E449" s="307">
        <f t="shared" ca="1" si="183"/>
        <v>-13.656774753059308</v>
      </c>
      <c r="F449" s="304">
        <f t="shared" ca="1" si="184"/>
        <v>13.724923542263269</v>
      </c>
      <c r="G449" s="306">
        <f t="shared" ca="1" si="185"/>
        <v>31.36138527090359</v>
      </c>
      <c r="H449" s="307">
        <f t="shared" ca="1" si="186"/>
        <v>87.333645966182686</v>
      </c>
      <c r="I449" s="304">
        <f t="shared" ca="1" si="187"/>
        <v>92.793869430348607</v>
      </c>
      <c r="J449" s="306">
        <f t="shared" ca="1" si="188"/>
        <v>271.09994234310784</v>
      </c>
      <c r="K449" s="307">
        <f t="shared" ca="1" si="189"/>
        <v>1046.1212947665438</v>
      </c>
      <c r="L449" s="304">
        <f t="shared" ca="1" si="174"/>
        <v>1080.678001118958</v>
      </c>
      <c r="M449" s="306">
        <f t="shared" ca="1" si="190"/>
        <v>1.2260390048928616</v>
      </c>
      <c r="N449" s="304">
        <f t="shared" ca="1" si="191"/>
        <v>70.246860498780251</v>
      </c>
      <c r="P449" s="310">
        <f t="shared" ca="1" si="192"/>
        <v>23</v>
      </c>
      <c r="Q449" s="304">
        <f t="shared" ca="1" si="193"/>
        <v>0</v>
      </c>
      <c r="R449" s="306">
        <f t="shared" ca="1" si="194"/>
        <v>0</v>
      </c>
      <c r="S449" s="307">
        <f t="shared" ca="1" si="195"/>
        <v>7.8079999999999892</v>
      </c>
      <c r="T449" s="304">
        <f t="shared" ca="1" si="175"/>
        <v>76.5964799999999</v>
      </c>
      <c r="U449" s="311">
        <f t="shared" ca="1" si="176"/>
        <v>0</v>
      </c>
      <c r="V449" s="306">
        <f t="shared" ca="1" si="177"/>
        <v>1.1032199752495315</v>
      </c>
      <c r="W449" s="304">
        <f t="shared" ca="1" si="178"/>
        <v>30.95010960837444</v>
      </c>
      <c r="Y449" s="314" t="str">
        <f t="shared" ca="1" si="196"/>
        <v/>
      </c>
      <c r="Z449" s="315" t="str">
        <f t="shared" ca="1" si="197"/>
        <v/>
      </c>
      <c r="AA449" s="316" t="str">
        <f t="shared" ca="1" si="198"/>
        <v/>
      </c>
      <c r="AC449" s="310" t="e">
        <f t="shared" ca="1" si="199"/>
        <v>#N/A</v>
      </c>
      <c r="AD449" s="323" t="e">
        <f t="shared" ca="1" si="200"/>
        <v>#N/A</v>
      </c>
      <c r="AE449" s="324">
        <f t="shared" ca="1" si="179"/>
        <v>1046.1212947665438</v>
      </c>
      <c r="AG449" s="306">
        <f t="shared" ca="1" si="201"/>
        <v>-13.32654670266238</v>
      </c>
      <c r="AH449" s="304">
        <f t="shared" ca="1" si="202"/>
        <v>-4.0821202316870684</v>
      </c>
    </row>
    <row r="450" spans="1:34" x14ac:dyDescent="0.2">
      <c r="A450" s="347">
        <f t="shared" ca="1" si="180"/>
        <v>0.1</v>
      </c>
      <c r="B450" s="304">
        <f t="shared" ca="1" si="181"/>
        <v>8.5999999999999428</v>
      </c>
      <c r="D450" s="306">
        <f t="shared" ca="1" si="182"/>
        <v>-1.3396715657422913</v>
      </c>
      <c r="E450" s="307">
        <f t="shared" ca="1" si="183"/>
        <v>-13.540651603009625</v>
      </c>
      <c r="F450" s="304">
        <f t="shared" ca="1" si="184"/>
        <v>13.606761765318945</v>
      </c>
      <c r="G450" s="306">
        <f t="shared" ca="1" si="185"/>
        <v>31.22741811432936</v>
      </c>
      <c r="H450" s="307">
        <f t="shared" ca="1" si="186"/>
        <v>85.979580805881724</v>
      </c>
      <c r="I450" s="304">
        <f t="shared" ca="1" si="187"/>
        <v>91.474805042931308</v>
      </c>
      <c r="J450" s="306">
        <f t="shared" ca="1" si="188"/>
        <v>274.22938251236951</v>
      </c>
      <c r="K450" s="307">
        <f t="shared" ca="1" si="189"/>
        <v>1054.7869561051471</v>
      </c>
      <c r="L450" s="304">
        <f t="shared" ca="1" si="174"/>
        <v>1089.8519518735914</v>
      </c>
      <c r="M450" s="306">
        <f t="shared" ca="1" si="190"/>
        <v>1.2224145356506839</v>
      </c>
      <c r="N450" s="304">
        <f t="shared" ca="1" si="191"/>
        <v>70.039193708228495</v>
      </c>
      <c r="P450" s="310">
        <f t="shared" ca="1" si="192"/>
        <v>23</v>
      </c>
      <c r="Q450" s="304">
        <f t="shared" ca="1" si="193"/>
        <v>0</v>
      </c>
      <c r="R450" s="306">
        <f t="shared" ca="1" si="194"/>
        <v>0</v>
      </c>
      <c r="S450" s="307">
        <f t="shared" ca="1" si="195"/>
        <v>7.8079999999999892</v>
      </c>
      <c r="T450" s="304">
        <f t="shared" ca="1" si="175"/>
        <v>76.5964799999999</v>
      </c>
      <c r="U450" s="311">
        <f t="shared" ca="1" si="176"/>
        <v>0</v>
      </c>
      <c r="V450" s="306">
        <f t="shared" ca="1" si="177"/>
        <v>1.1022617339778744</v>
      </c>
      <c r="W450" s="304">
        <f t="shared" ca="1" si="178"/>
        <v>30.050328289628926</v>
      </c>
      <c r="Y450" s="314" t="str">
        <f t="shared" ca="1" si="196"/>
        <v/>
      </c>
      <c r="Z450" s="315" t="str">
        <f t="shared" ca="1" si="197"/>
        <v/>
      </c>
      <c r="AA450" s="316" t="str">
        <f t="shared" ca="1" si="198"/>
        <v/>
      </c>
      <c r="AC450" s="310" t="e">
        <f t="shared" ca="1" si="199"/>
        <v>#N/A</v>
      </c>
      <c r="AD450" s="323" t="e">
        <f t="shared" ca="1" si="200"/>
        <v>#N/A</v>
      </c>
      <c r="AE450" s="324">
        <f t="shared" ca="1" si="179"/>
        <v>1054.7869561051471</v>
      </c>
      <c r="AG450" s="306">
        <f t="shared" ca="1" si="201"/>
        <v>-13.196652288301767</v>
      </c>
      <c r="AH450" s="304">
        <f t="shared" ca="1" si="202"/>
        <v>-3.9638972346791088</v>
      </c>
    </row>
    <row r="451" spans="1:34" x14ac:dyDescent="0.2">
      <c r="A451" s="347">
        <f t="shared" ca="1" si="180"/>
        <v>0.1</v>
      </c>
      <c r="B451" s="304">
        <f t="shared" ca="1" si="181"/>
        <v>8.6999999999999424</v>
      </c>
      <c r="D451" s="306">
        <f t="shared" ca="1" si="182"/>
        <v>-1.3138446043944159</v>
      </c>
      <c r="E451" s="307">
        <f t="shared" ca="1" si="183"/>
        <v>-13.427455913784483</v>
      </c>
      <c r="F451" s="304">
        <f t="shared" ca="1" si="184"/>
        <v>13.491581077142968</v>
      </c>
      <c r="G451" s="306">
        <f t="shared" ca="1" si="185"/>
        <v>31.096033653889918</v>
      </c>
      <c r="H451" s="307">
        <f t="shared" ca="1" si="186"/>
        <v>84.636835214503279</v>
      </c>
      <c r="I451" s="304">
        <f t="shared" ca="1" si="187"/>
        <v>90.168493300769072</v>
      </c>
      <c r="J451" s="306">
        <f t="shared" ca="1" si="188"/>
        <v>277.34555510078047</v>
      </c>
      <c r="K451" s="307">
        <f t="shared" ca="1" si="189"/>
        <v>1063.3177769061663</v>
      </c>
      <c r="L451" s="304">
        <f t="shared" ca="1" si="174"/>
        <v>1098.8927389053183</v>
      </c>
      <c r="M451" s="306">
        <f t="shared" ca="1" si="190"/>
        <v>1.2187004682675799</v>
      </c>
      <c r="N451" s="304">
        <f t="shared" ca="1" si="191"/>
        <v>69.826393322349446</v>
      </c>
      <c r="P451" s="310">
        <f t="shared" ca="1" si="192"/>
        <v>23</v>
      </c>
      <c r="Q451" s="304">
        <f t="shared" ca="1" si="193"/>
        <v>0</v>
      </c>
      <c r="R451" s="306">
        <f t="shared" ca="1" si="194"/>
        <v>0</v>
      </c>
      <c r="S451" s="307">
        <f t="shared" ca="1" si="195"/>
        <v>7.8079999999999892</v>
      </c>
      <c r="T451" s="304">
        <f t="shared" ca="1" si="175"/>
        <v>76.5964799999999</v>
      </c>
      <c r="U451" s="311">
        <f t="shared" ca="1" si="176"/>
        <v>0</v>
      </c>
      <c r="V451" s="306">
        <f t="shared" ca="1" si="177"/>
        <v>1.1013191734078869</v>
      </c>
      <c r="W451" s="304">
        <f t="shared" ca="1" si="178"/>
        <v>29.1732175513411</v>
      </c>
      <c r="Y451" s="314" t="str">
        <f t="shared" ca="1" si="196"/>
        <v/>
      </c>
      <c r="Z451" s="315" t="str">
        <f t="shared" ca="1" si="197"/>
        <v/>
      </c>
      <c r="AA451" s="316" t="str">
        <f t="shared" ca="1" si="198"/>
        <v/>
      </c>
      <c r="AC451" s="310" t="e">
        <f t="shared" ca="1" si="199"/>
        <v>#N/A</v>
      </c>
      <c r="AD451" s="323" t="e">
        <f t="shared" ca="1" si="200"/>
        <v>#N/A</v>
      </c>
      <c r="AE451" s="324">
        <f t="shared" ca="1" si="179"/>
        <v>1063.3177769061663</v>
      </c>
      <c r="AG451" s="306">
        <f t="shared" ca="1" si="201"/>
        <v>-13.069336469142993</v>
      </c>
      <c r="AH451" s="304">
        <f t="shared" ca="1" si="202"/>
        <v>-3.8486588485692836</v>
      </c>
    </row>
    <row r="452" spans="1:34" x14ac:dyDescent="0.2">
      <c r="A452" s="347">
        <f t="shared" ca="1" si="180"/>
        <v>0.1</v>
      </c>
      <c r="B452" s="304">
        <f t="shared" ca="1" si="181"/>
        <v>8.7999999999999421</v>
      </c>
      <c r="D452" s="306">
        <f t="shared" ca="1" si="182"/>
        <v>-1.2885305236258282</v>
      </c>
      <c r="E452" s="307">
        <f t="shared" ca="1" si="183"/>
        <v>-13.317107909993354</v>
      </c>
      <c r="F452" s="304">
        <f t="shared" ca="1" si="184"/>
        <v>13.37930020579264</v>
      </c>
      <c r="G452" s="306">
        <f t="shared" ca="1" si="185"/>
        <v>30.967180601527335</v>
      </c>
      <c r="H452" s="307">
        <f t="shared" ca="1" si="186"/>
        <v>83.305124423503941</v>
      </c>
      <c r="I452" s="304">
        <f t="shared" ca="1" si="187"/>
        <v>88.874687226583717</v>
      </c>
      <c r="J452" s="306">
        <f t="shared" ca="1" si="188"/>
        <v>280.44871581355136</v>
      </c>
      <c r="K452" s="307">
        <f t="shared" ca="1" si="189"/>
        <v>1071.7148748880666</v>
      </c>
      <c r="L452" s="304">
        <f t="shared" ref="L452:L515" ca="1" si="203">SQRT(pos_x^2+pos_z^2)</f>
        <v>1107.8015414584934</v>
      </c>
      <c r="M452" s="306">
        <f t="shared" ca="1" si="190"/>
        <v>1.2148938252090102</v>
      </c>
      <c r="N452" s="304">
        <f t="shared" ca="1" si="191"/>
        <v>69.608288740980626</v>
      </c>
      <c r="P452" s="310">
        <f t="shared" ca="1" si="192"/>
        <v>23</v>
      </c>
      <c r="Q452" s="304">
        <f t="shared" ca="1" si="193"/>
        <v>0</v>
      </c>
      <c r="R452" s="306">
        <f t="shared" ca="1" si="194"/>
        <v>0</v>
      </c>
      <c r="S452" s="307">
        <f t="shared" ca="1" si="195"/>
        <v>7.8079999999999892</v>
      </c>
      <c r="T452" s="304">
        <f t="shared" ref="T452:T515" ca="1" si="204">m*g</f>
        <v>76.5964799999999</v>
      </c>
      <c r="U452" s="311">
        <f t="shared" ref="U452:U515" ca="1" si="205">IF(pos_xz&lt;L_rampe,Poids*COS(Beta),0)</f>
        <v>0</v>
      </c>
      <c r="V452" s="306">
        <f t="shared" ref="V452:V515" ca="1" si="206">Rho_moyen*(20000-Alt_rampe-pos_z)/(20000+Alt_rampe+pos_z)</f>
        <v>1.1003921330529718</v>
      </c>
      <c r="W452" s="304">
        <f t="shared" ref="W452:W515" ca="1" si="207">1/2*Rho*Sref*Cx*vit_xz^2</f>
        <v>28.318167911566746</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1071.7148748880666</v>
      </c>
      <c r="AG452" s="306">
        <f t="shared" ca="1" si="201"/>
        <v>-12.944499941296495</v>
      </c>
      <c r="AH452" s="304">
        <f t="shared" ca="1" si="202"/>
        <v>-3.7363239691779127</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-1.2637143860280884</v>
      </c>
      <c r="E453" s="307">
        <f t="shared" ref="E453:E516" ca="1" si="212">IF(AND(L452&lt;L_rampe,Poussee&lt;Poids*SIN(M452)),0,(-W452+Poussee)/m*SIN(M452)+U452/m*COS(M452)-Poids/m)</f>
        <v>-13.209530797409744</v>
      </c>
      <c r="F453" s="304">
        <f t="shared" ref="F453:F516" ca="1" si="213">SQRT(acc_x^2+acc_z^2)</f>
        <v>13.269840916046087</v>
      </c>
      <c r="G453" s="306">
        <f t="shared" ref="G453:G516" ca="1" si="214">G452+acc_x*pas</f>
        <v>30.840809162924526</v>
      </c>
      <c r="H453" s="307">
        <f t="shared" ref="H453:H516" ca="1" si="215">H452+acc_z*pas</f>
        <v>81.984171343762966</v>
      </c>
      <c r="I453" s="304">
        <f t="shared" ref="I453:I516" ca="1" si="216">SQRT(vit_x^2+vit_z^2)</f>
        <v>87.593149622258778</v>
      </c>
      <c r="J453" s="306">
        <f t="shared" ref="J453:J516" ca="1" si="217">J452+0.5*(vit_x+G452)*pas*(K452&gt;=0)</f>
        <v>283.53911530177396</v>
      </c>
      <c r="K453" s="307">
        <f t="shared" ref="K453:K516" ca="1" si="218">K452+0.5*(vit_z+H452)*pas</f>
        <v>1079.9793396764298</v>
      </c>
      <c r="L453" s="304">
        <f t="shared" ca="1" si="203"/>
        <v>1116.5795108428463</v>
      </c>
      <c r="M453" s="306">
        <f t="shared" ref="M453:M516" ca="1" si="219">IF(AND(L452&gt;L_rampe,G453&gt;0),ATAN2(G453,H453),$M$4)</f>
        <v>1.2109914992000623</v>
      </c>
      <c r="N453" s="304">
        <f t="shared" ref="N453:N516" ca="1" si="220">DEGREES(Beta)</f>
        <v>69.384701930383784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7.8079999999999892</v>
      </c>
      <c r="T453" s="304">
        <f t="shared" ca="1" si="204"/>
        <v>76.5964799999999</v>
      </c>
      <c r="U453" s="311">
        <f t="shared" ca="1" si="205"/>
        <v>0</v>
      </c>
      <c r="V453" s="306">
        <f t="shared" ca="1" si="206"/>
        <v>1.0994804565710801</v>
      </c>
      <c r="W453" s="304">
        <f t="shared" ca="1" si="207"/>
        <v>27.484592645065682</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1079.9793396764298</v>
      </c>
      <c r="AG453" s="306">
        <f t="shared" ref="AG453:AG516" ca="1" si="230">IF(AND(L452&lt;L_rampe,Poussee&lt;Poids*SIN(M452)),0,(-W452+Poussee)/m-Poids*SIN(M452)/m)</f>
        <v>-12.822045442139665</v>
      </c>
      <c r="AH453" s="304">
        <f t="shared" ref="AH453:AH516" ca="1" si="231">IF(AND(L452&lt;L_rampe,Poussee&lt;Poids*SIN(M452)), g*SIN(M452), (-W452+Poussee)/m)</f>
        <v>-3.6268145378543526</v>
      </c>
    </row>
    <row r="454" spans="1:34" x14ac:dyDescent="0.2">
      <c r="A454" s="347">
        <f t="shared" ca="1" si="209"/>
        <v>0.1</v>
      </c>
      <c r="B454" s="304">
        <f t="shared" ca="1" si="210"/>
        <v>8.9999999999999414</v>
      </c>
      <c r="D454" s="306">
        <f t="shared" ca="1" si="211"/>
        <v>-1.2393818195355333</v>
      </c>
      <c r="E454" s="307">
        <f t="shared" ca="1" si="212"/>
        <v>-13.10465063372256</v>
      </c>
      <c r="F454" s="304">
        <f t="shared" ca="1" si="213"/>
        <v>13.163127877769792</v>
      </c>
      <c r="G454" s="306">
        <f t="shared" ca="1" si="214"/>
        <v>30.716870980970974</v>
      </c>
      <c r="H454" s="307">
        <f t="shared" ca="1" si="215"/>
        <v>80.673706280390704</v>
      </c>
      <c r="I454" s="304">
        <f t="shared" ca="1" si="216"/>
        <v>86.323652887701456</v>
      </c>
      <c r="J454" s="306">
        <f t="shared" ca="1" si="217"/>
        <v>286.61699930896873</v>
      </c>
      <c r="K454" s="307">
        <f t="shared" ca="1" si="218"/>
        <v>1088.1122335576376</v>
      </c>
      <c r="L454" s="304">
        <f t="shared" ca="1" si="203"/>
        <v>1125.2277712137522</v>
      </c>
      <c r="M454" s="306">
        <f t="shared" ca="1" si="219"/>
        <v>1.2069902465226416</v>
      </c>
      <c r="N454" s="304">
        <f t="shared" ca="1" si="220"/>
        <v>69.155447039202159</v>
      </c>
      <c r="P454" s="310">
        <f t="shared" ca="1" si="221"/>
        <v>23</v>
      </c>
      <c r="Q454" s="304">
        <f t="shared" ca="1" si="222"/>
        <v>0</v>
      </c>
      <c r="R454" s="306">
        <f t="shared" ca="1" si="223"/>
        <v>0</v>
      </c>
      <c r="S454" s="307">
        <f t="shared" ca="1" si="224"/>
        <v>7.8079999999999892</v>
      </c>
      <c r="T454" s="304">
        <f t="shared" ca="1" si="204"/>
        <v>76.5964799999999</v>
      </c>
      <c r="U454" s="311">
        <f t="shared" ca="1" si="205"/>
        <v>0</v>
      </c>
      <c r="V454" s="306">
        <f t="shared" ca="1" si="206"/>
        <v>1.0985839916493814</v>
      </c>
      <c r="W454" s="304">
        <f t="shared" ca="1" si="207"/>
        <v>26.67192681269</v>
      </c>
      <c r="Y454" s="314" t="str">
        <f t="shared" ca="1" si="225"/>
        <v/>
      </c>
      <c r="Z454" s="315" t="str">
        <f t="shared" ca="1" si="226"/>
        <v/>
      </c>
      <c r="AA454" s="316" t="str">
        <f t="shared" ca="1" si="227"/>
        <v/>
      </c>
      <c r="AC454" s="310">
        <f t="shared" ca="1" si="228"/>
        <v>8.9999999999999414</v>
      </c>
      <c r="AD454" s="323">
        <f t="shared" ca="1" si="229"/>
        <v>286.61699930896873</v>
      </c>
      <c r="AE454" s="324">
        <f t="shared" ca="1" si="208"/>
        <v>1088.1122335576376</v>
      </c>
      <c r="AG454" s="306">
        <f t="shared" ca="1" si="230"/>
        <v>-12.701877554689819</v>
      </c>
      <c r="AH454" s="304">
        <f t="shared" ca="1" si="231"/>
        <v>-3.5200554104848516</v>
      </c>
    </row>
    <row r="455" spans="1:34" x14ac:dyDescent="0.2">
      <c r="A455" s="347">
        <f t="shared" ca="1" si="209"/>
        <v>0.1</v>
      </c>
      <c r="B455" s="304">
        <f t="shared" ca="1" si="210"/>
        <v>9.099999999999941</v>
      </c>
      <c r="D455" s="306">
        <f t="shared" ca="1" si="211"/>
        <v>-1.2155189949096963</v>
      </c>
      <c r="E455" s="307">
        <f t="shared" ca="1" si="212"/>
        <v>-13.002396205796115</v>
      </c>
      <c r="F455" s="304">
        <f t="shared" ca="1" si="213"/>
        <v>13.05908854091615</v>
      </c>
      <c r="G455" s="306">
        <f t="shared" ca="1" si="214"/>
        <v>30.595319081480003</v>
      </c>
      <c r="H455" s="307">
        <f t="shared" ca="1" si="215"/>
        <v>79.373466659811086</v>
      </c>
      <c r="I455" s="304">
        <f t="shared" ca="1" si="216"/>
        <v>85.065978859316701</v>
      </c>
      <c r="J455" s="306">
        <f t="shared" ca="1" si="217"/>
        <v>289.6826088120913</v>
      </c>
      <c r="K455" s="307">
        <f t="shared" ca="1" si="218"/>
        <v>1096.1145922046478</v>
      </c>
      <c r="L455" s="304">
        <f t="shared" ca="1" si="203"/>
        <v>1133.7474203243596</v>
      </c>
      <c r="M455" s="306">
        <f t="shared" ca="1" si="219"/>
        <v>1.2028866799233831</v>
      </c>
      <c r="N455" s="304">
        <f t="shared" ca="1" si="220"/>
        <v>68.920329992113778</v>
      </c>
      <c r="P455" s="310">
        <f t="shared" ca="1" si="221"/>
        <v>23</v>
      </c>
      <c r="Q455" s="304">
        <f t="shared" ca="1" si="222"/>
        <v>0</v>
      </c>
      <c r="R455" s="306">
        <f t="shared" ca="1" si="223"/>
        <v>0</v>
      </c>
      <c r="S455" s="307">
        <f t="shared" ca="1" si="224"/>
        <v>7.8079999999999892</v>
      </c>
      <c r="T455" s="304">
        <f t="shared" ca="1" si="204"/>
        <v>76.5964799999999</v>
      </c>
      <c r="U455" s="311">
        <f t="shared" ca="1" si="205"/>
        <v>0</v>
      </c>
      <c r="V455" s="306">
        <f t="shared" ca="1" si="206"/>
        <v>1.0977025898933201</v>
      </c>
      <c r="W455" s="304">
        <f t="shared" ca="1" si="207"/>
        <v>25.879626339942654</v>
      </c>
      <c r="Y455" s="314" t="str">
        <f t="shared" ca="1" si="225"/>
        <v/>
      </c>
      <c r="Z455" s="315" t="str">
        <f t="shared" ca="1" si="226"/>
        <v/>
      </c>
      <c r="AA455" s="316" t="str">
        <f t="shared" ca="1" si="227"/>
        <v/>
      </c>
      <c r="AC455" s="310" t="e">
        <f t="shared" ca="1" si="228"/>
        <v>#N/A</v>
      </c>
      <c r="AD455" s="323" t="e">
        <f t="shared" ca="1" si="229"/>
        <v>#N/A</v>
      </c>
      <c r="AE455" s="324">
        <f t="shared" ca="1" si="208"/>
        <v>1096.1145922046478</v>
      </c>
      <c r="AG455" s="306">
        <f t="shared" ca="1" si="230"/>
        <v>-12.583902513976987</v>
      </c>
      <c r="AH455" s="304">
        <f t="shared" ca="1" si="231"/>
        <v>-3.4159742331826379</v>
      </c>
    </row>
    <row r="456" spans="1:34" x14ac:dyDescent="0.2">
      <c r="A456" s="347">
        <f t="shared" ca="1" si="209"/>
        <v>0.1</v>
      </c>
      <c r="B456" s="304">
        <f t="shared" ca="1" si="210"/>
        <v>9.1999999999999407</v>
      </c>
      <c r="D456" s="306">
        <f t="shared" ca="1" si="211"/>
        <v>-1.1921126044985109</v>
      </c>
      <c r="E456" s="307">
        <f t="shared" ca="1" si="212"/>
        <v>-12.902698913056277</v>
      </c>
      <c r="F456" s="304">
        <f t="shared" ca="1" si="213"/>
        <v>12.95765301676148</v>
      </c>
      <c r="G456" s="306">
        <f t="shared" ca="1" si="214"/>
        <v>30.476107821030151</v>
      </c>
      <c r="H456" s="307">
        <f t="shared" ca="1" si="215"/>
        <v>78.083196768505459</v>
      </c>
      <c r="I456" s="304">
        <f t="shared" ca="1" si="216"/>
        <v>83.819918667988446</v>
      </c>
      <c r="J456" s="306">
        <f t="shared" ca="1" si="217"/>
        <v>292.73618015721684</v>
      </c>
      <c r="K456" s="307">
        <f t="shared" ca="1" si="218"/>
        <v>1103.9874253760636</v>
      </c>
      <c r="L456" s="304">
        <f t="shared" ca="1" si="203"/>
        <v>1142.1395302507956</v>
      </c>
      <c r="M456" s="306">
        <f t="shared" ca="1" si="219"/>
        <v>1.1986772611087135</v>
      </c>
      <c r="N456" s="304">
        <f t="shared" ca="1" si="220"/>
        <v>68.679148059830254</v>
      </c>
      <c r="P456" s="310">
        <f t="shared" ca="1" si="221"/>
        <v>23</v>
      </c>
      <c r="Q456" s="304">
        <f t="shared" ca="1" si="222"/>
        <v>0</v>
      </c>
      <c r="R456" s="306">
        <f t="shared" ca="1" si="223"/>
        <v>0</v>
      </c>
      <c r="S456" s="307">
        <f t="shared" ca="1" si="224"/>
        <v>7.8079999999999892</v>
      </c>
      <c r="T456" s="304">
        <f t="shared" ca="1" si="204"/>
        <v>76.5964799999999</v>
      </c>
      <c r="U456" s="311">
        <f t="shared" ca="1" si="205"/>
        <v>0</v>
      </c>
      <c r="V456" s="306">
        <f t="shared" ca="1" si="206"/>
        <v>1.096836106719858</v>
      </c>
      <c r="W456" s="304">
        <f t="shared" ca="1" si="207"/>
        <v>25.107167141895921</v>
      </c>
      <c r="Y456" s="314" t="str">
        <f t="shared" ca="1" si="225"/>
        <v/>
      </c>
      <c r="Z456" s="315" t="str">
        <f t="shared" ca="1" si="226"/>
        <v/>
      </c>
      <c r="AA456" s="316" t="str">
        <f t="shared" ca="1" si="227"/>
        <v/>
      </c>
      <c r="AC456" s="310" t="e">
        <f t="shared" ca="1" si="228"/>
        <v>#N/A</v>
      </c>
      <c r="AD456" s="323" t="e">
        <f t="shared" ca="1" si="229"/>
        <v>#N/A</v>
      </c>
      <c r="AE456" s="324">
        <f t="shared" ca="1" si="208"/>
        <v>1103.9874253760636</v>
      </c>
      <c r="AG456" s="306">
        <f t="shared" ca="1" si="230"/>
        <v>-12.468028014663565</v>
      </c>
      <c r="AH456" s="304">
        <f t="shared" ca="1" si="231"/>
        <v>-3.3145013242754469</v>
      </c>
    </row>
    <row r="457" spans="1:34" x14ac:dyDescent="0.2">
      <c r="A457" s="347">
        <f t="shared" ca="1" si="209"/>
        <v>0.1</v>
      </c>
      <c r="B457" s="304">
        <f t="shared" ca="1" si="210"/>
        <v>9.2999999999999403</v>
      </c>
      <c r="D457" s="306">
        <f t="shared" ca="1" si="211"/>
        <v>-1.1691498422079305</v>
      </c>
      <c r="E457" s="307">
        <f t="shared" ca="1" si="212"/>
        <v>-12.805492656644079</v>
      </c>
      <c r="F457" s="304">
        <f t="shared" ca="1" si="213"/>
        <v>12.858753965019327</v>
      </c>
      <c r="G457" s="306">
        <f t="shared" ca="1" si="214"/>
        <v>30.35919283680936</v>
      </c>
      <c r="H457" s="307">
        <f t="shared" ca="1" si="215"/>
        <v>76.802647502841054</v>
      </c>
      <c r="I457" s="304">
        <f t="shared" ca="1" si="216"/>
        <v>82.58527261654001</v>
      </c>
      <c r="J457" s="306">
        <f t="shared" ca="1" si="217"/>
        <v>295.77794519010882</v>
      </c>
      <c r="K457" s="307">
        <f t="shared" ca="1" si="218"/>
        <v>1111.731717589631</v>
      </c>
      <c r="L457" s="304">
        <f t="shared" ca="1" si="203"/>
        <v>1150.4051480916078</v>
      </c>
      <c r="M457" s="306">
        <f t="shared" ca="1" si="219"/>
        <v>1.1943582928022007</v>
      </c>
      <c r="N457" s="304">
        <f t="shared" ca="1" si="220"/>
        <v>68.431689404016311</v>
      </c>
      <c r="P457" s="310">
        <f t="shared" ca="1" si="221"/>
        <v>23</v>
      </c>
      <c r="Q457" s="304">
        <f t="shared" ca="1" si="222"/>
        <v>0</v>
      </c>
      <c r="R457" s="306">
        <f t="shared" ca="1" si="223"/>
        <v>0</v>
      </c>
      <c r="S457" s="307">
        <f t="shared" ca="1" si="224"/>
        <v>7.8079999999999892</v>
      </c>
      <c r="T457" s="304">
        <f t="shared" ca="1" si="204"/>
        <v>76.5964799999999</v>
      </c>
      <c r="U457" s="311">
        <f t="shared" ca="1" si="205"/>
        <v>0</v>
      </c>
      <c r="V457" s="306">
        <f t="shared" ca="1" si="206"/>
        <v>1.0959844012547175</v>
      </c>
      <c r="W457" s="304">
        <f t="shared" ca="1" si="207"/>
        <v>24.354044291838985</v>
      </c>
      <c r="Y457" s="314" t="str">
        <f t="shared" ca="1" si="225"/>
        <v/>
      </c>
      <c r="Z457" s="315" t="str">
        <f t="shared" ca="1" si="226"/>
        <v/>
      </c>
      <c r="AA457" s="316" t="str">
        <f t="shared" ca="1" si="227"/>
        <v/>
      </c>
      <c r="AC457" s="310" t="e">
        <f t="shared" ca="1" si="228"/>
        <v>#N/A</v>
      </c>
      <c r="AD457" s="323" t="e">
        <f t="shared" ca="1" si="229"/>
        <v>#N/A</v>
      </c>
      <c r="AE457" s="324">
        <f t="shared" ca="1" si="208"/>
        <v>1111.731717589631</v>
      </c>
      <c r="AG457" s="306">
        <f t="shared" ca="1" si="230"/>
        <v>-12.354163019152828</v>
      </c>
      <c r="AH457" s="304">
        <f t="shared" ca="1" si="231"/>
        <v>-3.2155695622305274</v>
      </c>
    </row>
    <row r="458" spans="1:34" x14ac:dyDescent="0.2">
      <c r="A458" s="347">
        <f t="shared" ca="1" si="209"/>
        <v>0.1</v>
      </c>
      <c r="B458" s="304">
        <f t="shared" ca="1" si="210"/>
        <v>9.39999999999994</v>
      </c>
      <c r="D458" s="306">
        <f t="shared" ca="1" si="211"/>
        <v>-1.1466183846284512</v>
      </c>
      <c r="E458" s="307">
        <f t="shared" ca="1" si="212"/>
        <v>-12.710713734000285</v>
      </c>
      <c r="F458" s="304">
        <f t="shared" ca="1" si="213"/>
        <v>12.762326486486366</v>
      </c>
      <c r="G458" s="306">
        <f t="shared" ca="1" si="214"/>
        <v>30.244530998346516</v>
      </c>
      <c r="H458" s="307">
        <f t="shared" ca="1" si="215"/>
        <v>75.531576129441021</v>
      </c>
      <c r="I458" s="304">
        <f t="shared" ca="1" si="216"/>
        <v>81.361850076725077</v>
      </c>
      <c r="J458" s="306">
        <f t="shared" ca="1" si="217"/>
        <v>298.80813138186664</v>
      </c>
      <c r="K458" s="307">
        <f t="shared" ca="1" si="218"/>
        <v>1119.3484287712452</v>
      </c>
      <c r="L458" s="304">
        <f t="shared" ca="1" si="203"/>
        <v>1158.5452966425519</v>
      </c>
      <c r="M458" s="306">
        <f t="shared" ca="1" si="219"/>
        <v>1.1899259103380095</v>
      </c>
      <c r="N458" s="304">
        <f t="shared" ca="1" si="220"/>
        <v>68.17773259563036</v>
      </c>
      <c r="P458" s="310">
        <f t="shared" ca="1" si="221"/>
        <v>23</v>
      </c>
      <c r="Q458" s="304">
        <f t="shared" ca="1" si="222"/>
        <v>0</v>
      </c>
      <c r="R458" s="306">
        <f t="shared" ca="1" si="223"/>
        <v>0</v>
      </c>
      <c r="S458" s="307">
        <f t="shared" ca="1" si="224"/>
        <v>7.8079999999999892</v>
      </c>
      <c r="T458" s="304">
        <f t="shared" ca="1" si="204"/>
        <v>76.5964799999999</v>
      </c>
      <c r="U458" s="311">
        <f t="shared" ca="1" si="205"/>
        <v>0</v>
      </c>
      <c r="V458" s="306">
        <f t="shared" ca="1" si="206"/>
        <v>1.0951473362334641</v>
      </c>
      <c r="W458" s="304">
        <f t="shared" ca="1" si="207"/>
        <v>23.619771231192519</v>
      </c>
      <c r="Y458" s="314" t="str">
        <f t="shared" ca="1" si="225"/>
        <v/>
      </c>
      <c r="Z458" s="315" t="str">
        <f t="shared" ca="1" si="226"/>
        <v/>
      </c>
      <c r="AA458" s="316" t="str">
        <f t="shared" ca="1" si="227"/>
        <v/>
      </c>
      <c r="AC458" s="310" t="e">
        <f t="shared" ca="1" si="228"/>
        <v>#N/A</v>
      </c>
      <c r="AD458" s="323" t="e">
        <f t="shared" ca="1" si="229"/>
        <v>#N/A</v>
      </c>
      <c r="AE458" s="324">
        <f t="shared" ca="1" si="208"/>
        <v>1119.3484287712452</v>
      </c>
      <c r="AG458" s="306">
        <f t="shared" ca="1" si="230"/>
        <v>-12.24221756541885</v>
      </c>
      <c r="AH458" s="304">
        <f t="shared" ca="1" si="231"/>
        <v>-3.1191142791802022</v>
      </c>
    </row>
    <row r="459" spans="1:34" x14ac:dyDescent="0.2">
      <c r="A459" s="347">
        <f t="shared" ca="1" si="209"/>
        <v>0.1</v>
      </c>
      <c r="B459" s="304">
        <f t="shared" ca="1" si="210"/>
        <v>9.4999999999999396</v>
      </c>
      <c r="D459" s="306">
        <f t="shared" ca="1" si="211"/>
        <v>-1.124506373263666</v>
      </c>
      <c r="E459" s="307">
        <f t="shared" ca="1" si="212"/>
        <v>-12.618300738564923</v>
      </c>
      <c r="F459" s="304">
        <f t="shared" ca="1" si="213"/>
        <v>12.668308020899186</v>
      </c>
      <c r="G459" s="306">
        <f t="shared" ca="1" si="214"/>
        <v>30.132080361020151</v>
      </c>
      <c r="H459" s="307">
        <f t="shared" ca="1" si="215"/>
        <v>74.269746055584534</v>
      </c>
      <c r="I459" s="304">
        <f t="shared" ca="1" si="216"/>
        <v>80.149469405879358</v>
      </c>
      <c r="J459" s="306">
        <f t="shared" ca="1" si="217"/>
        <v>301.82696194983498</v>
      </c>
      <c r="K459" s="307">
        <f t="shared" ca="1" si="218"/>
        <v>1126.8384948804965</v>
      </c>
      <c r="L459" s="304">
        <f t="shared" ca="1" si="203"/>
        <v>1166.5609750477724</v>
      </c>
      <c r="M459" s="306">
        <f t="shared" ca="1" si="219"/>
        <v>1.1853760727629532</v>
      </c>
      <c r="N459" s="304">
        <f t="shared" ca="1" si="220"/>
        <v>67.917046105109591</v>
      </c>
      <c r="P459" s="310">
        <f t="shared" ca="1" si="221"/>
        <v>23</v>
      </c>
      <c r="Q459" s="304">
        <f t="shared" ca="1" si="222"/>
        <v>0</v>
      </c>
      <c r="R459" s="306">
        <f t="shared" ca="1" si="223"/>
        <v>0</v>
      </c>
      <c r="S459" s="307">
        <f t="shared" ca="1" si="224"/>
        <v>7.8079999999999892</v>
      </c>
      <c r="T459" s="304">
        <f t="shared" ca="1" si="204"/>
        <v>76.5964799999999</v>
      </c>
      <c r="U459" s="311">
        <f t="shared" ca="1" si="205"/>
        <v>0</v>
      </c>
      <c r="V459" s="306">
        <f t="shared" ca="1" si="206"/>
        <v>1.0943247779062539</v>
      </c>
      <c r="W459" s="304">
        <f t="shared" ca="1" si="207"/>
        <v>22.903879018382359</v>
      </c>
      <c r="Y459" s="314" t="str">
        <f t="shared" ca="1" si="225"/>
        <v/>
      </c>
      <c r="Z459" s="315" t="str">
        <f t="shared" ca="1" si="226"/>
        <v/>
      </c>
      <c r="AA459" s="316" t="str">
        <f t="shared" ca="1" si="227"/>
        <v/>
      </c>
      <c r="AC459" s="310" t="e">
        <f t="shared" ca="1" si="228"/>
        <v>#N/A</v>
      </c>
      <c r="AD459" s="323" t="e">
        <f t="shared" ca="1" si="229"/>
        <v>#N/A</v>
      </c>
      <c r="AE459" s="324">
        <f t="shared" ca="1" si="208"/>
        <v>1126.8384948804965</v>
      </c>
      <c r="AG459" s="306">
        <f t="shared" ca="1" si="230"/>
        <v>-12.132102573777184</v>
      </c>
      <c r="AH459" s="304">
        <f t="shared" ca="1" si="231"/>
        <v>-3.0250731597326528</v>
      </c>
    </row>
    <row r="460" spans="1:34" x14ac:dyDescent="0.2">
      <c r="A460" s="347">
        <f t="shared" ca="1" si="209"/>
        <v>0.1</v>
      </c>
      <c r="B460" s="304">
        <f t="shared" ca="1" si="210"/>
        <v>9.5999999999999392</v>
      </c>
      <c r="D460" s="306">
        <f t="shared" ca="1" si="211"/>
        <v>-1.102802397812247</v>
      </c>
      <c r="E460" s="307">
        <f t="shared" ca="1" si="212"/>
        <v>-12.528194464294611</v>
      </c>
      <c r="F460" s="304">
        <f t="shared" ca="1" si="213"/>
        <v>12.576638249699423</v>
      </c>
      <c r="G460" s="306">
        <f t="shared" ca="1" si="214"/>
        <v>30.021800121238925</v>
      </c>
      <c r="H460" s="307">
        <f t="shared" ca="1" si="215"/>
        <v>73.016926609155078</v>
      </c>
      <c r="I460" s="304">
        <f t="shared" ca="1" si="216"/>
        <v>78.94795788344598</v>
      </c>
      <c r="J460" s="306">
        <f t="shared" ca="1" si="217"/>
        <v>304.83465597394792</v>
      </c>
      <c r="K460" s="307">
        <f t="shared" ca="1" si="218"/>
        <v>1134.2028285137335</v>
      </c>
      <c r="L460" s="304">
        <f t="shared" ca="1" si="203"/>
        <v>1174.4531594283822</v>
      </c>
      <c r="M460" s="306">
        <f t="shared" ca="1" si="219"/>
        <v>1.1807045534182976</v>
      </c>
      <c r="N460" s="304">
        <f t="shared" ca="1" si="220"/>
        <v>67.649387762747111</v>
      </c>
      <c r="P460" s="310">
        <f t="shared" ca="1" si="221"/>
        <v>23</v>
      </c>
      <c r="Q460" s="304">
        <f t="shared" ca="1" si="222"/>
        <v>0</v>
      </c>
      <c r="R460" s="306">
        <f t="shared" ca="1" si="223"/>
        <v>0</v>
      </c>
      <c r="S460" s="307">
        <f t="shared" ca="1" si="224"/>
        <v>7.8079999999999892</v>
      </c>
      <c r="T460" s="304">
        <f t="shared" ca="1" si="204"/>
        <v>76.5964799999999</v>
      </c>
      <c r="U460" s="311">
        <f t="shared" ca="1" si="205"/>
        <v>0</v>
      </c>
      <c r="V460" s="306">
        <f t="shared" ca="1" si="206"/>
        <v>1.0935165959460953</v>
      </c>
      <c r="W460" s="304">
        <f t="shared" ca="1" si="207"/>
        <v>22.205915614510328</v>
      </c>
      <c r="Y460" s="314" t="str">
        <f t="shared" ca="1" si="225"/>
        <v/>
      </c>
      <c r="Z460" s="315" t="str">
        <f t="shared" ca="1" si="226"/>
        <v/>
      </c>
      <c r="AA460" s="316" t="str">
        <f t="shared" ca="1" si="227"/>
        <v/>
      </c>
      <c r="AC460" s="310" t="e">
        <f t="shared" ca="1" si="228"/>
        <v>#N/A</v>
      </c>
      <c r="AD460" s="323" t="e">
        <f t="shared" ca="1" si="229"/>
        <v>#N/A</v>
      </c>
      <c r="AE460" s="324">
        <f t="shared" ca="1" si="208"/>
        <v>1134.2028285137335</v>
      </c>
      <c r="AG460" s="306">
        <f t="shared" ca="1" si="230"/>
        <v>-12.023729651797959</v>
      </c>
      <c r="AH460" s="304">
        <f t="shared" ca="1" si="231"/>
        <v>-2.9333861447723346</v>
      </c>
    </row>
    <row r="461" spans="1:34" x14ac:dyDescent="0.2">
      <c r="A461" s="347">
        <f t="shared" ca="1" si="209"/>
        <v>0.1</v>
      </c>
      <c r="B461" s="304">
        <f t="shared" ca="1" si="210"/>
        <v>9.6999999999999389</v>
      </c>
      <c r="D461" s="306">
        <f t="shared" ca="1" si="211"/>
        <v>-1.0814954804589307</v>
      </c>
      <c r="E461" s="307">
        <f t="shared" ca="1" si="212"/>
        <v>-12.440337814718085</v>
      </c>
      <c r="F461" s="304">
        <f t="shared" ca="1" si="213"/>
        <v>12.487259003422562</v>
      </c>
      <c r="G461" s="306">
        <f t="shared" ca="1" si="214"/>
        <v>29.913650573193031</v>
      </c>
      <c r="H461" s="307">
        <f t="shared" ca="1" si="215"/>
        <v>71.772892827683265</v>
      </c>
      <c r="I461" s="304">
        <f t="shared" ca="1" si="216"/>
        <v>77.757151667671053</v>
      </c>
      <c r="J461" s="306">
        <f t="shared" ca="1" si="217"/>
        <v>307.83142850866949</v>
      </c>
      <c r="K461" s="307">
        <f t="shared" ca="1" si="218"/>
        <v>1141.4423194855754</v>
      </c>
      <c r="L461" s="304">
        <f t="shared" ca="1" si="203"/>
        <v>1182.222803489384</v>
      </c>
      <c r="M461" s="306">
        <f t="shared" ca="1" si="219"/>
        <v>1.1759069299711473</v>
      </c>
      <c r="N461" s="304">
        <f t="shared" ca="1" si="220"/>
        <v>67.374504187532395</v>
      </c>
      <c r="P461" s="310">
        <f t="shared" ca="1" si="221"/>
        <v>23</v>
      </c>
      <c r="Q461" s="304">
        <f t="shared" ca="1" si="222"/>
        <v>0</v>
      </c>
      <c r="R461" s="306">
        <f t="shared" ca="1" si="223"/>
        <v>0</v>
      </c>
      <c r="S461" s="307">
        <f t="shared" ca="1" si="224"/>
        <v>7.8079999999999892</v>
      </c>
      <c r="T461" s="304">
        <f t="shared" ca="1" si="204"/>
        <v>76.5964799999999</v>
      </c>
      <c r="U461" s="311">
        <f t="shared" ca="1" si="205"/>
        <v>0</v>
      </c>
      <c r="V461" s="306">
        <f t="shared" ca="1" si="206"/>
        <v>1.0927226633604765</v>
      </c>
      <c r="W461" s="304">
        <f t="shared" ca="1" si="207"/>
        <v>21.52544520379427</v>
      </c>
      <c r="Y461" s="314" t="str">
        <f t="shared" ca="1" si="225"/>
        <v/>
      </c>
      <c r="Z461" s="315" t="str">
        <f t="shared" ca="1" si="226"/>
        <v/>
      </c>
      <c r="AA461" s="316" t="str">
        <f t="shared" ca="1" si="227"/>
        <v/>
      </c>
      <c r="AC461" s="310" t="e">
        <f t="shared" ca="1" si="228"/>
        <v>#N/A</v>
      </c>
      <c r="AD461" s="323" t="e">
        <f t="shared" ca="1" si="229"/>
        <v>#N/A</v>
      </c>
      <c r="AE461" s="324">
        <f t="shared" ca="1" si="208"/>
        <v>1141.4423194855754</v>
      </c>
      <c r="AG461" s="306">
        <f t="shared" ca="1" si="230"/>
        <v>-11.917010896541537</v>
      </c>
      <c r="AH461" s="304">
        <f t="shared" ca="1" si="231"/>
        <v>-2.8439953399731506</v>
      </c>
    </row>
    <row r="462" spans="1:34" x14ac:dyDescent="0.2">
      <c r="A462" s="347">
        <f t="shared" ca="1" si="209"/>
        <v>0.1</v>
      </c>
      <c r="B462" s="304">
        <f t="shared" ca="1" si="210"/>
        <v>9.7999999999999385</v>
      </c>
      <c r="D462" s="306">
        <f t="shared" ca="1" si="211"/>
        <v>-1.060575061133983</v>
      </c>
      <c r="E462" s="307">
        <f t="shared" ca="1" si="212"/>
        <v>-12.354675716266408</v>
      </c>
      <c r="F462" s="304">
        <f t="shared" ca="1" si="213"/>
        <v>12.400114173442205</v>
      </c>
      <c r="G462" s="306">
        <f t="shared" ca="1" si="214"/>
        <v>29.807593067079633</v>
      </c>
      <c r="H462" s="307">
        <f t="shared" ca="1" si="215"/>
        <v>70.537425256056622</v>
      </c>
      <c r="I462" s="304">
        <f t="shared" ca="1" si="216"/>
        <v>76.576895772852978</v>
      </c>
      <c r="J462" s="306">
        <f t="shared" ca="1" si="217"/>
        <v>310.81749069068314</v>
      </c>
      <c r="K462" s="307">
        <f t="shared" ca="1" si="218"/>
        <v>1148.5578353897624</v>
      </c>
      <c r="L462" s="304">
        <f t="shared" ca="1" si="203"/>
        <v>1189.8708391058542</v>
      </c>
      <c r="M462" s="306">
        <f t="shared" ca="1" si="219"/>
        <v>1.1709785738639693</v>
      </c>
      <c r="N462" s="304">
        <f t="shared" ca="1" si="220"/>
        <v>67.092130182653563</v>
      </c>
      <c r="P462" s="310">
        <f t="shared" ca="1" si="221"/>
        <v>23</v>
      </c>
      <c r="Q462" s="304">
        <f t="shared" ca="1" si="222"/>
        <v>0</v>
      </c>
      <c r="R462" s="306">
        <f t="shared" ca="1" si="223"/>
        <v>0</v>
      </c>
      <c r="S462" s="307">
        <f t="shared" ca="1" si="224"/>
        <v>7.8079999999999892</v>
      </c>
      <c r="T462" s="304">
        <f t="shared" ca="1" si="204"/>
        <v>76.5964799999999</v>
      </c>
      <c r="U462" s="311">
        <f t="shared" ca="1" si="205"/>
        <v>0</v>
      </c>
      <c r="V462" s="306">
        <f t="shared" ca="1" si="206"/>
        <v>1.0919428564062155</v>
      </c>
      <c r="W462" s="304">
        <f t="shared" ca="1" si="207"/>
        <v>20.862047546874894</v>
      </c>
      <c r="Y462" s="314" t="str">
        <f t="shared" ca="1" si="225"/>
        <v/>
      </c>
      <c r="Z462" s="315" t="str">
        <f t="shared" ca="1" si="226"/>
        <v/>
      </c>
      <c r="AA462" s="316" t="str">
        <f t="shared" ca="1" si="227"/>
        <v/>
      </c>
      <c r="AC462" s="310" t="e">
        <f t="shared" ca="1" si="228"/>
        <v>#N/A</v>
      </c>
      <c r="AD462" s="323" t="e">
        <f t="shared" ca="1" si="229"/>
        <v>#N/A</v>
      </c>
      <c r="AE462" s="324">
        <f t="shared" ca="1" si="208"/>
        <v>1148.5578353897624</v>
      </c>
      <c r="AG462" s="306">
        <f t="shared" ca="1" si="230"/>
        <v>-11.811858693271034</v>
      </c>
      <c r="AH462" s="304">
        <f t="shared" ca="1" si="231"/>
        <v>-2.7568449287646386</v>
      </c>
    </row>
    <row r="463" spans="1:34" x14ac:dyDescent="0.2">
      <c r="A463" s="347">
        <f t="shared" ca="1" si="209"/>
        <v>0.1</v>
      </c>
      <c r="B463" s="304">
        <f t="shared" ca="1" si="210"/>
        <v>9.8999999999999382</v>
      </c>
      <c r="D463" s="306">
        <f t="shared" ca="1" si="211"/>
        <v>-1.0400309837043573</v>
      </c>
      <c r="E463" s="307">
        <f t="shared" ca="1" si="212"/>
        <v>-12.271155035629203</v>
      </c>
      <c r="F463" s="304">
        <f t="shared" ca="1" si="213"/>
        <v>12.315149627816668</v>
      </c>
      <c r="G463" s="306">
        <f t="shared" ca="1" si="214"/>
        <v>29.703589968709199</v>
      </c>
      <c r="H463" s="307">
        <f t="shared" ca="1" si="215"/>
        <v>69.310309752493708</v>
      </c>
      <c r="I463" s="304">
        <f t="shared" ca="1" si="216"/>
        <v>75.407044067618941</v>
      </c>
      <c r="J463" s="306">
        <f t="shared" ca="1" si="217"/>
        <v>313.79304984247261</v>
      </c>
      <c r="K463" s="307">
        <f t="shared" ca="1" si="218"/>
        <v>1155.55022214019</v>
      </c>
      <c r="L463" s="304">
        <f t="shared" ca="1" si="203"/>
        <v>1197.3981768892431</v>
      </c>
      <c r="M463" s="306">
        <f t="shared" ca="1" si="219"/>
        <v>1.1659146391495796</v>
      </c>
      <c r="N463" s="304">
        <f t="shared" ca="1" si="220"/>
        <v>66.801988095789255</v>
      </c>
      <c r="P463" s="310">
        <f t="shared" ca="1" si="221"/>
        <v>23</v>
      </c>
      <c r="Q463" s="304">
        <f t="shared" ca="1" si="222"/>
        <v>0</v>
      </c>
      <c r="R463" s="306">
        <f t="shared" ca="1" si="223"/>
        <v>0</v>
      </c>
      <c r="S463" s="307">
        <f t="shared" ca="1" si="224"/>
        <v>7.8079999999999892</v>
      </c>
      <c r="T463" s="304">
        <f t="shared" ca="1" si="204"/>
        <v>76.5964799999999</v>
      </c>
      <c r="U463" s="311">
        <f t="shared" ca="1" si="205"/>
        <v>0</v>
      </c>
      <c r="V463" s="306">
        <f t="shared" ca="1" si="206"/>
        <v>1.0911770545073982</v>
      </c>
      <c r="W463" s="304">
        <f t="shared" ca="1" si="207"/>
        <v>20.215317365203887</v>
      </c>
      <c r="Y463" s="314" t="str">
        <f t="shared" ca="1" si="225"/>
        <v/>
      </c>
      <c r="Z463" s="315" t="str">
        <f t="shared" ca="1" si="226"/>
        <v/>
      </c>
      <c r="AA463" s="316" t="str">
        <f t="shared" ca="1" si="227"/>
        <v/>
      </c>
      <c r="AC463" s="310" t="e">
        <f t="shared" ca="1" si="228"/>
        <v>#N/A</v>
      </c>
      <c r="AD463" s="323" t="e">
        <f t="shared" ca="1" si="229"/>
        <v>#N/A</v>
      </c>
      <c r="AE463" s="324">
        <f t="shared" ca="1" si="208"/>
        <v>1155.55022214019</v>
      </c>
      <c r="AG463" s="306">
        <f t="shared" ca="1" si="230"/>
        <v>-11.708185509766173</v>
      </c>
      <c r="AH463" s="304">
        <f t="shared" ca="1" si="231"/>
        <v>-2.6718810895075467</v>
      </c>
    </row>
    <row r="464" spans="1:34" x14ac:dyDescent="0.2">
      <c r="A464" s="347">
        <f t="shared" ca="1" si="209"/>
        <v>0.1</v>
      </c>
      <c r="B464" s="304">
        <f t="shared" ca="1" si="210"/>
        <v>9.9999999999999378</v>
      </c>
      <c r="D464" s="306">
        <f t="shared" ca="1" si="211"/>
        <v>-1.0198534830633801</v>
      </c>
      <c r="E464" s="307">
        <f t="shared" ca="1" si="212"/>
        <v>-12.189724500901944</v>
      </c>
      <c r="F464" s="304">
        <f t="shared" ca="1" si="213"/>
        <v>12.232313130998801</v>
      </c>
      <c r="G464" s="306">
        <f t="shared" ca="1" si="214"/>
        <v>29.60160462040286</v>
      </c>
      <c r="H464" s="307">
        <f t="shared" ca="1" si="215"/>
        <v>68.091337302403517</v>
      </c>
      <c r="I464" s="304">
        <f t="shared" ca="1" si="216"/>
        <v>74.247459294795703</v>
      </c>
      <c r="J464" s="306">
        <f t="shared" ca="1" si="217"/>
        <v>316.75830957192824</v>
      </c>
      <c r="K464" s="307">
        <f t="shared" ca="1" si="218"/>
        <v>1162.420304492935</v>
      </c>
      <c r="L464" s="304">
        <f t="shared" ca="1" si="203"/>
        <v>1204.8057067346226</v>
      </c>
      <c r="M464" s="306">
        <f t="shared" ca="1" si="219"/>
        <v>1.1607100506778045</v>
      </c>
      <c r="N464" s="304">
        <f t="shared" ca="1" si="220"/>
        <v>66.503787142254097</v>
      </c>
      <c r="P464" s="310">
        <f t="shared" ca="1" si="221"/>
        <v>23</v>
      </c>
      <c r="Q464" s="304">
        <f t="shared" ca="1" si="222"/>
        <v>0</v>
      </c>
      <c r="R464" s="306">
        <f t="shared" ca="1" si="223"/>
        <v>0</v>
      </c>
      <c r="S464" s="307">
        <f t="shared" ca="1" si="224"/>
        <v>7.8079999999999892</v>
      </c>
      <c r="T464" s="304">
        <f t="shared" ca="1" si="204"/>
        <v>76.5964799999999</v>
      </c>
      <c r="U464" s="311">
        <f t="shared" ca="1" si="205"/>
        <v>0</v>
      </c>
      <c r="V464" s="306">
        <f t="shared" ca="1" si="206"/>
        <v>1.0904251401762846</v>
      </c>
      <c r="W464" s="304">
        <f t="shared" ca="1" si="207"/>
        <v>19.584863754836551</v>
      </c>
      <c r="Y464" s="314" t="str">
        <f t="shared" ca="1" si="225"/>
        <v/>
      </c>
      <c r="Z464" s="315" t="str">
        <f t="shared" ca="1" si="226"/>
        <v/>
      </c>
      <c r="AA464" s="316" t="str">
        <f t="shared" ca="1" si="227"/>
        <v/>
      </c>
      <c r="AC464" s="310">
        <f t="shared" ca="1" si="228"/>
        <v>9.9999999999999378</v>
      </c>
      <c r="AD464" s="323">
        <f t="shared" ca="1" si="229"/>
        <v>316.75830957192824</v>
      </c>
      <c r="AE464" s="324">
        <f t="shared" ca="1" si="208"/>
        <v>1162.420304492935</v>
      </c>
      <c r="AG464" s="306">
        <f t="shared" ca="1" si="230"/>
        <v>-11.605903685329068</v>
      </c>
      <c r="AH464" s="304">
        <f t="shared" ca="1" si="231"/>
        <v>-2.5890519166500918</v>
      </c>
    </row>
    <row r="465" spans="1:34" x14ac:dyDescent="0.2">
      <c r="A465" s="347">
        <f t="shared" ca="1" si="209"/>
        <v>0.1</v>
      </c>
      <c r="B465" s="304">
        <f t="shared" ca="1" si="210"/>
        <v>10.099999999999937</v>
      </c>
      <c r="D465" s="306">
        <f t="shared" ca="1" si="211"/>
        <v>-1.0000331730892396</v>
      </c>
      <c r="E465" s="307">
        <f t="shared" ca="1" si="212"/>
        <v>-12.110334626301944</v>
      </c>
      <c r="F465" s="304">
        <f t="shared" ca="1" si="213"/>
        <v>12.151554267182728</v>
      </c>
      <c r="G465" s="306">
        <f t="shared" ca="1" si="214"/>
        <v>29.501601303093935</v>
      </c>
      <c r="H465" s="307">
        <f t="shared" ca="1" si="215"/>
        <v>66.880303839773319</v>
      </c>
      <c r="I465" s="304">
        <f t="shared" ca="1" si="216"/>
        <v>73.098013113538954</v>
      </c>
      <c r="J465" s="306">
        <f t="shared" ca="1" si="217"/>
        <v>319.71346986810306</v>
      </c>
      <c r="K465" s="307">
        <f t="shared" ca="1" si="218"/>
        <v>1169.1688865500439</v>
      </c>
      <c r="L465" s="304">
        <f t="shared" ca="1" si="203"/>
        <v>1212.094298349667</v>
      </c>
      <c r="M465" s="306">
        <f t="shared" ca="1" si="219"/>
        <v>1.1553594915990459</v>
      </c>
      <c r="N465" s="304">
        <f t="shared" ca="1" si="220"/>
        <v>66.197222689005827</v>
      </c>
      <c r="P465" s="310">
        <f t="shared" ca="1" si="221"/>
        <v>23</v>
      </c>
      <c r="Q465" s="304">
        <f t="shared" ca="1" si="222"/>
        <v>0</v>
      </c>
      <c r="R465" s="306">
        <f t="shared" ca="1" si="223"/>
        <v>0</v>
      </c>
      <c r="S465" s="307">
        <f t="shared" ca="1" si="224"/>
        <v>7.8079999999999892</v>
      </c>
      <c r="T465" s="304">
        <f t="shared" ca="1" si="204"/>
        <v>76.5964799999999</v>
      </c>
      <c r="U465" s="311">
        <f t="shared" ca="1" si="205"/>
        <v>0</v>
      </c>
      <c r="V465" s="306">
        <f t="shared" ca="1" si="206"/>
        <v>1.0896869989370457</v>
      </c>
      <c r="W465" s="304">
        <f t="shared" ca="1" si="207"/>
        <v>18.970309628053325</v>
      </c>
      <c r="Y465" s="314" t="str">
        <f t="shared" ca="1" si="225"/>
        <v/>
      </c>
      <c r="Z465" s="315" t="str">
        <f t="shared" ca="1" si="226"/>
        <v/>
      </c>
      <c r="AA465" s="316" t="str">
        <f t="shared" ca="1" si="227"/>
        <v/>
      </c>
      <c r="AC465" s="310" t="e">
        <f t="shared" ca="1" si="228"/>
        <v>#N/A</v>
      </c>
      <c r="AD465" s="323" t="e">
        <f t="shared" ca="1" si="229"/>
        <v>#N/A</v>
      </c>
      <c r="AE465" s="324">
        <f t="shared" ca="1" si="208"/>
        <v>1169.1688865500439</v>
      </c>
      <c r="AG465" s="306">
        <f t="shared" ca="1" si="230"/>
        <v>-11.504925213534577</v>
      </c>
      <c r="AH465" s="304">
        <f t="shared" ca="1" si="231"/>
        <v>-2.5083073456501763</v>
      </c>
    </row>
    <row r="466" spans="1:34" x14ac:dyDescent="0.2">
      <c r="A466" s="347">
        <f t="shared" ca="1" si="209"/>
        <v>0.1</v>
      </c>
      <c r="B466" s="304">
        <f t="shared" ca="1" si="210"/>
        <v>10.199999999999937</v>
      </c>
      <c r="D466" s="306">
        <f t="shared" ca="1" si="211"/>
        <v>-0.98056103544587359</v>
      </c>
      <c r="E466" s="307">
        <f t="shared" ca="1" si="212"/>
        <v>-12.032937640242096</v>
      </c>
      <c r="F466" s="304">
        <f t="shared" ca="1" si="213"/>
        <v>12.072824367072922</v>
      </c>
      <c r="G466" s="306">
        <f t="shared" ca="1" si="214"/>
        <v>29.403545199549349</v>
      </c>
      <c r="H466" s="307">
        <f t="shared" ca="1" si="215"/>
        <v>65.677010075749109</v>
      </c>
      <c r="I466" s="304">
        <f t="shared" ca="1" si="216"/>
        <v>71.958586164487642</v>
      </c>
      <c r="J466" s="306">
        <f t="shared" ca="1" si="217"/>
        <v>322.65872719323522</v>
      </c>
      <c r="K466" s="307">
        <f t="shared" ca="1" si="218"/>
        <v>1175.79675224582</v>
      </c>
      <c r="L466" s="304">
        <f t="shared" ca="1" si="203"/>
        <v>1219.2648017661204</v>
      </c>
      <c r="M466" s="306">
        <f t="shared" ca="1" si="219"/>
        <v>1.1498573901491818</v>
      </c>
      <c r="N466" s="304">
        <f t="shared" ca="1" si="220"/>
        <v>65.881975497475793</v>
      </c>
      <c r="P466" s="310">
        <f t="shared" ca="1" si="221"/>
        <v>23</v>
      </c>
      <c r="Q466" s="304">
        <f t="shared" ca="1" si="222"/>
        <v>0</v>
      </c>
      <c r="R466" s="306">
        <f t="shared" ca="1" si="223"/>
        <v>0</v>
      </c>
      <c r="S466" s="307">
        <f t="shared" ca="1" si="224"/>
        <v>7.8079999999999892</v>
      </c>
      <c r="T466" s="304">
        <f t="shared" ca="1" si="204"/>
        <v>76.5964799999999</v>
      </c>
      <c r="U466" s="311">
        <f t="shared" ca="1" si="205"/>
        <v>0</v>
      </c>
      <c r="V466" s="306">
        <f t="shared" ca="1" si="206"/>
        <v>1.0889625192522336</v>
      </c>
      <c r="W466" s="304">
        <f t="shared" ca="1" si="207"/>
        <v>18.371291181329745</v>
      </c>
      <c r="Y466" s="314" t="str">
        <f t="shared" ca="1" si="225"/>
        <v/>
      </c>
      <c r="Z466" s="315" t="str">
        <f t="shared" ca="1" si="226"/>
        <v/>
      </c>
      <c r="AA466" s="316" t="str">
        <f t="shared" ca="1" si="227"/>
        <v/>
      </c>
      <c r="AC466" s="310" t="e">
        <f t="shared" ca="1" si="228"/>
        <v>#N/A</v>
      </c>
      <c r="AD466" s="323" t="e">
        <f t="shared" ca="1" si="229"/>
        <v>#N/A</v>
      </c>
      <c r="AE466" s="324">
        <f t="shared" ca="1" si="208"/>
        <v>1175.79675224582</v>
      </c>
      <c r="AG466" s="306">
        <f t="shared" ca="1" si="230"/>
        <v>-11.405161517736188</v>
      </c>
      <c r="AH466" s="304">
        <f t="shared" ca="1" si="231"/>
        <v>-2.4295990814617507</v>
      </c>
    </row>
    <row r="467" spans="1:34" x14ac:dyDescent="0.2">
      <c r="A467" s="347">
        <f t="shared" ca="1" si="209"/>
        <v>0.1</v>
      </c>
      <c r="B467" s="304">
        <f t="shared" ca="1" si="210"/>
        <v>10.299999999999937</v>
      </c>
      <c r="D467" s="306">
        <f t="shared" ca="1" si="211"/>
        <v>-0.96142840920313632</v>
      </c>
      <c r="E467" s="307">
        <f t="shared" ca="1" si="212"/>
        <v>-11.957487416562055</v>
      </c>
      <c r="F467" s="304">
        <f t="shared" ca="1" si="213"/>
        <v>11.996076437871791</v>
      </c>
      <c r="G467" s="306">
        <f t="shared" ca="1" si="214"/>
        <v>29.307402358629034</v>
      </c>
      <c r="H467" s="307">
        <f t="shared" ca="1" si="215"/>
        <v>64.481261334092906</v>
      </c>
      <c r="I467" s="304">
        <f t="shared" ca="1" si="216"/>
        <v>70.829068158815687</v>
      </c>
      <c r="J467" s="306">
        <f t="shared" ca="1" si="217"/>
        <v>325.59427457114413</v>
      </c>
      <c r="K467" s="307">
        <f t="shared" ca="1" si="218"/>
        <v>1182.3046658163121</v>
      </c>
      <c r="L467" s="304">
        <f t="shared" ca="1" si="203"/>
        <v>1226.3180478344641</v>
      </c>
      <c r="M467" s="306">
        <f t="shared" ca="1" si="219"/>
        <v>1.1441979056797129</v>
      </c>
      <c r="N467" s="304">
        <f t="shared" ca="1" si="220"/>
        <v>65.557710923155398</v>
      </c>
      <c r="P467" s="310">
        <f t="shared" ca="1" si="221"/>
        <v>23</v>
      </c>
      <c r="Q467" s="304">
        <f t="shared" ca="1" si="222"/>
        <v>0</v>
      </c>
      <c r="R467" s="306">
        <f t="shared" ca="1" si="223"/>
        <v>0</v>
      </c>
      <c r="S467" s="307">
        <f t="shared" ca="1" si="224"/>
        <v>7.8079999999999892</v>
      </c>
      <c r="T467" s="304">
        <f t="shared" ca="1" si="204"/>
        <v>76.5964799999999</v>
      </c>
      <c r="U467" s="311">
        <f t="shared" ca="1" si="205"/>
        <v>0</v>
      </c>
      <c r="V467" s="306">
        <f t="shared" ca="1" si="206"/>
        <v>1.0882515924518579</v>
      </c>
      <c r="W467" s="304">
        <f t="shared" ca="1" si="207"/>
        <v>17.787457388261856</v>
      </c>
      <c r="Y467" s="314" t="str">
        <f t="shared" ca="1" si="225"/>
        <v/>
      </c>
      <c r="Z467" s="315" t="str">
        <f t="shared" ca="1" si="226"/>
        <v/>
      </c>
      <c r="AA467" s="316" t="str">
        <f t="shared" ca="1" si="227"/>
        <v/>
      </c>
      <c r="AC467" s="310" t="e">
        <f t="shared" ca="1" si="228"/>
        <v>#N/A</v>
      </c>
      <c r="AD467" s="323" t="e">
        <f t="shared" ca="1" si="229"/>
        <v>#N/A</v>
      </c>
      <c r="AE467" s="324">
        <f t="shared" ca="1" si="208"/>
        <v>1182.3046658163121</v>
      </c>
      <c r="AG467" s="306">
        <f t="shared" ca="1" si="230"/>
        <v>-11.306523218293107</v>
      </c>
      <c r="AH467" s="304">
        <f t="shared" ca="1" si="231"/>
        <v>-2.3528805303957188</v>
      </c>
    </row>
    <row r="468" spans="1:34" x14ac:dyDescent="0.2">
      <c r="A468" s="347">
        <f t="shared" ca="1" si="209"/>
        <v>0.1</v>
      </c>
      <c r="B468" s="304">
        <f t="shared" ca="1" si="210"/>
        <v>10.399999999999936</v>
      </c>
      <c r="D468" s="306">
        <f t="shared" ca="1" si="211"/>
        <v>-0.94262698125620736</v>
      </c>
      <c r="E468" s="307">
        <f t="shared" ca="1" si="212"/>
        <v>-11.883939408725951</v>
      </c>
      <c r="F468" s="304">
        <f t="shared" ca="1" si="213"/>
        <v>11.921265096291664</v>
      </c>
      <c r="G468" s="306">
        <f t="shared" ca="1" si="214"/>
        <v>29.213139660503412</v>
      </c>
      <c r="H468" s="307">
        <f t="shared" ca="1" si="215"/>
        <v>63.292867393220313</v>
      </c>
      <c r="I468" s="304">
        <f t="shared" ca="1" si="216"/>
        <v>69.709357992165209</v>
      </c>
      <c r="J468" s="306">
        <f t="shared" ca="1" si="217"/>
        <v>328.52030167210074</v>
      </c>
      <c r="K468" s="307">
        <f t="shared" ca="1" si="218"/>
        <v>1188.6933722526778</v>
      </c>
      <c r="L468" s="304">
        <f t="shared" ca="1" si="203"/>
        <v>1233.2548487024778</v>
      </c>
      <c r="M468" s="306">
        <f t="shared" ca="1" si="219"/>
        <v>1.138374913896848</v>
      </c>
      <c r="N468" s="304">
        <f t="shared" ca="1" si="220"/>
        <v>65.224078069857882</v>
      </c>
      <c r="P468" s="310">
        <f t="shared" ca="1" si="221"/>
        <v>23</v>
      </c>
      <c r="Q468" s="304">
        <f t="shared" ca="1" si="222"/>
        <v>0</v>
      </c>
      <c r="R468" s="306">
        <f t="shared" ca="1" si="223"/>
        <v>0</v>
      </c>
      <c r="S468" s="307">
        <f t="shared" ca="1" si="224"/>
        <v>7.8079999999999892</v>
      </c>
      <c r="T468" s="304">
        <f t="shared" ca="1" si="204"/>
        <v>76.5964799999999</v>
      </c>
      <c r="U468" s="311">
        <f t="shared" ca="1" si="205"/>
        <v>0</v>
      </c>
      <c r="V468" s="306">
        <f t="shared" ca="1" si="206"/>
        <v>1.0875541126649739</v>
      </c>
      <c r="W468" s="304">
        <f t="shared" ca="1" si="207"/>
        <v>17.218469516137098</v>
      </c>
      <c r="Y468" s="314" t="str">
        <f t="shared" ca="1" si="225"/>
        <v/>
      </c>
      <c r="Z468" s="315" t="str">
        <f t="shared" ca="1" si="226"/>
        <v/>
      </c>
      <c r="AA468" s="316" t="str">
        <f t="shared" ca="1" si="227"/>
        <v/>
      </c>
      <c r="AC468" s="310" t="e">
        <f t="shared" ca="1" si="228"/>
        <v>#N/A</v>
      </c>
      <c r="AD468" s="323" t="e">
        <f t="shared" ca="1" si="229"/>
        <v>#N/A</v>
      </c>
      <c r="AE468" s="324">
        <f t="shared" ca="1" si="208"/>
        <v>1188.6933722526778</v>
      </c>
      <c r="AG468" s="306">
        <f t="shared" ca="1" si="230"/>
        <v>-11.208919890435471</v>
      </c>
      <c r="AH468" s="304">
        <f t="shared" ca="1" si="231"/>
        <v>-2.2781067351769826</v>
      </c>
    </row>
    <row r="469" spans="1:34" x14ac:dyDescent="0.2">
      <c r="A469" s="347">
        <f t="shared" ca="1" si="209"/>
        <v>0.1</v>
      </c>
      <c r="B469" s="304">
        <f t="shared" ca="1" si="210"/>
        <v>10.499999999999936</v>
      </c>
      <c r="D469" s="306">
        <f t="shared" ca="1" si="211"/>
        <v>-0.92414877752734437</v>
      </c>
      <c r="E469" s="307">
        <f t="shared" ca="1" si="212"/>
        <v>-11.812250586804504</v>
      </c>
      <c r="F469" s="304">
        <f t="shared" ca="1" si="213"/>
        <v>11.848346504405947</v>
      </c>
      <c r="G469" s="306">
        <f t="shared" ca="1" si="214"/>
        <v>29.120724782750678</v>
      </c>
      <c r="H469" s="307">
        <f t="shared" ca="1" si="215"/>
        <v>62.111642334539859</v>
      </c>
      <c r="I469" s="304">
        <f t="shared" ca="1" si="216"/>
        <v>68.59936388456174</v>
      </c>
      <c r="J469" s="306">
        <f t="shared" ca="1" si="217"/>
        <v>331.43699489426342</v>
      </c>
      <c r="K469" s="307">
        <f t="shared" ca="1" si="218"/>
        <v>1194.9635977390658</v>
      </c>
      <c r="L469" s="304">
        <f t="shared" ca="1" si="203"/>
        <v>1240.0759982783443</v>
      </c>
      <c r="M469" s="306">
        <f t="shared" ca="1" si="219"/>
        <v>1.1323819912734499</v>
      </c>
      <c r="N469" s="304">
        <f t="shared" ca="1" si="220"/>
        <v>64.8807088965887</v>
      </c>
      <c r="P469" s="310">
        <f t="shared" ca="1" si="221"/>
        <v>23</v>
      </c>
      <c r="Q469" s="304">
        <f t="shared" ca="1" si="222"/>
        <v>0</v>
      </c>
      <c r="R469" s="306">
        <f t="shared" ca="1" si="223"/>
        <v>0</v>
      </c>
      <c r="S469" s="307">
        <f t="shared" ca="1" si="224"/>
        <v>7.8079999999999892</v>
      </c>
      <c r="T469" s="304">
        <f t="shared" ca="1" si="204"/>
        <v>76.5964799999999</v>
      </c>
      <c r="U469" s="311">
        <f t="shared" ca="1" si="205"/>
        <v>0</v>
      </c>
      <c r="V469" s="306">
        <f t="shared" ca="1" si="206"/>
        <v>1.0868699767536751</v>
      </c>
      <c r="W469" s="304">
        <f t="shared" ca="1" si="207"/>
        <v>16.664000664917086</v>
      </c>
      <c r="Y469" s="314" t="str">
        <f t="shared" ca="1" si="225"/>
        <v/>
      </c>
      <c r="Z469" s="315" t="str">
        <f t="shared" ca="1" si="226"/>
        <v/>
      </c>
      <c r="AA469" s="316" t="str">
        <f t="shared" ca="1" si="227"/>
        <v/>
      </c>
      <c r="AC469" s="310" t="e">
        <f t="shared" ca="1" si="228"/>
        <v>#N/A</v>
      </c>
      <c r="AD469" s="323" t="e">
        <f t="shared" ca="1" si="229"/>
        <v>#N/A</v>
      </c>
      <c r="AE469" s="324">
        <f t="shared" ca="1" si="208"/>
        <v>1194.9635977390658</v>
      </c>
      <c r="AG469" s="306">
        <f t="shared" ca="1" si="230"/>
        <v>-11.112259811633301</v>
      </c>
      <c r="AH469" s="304">
        <f t="shared" ca="1" si="231"/>
        <v>-2.2052343130298566</v>
      </c>
    </row>
    <row r="470" spans="1:34" x14ac:dyDescent="0.2">
      <c r="A470" s="347">
        <f t="shared" ca="1" si="209"/>
        <v>0.1</v>
      </c>
      <c r="B470" s="304">
        <f t="shared" ca="1" si="210"/>
        <v>10.599999999999936</v>
      </c>
      <c r="D470" s="306">
        <f t="shared" ca="1" si="211"/>
        <v>-0.90598615493603718</v>
      </c>
      <c r="E470" s="307">
        <f t="shared" ca="1" si="212"/>
        <v>-11.74237937706703</v>
      </c>
      <c r="F470" s="304">
        <f t="shared" ca="1" si="213"/>
        <v>11.777278308162073</v>
      </c>
      <c r="G470" s="306">
        <f t="shared" ca="1" si="214"/>
        <v>29.030126167257073</v>
      </c>
      <c r="H470" s="307">
        <f t="shared" ca="1" si="215"/>
        <v>60.937404396833159</v>
      </c>
      <c r="I470" s="304">
        <f t="shared" ca="1" si="216"/>
        <v>67.499003547534272</v>
      </c>
      <c r="J470" s="306">
        <f t="shared" ca="1" si="217"/>
        <v>334.3445374417638</v>
      </c>
      <c r="K470" s="307">
        <f t="shared" ca="1" si="218"/>
        <v>1201.1160500756343</v>
      </c>
      <c r="L470" s="304">
        <f t="shared" ca="1" si="203"/>
        <v>1246.7822726789313</v>
      </c>
      <c r="M470" s="306">
        <f t="shared" ca="1" si="219"/>
        <v>1.1262123985985202</v>
      </c>
      <c r="N470" s="304">
        <f t="shared" ca="1" si="220"/>
        <v>64.527217275000396</v>
      </c>
      <c r="P470" s="310">
        <f t="shared" ca="1" si="221"/>
        <v>23</v>
      </c>
      <c r="Q470" s="304">
        <f t="shared" ca="1" si="222"/>
        <v>0</v>
      </c>
      <c r="R470" s="306">
        <f t="shared" ca="1" si="223"/>
        <v>0</v>
      </c>
      <c r="S470" s="307">
        <f t="shared" ca="1" si="224"/>
        <v>7.8079999999999892</v>
      </c>
      <c r="T470" s="304">
        <f t="shared" ca="1" si="204"/>
        <v>76.5964799999999</v>
      </c>
      <c r="U470" s="311">
        <f t="shared" ca="1" si="205"/>
        <v>0</v>
      </c>
      <c r="V470" s="306">
        <f t="shared" ca="1" si="206"/>
        <v>1.0861990842493972</v>
      </c>
      <c r="W470" s="304">
        <f t="shared" ca="1" si="207"/>
        <v>16.123735327470765</v>
      </c>
      <c r="Y470" s="314" t="str">
        <f t="shared" ca="1" si="225"/>
        <v/>
      </c>
      <c r="Z470" s="315" t="str">
        <f t="shared" ca="1" si="226"/>
        <v/>
      </c>
      <c r="AA470" s="316" t="str">
        <f t="shared" ca="1" si="227"/>
        <v/>
      </c>
      <c r="AC470" s="310" t="e">
        <f t="shared" ca="1" si="228"/>
        <v>#N/A</v>
      </c>
      <c r="AD470" s="323" t="e">
        <f t="shared" ca="1" si="229"/>
        <v>#N/A</v>
      </c>
      <c r="AE470" s="324">
        <f t="shared" ca="1" si="208"/>
        <v>1201.1160500756343</v>
      </c>
      <c r="AG470" s="306">
        <f t="shared" ca="1" si="230"/>
        <v>-11.016449697280851</v>
      </c>
      <c r="AH470" s="304">
        <f t="shared" ca="1" si="231"/>
        <v>-2.1342213966338512</v>
      </c>
    </row>
    <row r="471" spans="1:34" x14ac:dyDescent="0.2">
      <c r="A471" s="347">
        <f t="shared" ca="1" si="209"/>
        <v>0.1</v>
      </c>
      <c r="B471" s="304">
        <f t="shared" ca="1" si="210"/>
        <v>10.699999999999935</v>
      </c>
      <c r="D471" s="306">
        <f t="shared" ca="1" si="211"/>
        <v>-0.88813179412661636</v>
      </c>
      <c r="E471" s="307">
        <f t="shared" ca="1" si="212"/>
        <v>-11.674285604015761</v>
      </c>
      <c r="F471" s="304">
        <f t="shared" ca="1" si="213"/>
        <v>11.708019578385928</v>
      </c>
      <c r="G471" s="306">
        <f t="shared" ca="1" si="214"/>
        <v>28.941312987844412</v>
      </c>
      <c r="H471" s="307">
        <f t="shared" ca="1" si="215"/>
        <v>59.769975836431584</v>
      </c>
      <c r="I471" s="304">
        <f t="shared" ca="1" si="216"/>
        <v>66.408204379790206</v>
      </c>
      <c r="J471" s="306">
        <f t="shared" ca="1" si="217"/>
        <v>337.24310939951886</v>
      </c>
      <c r="K471" s="307">
        <f t="shared" ca="1" si="218"/>
        <v>1207.1514190872977</v>
      </c>
      <c r="L471" s="304">
        <f t="shared" ca="1" si="203"/>
        <v>1253.3744306638509</v>
      </c>
      <c r="M471" s="306">
        <f t="shared" ca="1" si="219"/>
        <v>1.1198590636303256</v>
      </c>
      <c r="N471" s="304">
        <f t="shared" ca="1" si="220"/>
        <v>64.163197995489966</v>
      </c>
      <c r="P471" s="310">
        <f t="shared" ca="1" si="221"/>
        <v>23</v>
      </c>
      <c r="Q471" s="304">
        <f t="shared" ca="1" si="222"/>
        <v>0</v>
      </c>
      <c r="R471" s="306">
        <f t="shared" ca="1" si="223"/>
        <v>0</v>
      </c>
      <c r="S471" s="307">
        <f t="shared" ca="1" si="224"/>
        <v>7.8079999999999892</v>
      </c>
      <c r="T471" s="304">
        <f t="shared" ca="1" si="204"/>
        <v>76.5964799999999</v>
      </c>
      <c r="U471" s="311">
        <f t="shared" ca="1" si="205"/>
        <v>0</v>
      </c>
      <c r="V471" s="306">
        <f t="shared" ca="1" si="206"/>
        <v>1.0855413372914389</v>
      </c>
      <c r="W471" s="304">
        <f t="shared" ca="1" si="207"/>
        <v>15.597368969963366</v>
      </c>
      <c r="Y471" s="314" t="str">
        <f t="shared" ca="1" si="225"/>
        <v/>
      </c>
      <c r="Z471" s="315" t="str">
        <f t="shared" ca="1" si="226"/>
        <v/>
      </c>
      <c r="AA471" s="316" t="str">
        <f t="shared" ca="1" si="227"/>
        <v/>
      </c>
      <c r="AC471" s="310" t="e">
        <f t="shared" ca="1" si="228"/>
        <v>#N/A</v>
      </c>
      <c r="AD471" s="323" t="e">
        <f t="shared" ca="1" si="229"/>
        <v>#N/A</v>
      </c>
      <c r="AE471" s="324">
        <f t="shared" ca="1" si="208"/>
        <v>1207.1514190872977</v>
      </c>
      <c r="AG471" s="306">
        <f t="shared" ca="1" si="230"/>
        <v>-10.921394423453133</v>
      </c>
      <c r="AH471" s="304">
        <f t="shared" ca="1" si="231"/>
        <v>-2.0650275778010743</v>
      </c>
    </row>
    <row r="472" spans="1:34" x14ac:dyDescent="0.2">
      <c r="A472" s="347">
        <f t="shared" ca="1" si="209"/>
        <v>0.1</v>
      </c>
      <c r="B472" s="304">
        <f t="shared" ca="1" si="210"/>
        <v>10.799999999999935</v>
      </c>
      <c r="D472" s="306">
        <f t="shared" ca="1" si="211"/>
        <v>-0.8705786929452769</v>
      </c>
      <c r="E472" s="307">
        <f t="shared" ca="1" si="212"/>
        <v>-11.607930434700952</v>
      </c>
      <c r="F472" s="304">
        <f t="shared" ca="1" si="213"/>
        <v>11.640530754113703</v>
      </c>
      <c r="G472" s="306">
        <f t="shared" ca="1" si="214"/>
        <v>28.854255118549883</v>
      </c>
      <c r="H472" s="307">
        <f t="shared" ca="1" si="215"/>
        <v>58.609182792961491</v>
      </c>
      <c r="I472" s="304">
        <f t="shared" ca="1" si="216"/>
        <v>65.326903692928354</v>
      </c>
      <c r="J472" s="306">
        <f t="shared" ca="1" si="217"/>
        <v>340.13288780483856</v>
      </c>
      <c r="K472" s="307">
        <f t="shared" ca="1" si="218"/>
        <v>1213.0703770187672</v>
      </c>
      <c r="L472" s="304">
        <f t="shared" ca="1" si="203"/>
        <v>1259.8532140558727</v>
      </c>
      <c r="M472" s="306">
        <f t="shared" ca="1" si="219"/>
        <v>1.1133145628215342</v>
      </c>
      <c r="N472" s="304">
        <f t="shared" ca="1" si="220"/>
        <v>63.788225720126263</v>
      </c>
      <c r="P472" s="310">
        <f t="shared" ca="1" si="221"/>
        <v>23</v>
      </c>
      <c r="Q472" s="304">
        <f t="shared" ca="1" si="222"/>
        <v>0</v>
      </c>
      <c r="R472" s="306">
        <f t="shared" ca="1" si="223"/>
        <v>0</v>
      </c>
      <c r="S472" s="307">
        <f t="shared" ca="1" si="224"/>
        <v>7.8079999999999892</v>
      </c>
      <c r="T472" s="304">
        <f t="shared" ca="1" si="204"/>
        <v>76.5964799999999</v>
      </c>
      <c r="U472" s="311">
        <f t="shared" ca="1" si="205"/>
        <v>0</v>
      </c>
      <c r="V472" s="306">
        <f t="shared" ca="1" si="206"/>
        <v>1.084896640567613</v>
      </c>
      <c r="W472" s="304">
        <f t="shared" ca="1" si="207"/>
        <v>15.084607631369074</v>
      </c>
      <c r="Y472" s="314" t="str">
        <f t="shared" ca="1" si="225"/>
        <v/>
      </c>
      <c r="Z472" s="315" t="str">
        <f t="shared" ca="1" si="226"/>
        <v/>
      </c>
      <c r="AA472" s="316" t="str">
        <f t="shared" ca="1" si="227"/>
        <v/>
      </c>
      <c r="AC472" s="310" t="e">
        <f t="shared" ca="1" si="228"/>
        <v>#N/A</v>
      </c>
      <c r="AD472" s="323" t="e">
        <f t="shared" ca="1" si="229"/>
        <v>#N/A</v>
      </c>
      <c r="AE472" s="324">
        <f t="shared" ca="1" si="208"/>
        <v>1213.0703770187672</v>
      </c>
      <c r="AG472" s="306">
        <f t="shared" ca="1" si="230"/>
        <v>-10.826996735435655</v>
      </c>
      <c r="AH472" s="304">
        <f t="shared" ca="1" si="231"/>
        <v>-1.9976138537350649</v>
      </c>
    </row>
    <row r="473" spans="1:34" x14ac:dyDescent="0.2">
      <c r="A473" s="347">
        <f t="shared" ca="1" si="209"/>
        <v>0.1</v>
      </c>
      <c r="B473" s="304">
        <f t="shared" ca="1" si="210"/>
        <v>10.899999999999935</v>
      </c>
      <c r="D473" s="306">
        <f t="shared" ca="1" si="211"/>
        <v>-0.85332016066134331</v>
      </c>
      <c r="E473" s="307">
        <f t="shared" ca="1" si="212"/>
        <v>-11.54327632516037</v>
      </c>
      <c r="F473" s="304">
        <f t="shared" ca="1" si="213"/>
        <v>11.574773588092295</v>
      </c>
      <c r="G473" s="306">
        <f t="shared" ca="1" si="214"/>
        <v>28.76892310248375</v>
      </c>
      <c r="H473" s="307">
        <f t="shared" ca="1" si="215"/>
        <v>57.454855160445454</v>
      </c>
      <c r="I473" s="304">
        <f t="shared" ca="1" si="216"/>
        <v>64.255048968811693</v>
      </c>
      <c r="J473" s="306">
        <f t="shared" ca="1" si="217"/>
        <v>343.01404671589023</v>
      </c>
      <c r="K473" s="307">
        <f t="shared" ca="1" si="218"/>
        <v>1218.8735789164375</v>
      </c>
      <c r="L473" s="304">
        <f t="shared" ca="1" si="203"/>
        <v>1266.2193481482486</v>
      </c>
      <c r="M473" s="306">
        <f t="shared" ca="1" si="219"/>
        <v>1.1065711020880182</v>
      </c>
      <c r="N473" s="304">
        <f t="shared" ca="1" si="220"/>
        <v>63.401853880783605</v>
      </c>
      <c r="P473" s="310">
        <f t="shared" ca="1" si="221"/>
        <v>23</v>
      </c>
      <c r="Q473" s="304">
        <f t="shared" ca="1" si="222"/>
        <v>0</v>
      </c>
      <c r="R473" s="306">
        <f t="shared" ca="1" si="223"/>
        <v>0</v>
      </c>
      <c r="S473" s="307">
        <f t="shared" ca="1" si="224"/>
        <v>7.8079999999999892</v>
      </c>
      <c r="T473" s="304">
        <f t="shared" ca="1" si="204"/>
        <v>76.5964799999999</v>
      </c>
      <c r="U473" s="311">
        <f t="shared" ca="1" si="205"/>
        <v>0</v>
      </c>
      <c r="V473" s="306">
        <f t="shared" ca="1" si="206"/>
        <v>1.0842649012569419</v>
      </c>
      <c r="W473" s="304">
        <f t="shared" ca="1" si="207"/>
        <v>14.585167541134213</v>
      </c>
      <c r="Y473" s="314" t="str">
        <f t="shared" ca="1" si="225"/>
        <v/>
      </c>
      <c r="Z473" s="315" t="str">
        <f t="shared" ca="1" si="226"/>
        <v/>
      </c>
      <c r="AA473" s="316" t="str">
        <f t="shared" ca="1" si="227"/>
        <v/>
      </c>
      <c r="AC473" s="310" t="e">
        <f t="shared" ca="1" si="228"/>
        <v>#N/A</v>
      </c>
      <c r="AD473" s="323" t="e">
        <f t="shared" ca="1" si="229"/>
        <v>#N/A</v>
      </c>
      <c r="AE473" s="324">
        <f t="shared" ca="1" si="208"/>
        <v>1218.8735789164375</v>
      </c>
      <c r="AG473" s="306">
        <f t="shared" ca="1" si="230"/>
        <v>-10.733156940674267</v>
      </c>
      <c r="AH473" s="304">
        <f t="shared" ca="1" si="231"/>
        <v>-1.9319425757388697</v>
      </c>
    </row>
    <row r="474" spans="1:34" x14ac:dyDescent="0.2">
      <c r="A474" s="347">
        <f t="shared" ca="1" si="209"/>
        <v>0.1</v>
      </c>
      <c r="B474" s="304">
        <f t="shared" ca="1" si="210"/>
        <v>10.999999999999934</v>
      </c>
      <c r="D474" s="306">
        <f t="shared" ca="1" si="211"/>
        <v>-0.83634981293047694</v>
      </c>
      <c r="E474" s="307">
        <f t="shared" ca="1" si="212"/>
        <v>-11.480286968831226</v>
      </c>
      <c r="F474" s="304">
        <f t="shared" ca="1" si="213"/>
        <v>11.510711094294084</v>
      </c>
      <c r="G474" s="306">
        <f t="shared" ca="1" si="214"/>
        <v>28.685288121190702</v>
      </c>
      <c r="H474" s="307">
        <f t="shared" ca="1" si="215"/>
        <v>56.306826463562331</v>
      </c>
      <c r="I474" s="304">
        <f t="shared" ca="1" si="216"/>
        <v>63.192598150364475</v>
      </c>
      <c r="J474" s="306">
        <f t="shared" ca="1" si="217"/>
        <v>345.88675727707397</v>
      </c>
      <c r="K474" s="307">
        <f t="shared" ca="1" si="218"/>
        <v>1224.561662997638</v>
      </c>
      <c r="L474" s="304">
        <f t="shared" ca="1" si="203"/>
        <v>1272.4735420994773</v>
      </c>
      <c r="M474" s="306">
        <f t="shared" ca="1" si="219"/>
        <v>1.0996204965975338</v>
      </c>
      <c r="N474" s="304">
        <f t="shared" ca="1" si="220"/>
        <v>63.003613521118389</v>
      </c>
      <c r="P474" s="310">
        <f t="shared" ca="1" si="221"/>
        <v>23</v>
      </c>
      <c r="Q474" s="304">
        <f t="shared" ca="1" si="222"/>
        <v>0</v>
      </c>
      <c r="R474" s="306">
        <f t="shared" ca="1" si="223"/>
        <v>0</v>
      </c>
      <c r="S474" s="307">
        <f t="shared" ca="1" si="224"/>
        <v>7.8079999999999892</v>
      </c>
      <c r="T474" s="304">
        <f t="shared" ca="1" si="204"/>
        <v>76.5964799999999</v>
      </c>
      <c r="U474" s="311">
        <f t="shared" ca="1" si="205"/>
        <v>0</v>
      </c>
      <c r="V474" s="306">
        <f t="shared" ca="1" si="206"/>
        <v>1.0836460289743159</v>
      </c>
      <c r="W474" s="304">
        <f t="shared" ca="1" si="207"/>
        <v>14.098774754072069</v>
      </c>
      <c r="Y474" s="314" t="str">
        <f t="shared" ca="1" si="225"/>
        <v/>
      </c>
      <c r="Z474" s="315" t="str">
        <f t="shared" ca="1" si="226"/>
        <v/>
      </c>
      <c r="AA474" s="316" t="str">
        <f t="shared" ca="1" si="227"/>
        <v/>
      </c>
      <c r="AC474" s="310">
        <f t="shared" ca="1" si="228"/>
        <v>10.999999999999934</v>
      </c>
      <c r="AD474" s="323">
        <f t="shared" ca="1" si="229"/>
        <v>345.88675727707397</v>
      </c>
      <c r="AE474" s="324">
        <f t="shared" ca="1" si="208"/>
        <v>1224.561662997638</v>
      </c>
      <c r="AG474" s="306">
        <f t="shared" ca="1" si="230"/>
        <v>-10.6397725847405</v>
      </c>
      <c r="AH474" s="304">
        <f t="shared" ca="1" si="231"/>
        <v>-1.8679774002477245</v>
      </c>
    </row>
    <row r="475" spans="1:34" x14ac:dyDescent="0.2">
      <c r="A475" s="347">
        <f t="shared" ca="1" si="209"/>
        <v>0.1</v>
      </c>
      <c r="B475" s="304">
        <f t="shared" ca="1" si="210"/>
        <v>11.099999999999934</v>
      </c>
      <c r="D475" s="306">
        <f t="shared" ca="1" si="211"/>
        <v>-0.81966156750031449</v>
      </c>
      <c r="E475" s="307">
        <f t="shared" ca="1" si="212"/>
        <v>-11.418927246786041</v>
      </c>
      <c r="F475" s="304">
        <f t="shared" ca="1" si="213"/>
        <v>11.448307497295383</v>
      </c>
      <c r="G475" s="306">
        <f t="shared" ca="1" si="214"/>
        <v>28.603321964440671</v>
      </c>
      <c r="H475" s="307">
        <f t="shared" ca="1" si="215"/>
        <v>55.164933738883725</v>
      </c>
      <c r="I475" s="304">
        <f t="shared" ca="1" si="216"/>
        <v>62.139519967705624</v>
      </c>
      <c r="J475" s="306">
        <f t="shared" ca="1" si="217"/>
        <v>348.75118778135555</v>
      </c>
      <c r="K475" s="307">
        <f t="shared" ca="1" si="218"/>
        <v>1230.1352510077602</v>
      </c>
      <c r="L475" s="304">
        <f t="shared" ca="1" si="203"/>
        <v>1278.616489316023</v>
      </c>
      <c r="M475" s="306">
        <f t="shared" ca="1" si="219"/>
        <v>1.0924541495605644</v>
      </c>
      <c r="N475" s="304">
        <f t="shared" ca="1" si="220"/>
        <v>62.593012081373956</v>
      </c>
      <c r="P475" s="310">
        <f t="shared" ca="1" si="221"/>
        <v>23</v>
      </c>
      <c r="Q475" s="304">
        <f t="shared" ca="1" si="222"/>
        <v>0</v>
      </c>
      <c r="R475" s="306">
        <f t="shared" ca="1" si="223"/>
        <v>0</v>
      </c>
      <c r="S475" s="307">
        <f t="shared" ca="1" si="224"/>
        <v>7.8079999999999892</v>
      </c>
      <c r="T475" s="304">
        <f t="shared" ca="1" si="204"/>
        <v>76.5964799999999</v>
      </c>
      <c r="U475" s="311">
        <f t="shared" ca="1" si="205"/>
        <v>0</v>
      </c>
      <c r="V475" s="306">
        <f t="shared" ca="1" si="206"/>
        <v>1.0830399357170393</v>
      </c>
      <c r="W475" s="304">
        <f t="shared" ca="1" si="207"/>
        <v>13.625164801621809</v>
      </c>
      <c r="Y475" s="314" t="str">
        <f t="shared" ca="1" si="225"/>
        <v/>
      </c>
      <c r="Z475" s="315" t="str">
        <f t="shared" ca="1" si="226"/>
        <v/>
      </c>
      <c r="AA475" s="316" t="str">
        <f t="shared" ca="1" si="227"/>
        <v/>
      </c>
      <c r="AC475" s="310" t="e">
        <f t="shared" ca="1" si="228"/>
        <v>#N/A</v>
      </c>
      <c r="AD475" s="323" t="e">
        <f t="shared" ca="1" si="229"/>
        <v>#N/A</v>
      </c>
      <c r="AE475" s="324">
        <f t="shared" ca="1" si="208"/>
        <v>1230.1352510077602</v>
      </c>
      <c r="AG475" s="306">
        <f t="shared" ca="1" si="230"/>
        <v>-10.546738108861799</v>
      </c>
      <c r="AH475" s="304">
        <f t="shared" ca="1" si="231"/>
        <v>-1.8056832420686588</v>
      </c>
    </row>
    <row r="476" spans="1:34" x14ac:dyDescent="0.2">
      <c r="A476" s="347">
        <f t="shared" ca="1" si="209"/>
        <v>0.1</v>
      </c>
      <c r="B476" s="304">
        <f t="shared" ca="1" si="210"/>
        <v>11.199999999999934</v>
      </c>
      <c r="D476" s="306">
        <f t="shared" ca="1" si="211"/>
        <v>-0.80324964066183047</v>
      </c>
      <c r="E476" s="307">
        <f t="shared" ca="1" si="212"/>
        <v>-11.35916317964673</v>
      </c>
      <c r="F476" s="304">
        <f t="shared" ca="1" si="213"/>
        <v>11.387528183370847</v>
      </c>
      <c r="G476" s="306">
        <f t="shared" ca="1" si="214"/>
        <v>28.522997000374488</v>
      </c>
      <c r="H476" s="307">
        <f t="shared" ca="1" si="215"/>
        <v>54.029017420919054</v>
      </c>
      <c r="I476" s="304">
        <f t="shared" ca="1" si="216"/>
        <v>61.095794301681252</v>
      </c>
      <c r="J476" s="306">
        <f t="shared" ca="1" si="217"/>
        <v>351.60750372959632</v>
      </c>
      <c r="K476" s="307">
        <f t="shared" ca="1" si="218"/>
        <v>1235.5949485657504</v>
      </c>
      <c r="L476" s="304">
        <f t="shared" ca="1" si="203"/>
        <v>1284.6488678234832</v>
      </c>
      <c r="M476" s="306">
        <f t="shared" ca="1" si="219"/>
        <v>1.0850630300135751</v>
      </c>
      <c r="N476" s="304">
        <f t="shared" ca="1" si="220"/>
        <v>62.169532125454822</v>
      </c>
      <c r="P476" s="310">
        <f t="shared" ca="1" si="221"/>
        <v>23</v>
      </c>
      <c r="Q476" s="304">
        <f t="shared" ca="1" si="222"/>
        <v>0</v>
      </c>
      <c r="R476" s="306">
        <f t="shared" ca="1" si="223"/>
        <v>0</v>
      </c>
      <c r="S476" s="307">
        <f t="shared" ca="1" si="224"/>
        <v>7.8079999999999892</v>
      </c>
      <c r="T476" s="304">
        <f t="shared" ca="1" si="204"/>
        <v>76.5964799999999</v>
      </c>
      <c r="U476" s="311">
        <f t="shared" ca="1" si="205"/>
        <v>0</v>
      </c>
      <c r="V476" s="306">
        <f t="shared" ca="1" si="206"/>
        <v>1.0824465358131845</v>
      </c>
      <c r="W476" s="304">
        <f t="shared" ca="1" si="207"/>
        <v>13.164082358651683</v>
      </c>
      <c r="Y476" s="314" t="str">
        <f t="shared" ca="1" si="225"/>
        <v/>
      </c>
      <c r="Z476" s="315" t="str">
        <f t="shared" ca="1" si="226"/>
        <v/>
      </c>
      <c r="AA476" s="316" t="str">
        <f t="shared" ca="1" si="227"/>
        <v/>
      </c>
      <c r="AC476" s="310" t="e">
        <f t="shared" ca="1" si="228"/>
        <v>#N/A</v>
      </c>
      <c r="AD476" s="323" t="e">
        <f t="shared" ca="1" si="229"/>
        <v>#N/A</v>
      </c>
      <c r="AE476" s="324">
        <f t="shared" ca="1" si="208"/>
        <v>1235.5949485657504</v>
      </c>
      <c r="AG476" s="306">
        <f t="shared" ca="1" si="230"/>
        <v>-10.453944487528304</v>
      </c>
      <c r="AH476" s="304">
        <f t="shared" ca="1" si="231"/>
        <v>-1.7450262297159103</v>
      </c>
    </row>
    <row r="477" spans="1:34" x14ac:dyDescent="0.2">
      <c r="A477" s="347">
        <f t="shared" ca="1" si="209"/>
        <v>0.1</v>
      </c>
      <c r="B477" s="304">
        <f t="shared" ca="1" si="210"/>
        <v>11.299999999999933</v>
      </c>
      <c r="D477" s="306">
        <f t="shared" ca="1" si="211"/>
        <v>-0.78710854445244405</v>
      </c>
      <c r="E477" s="307">
        <f t="shared" ca="1" si="212"/>
        <v>-11.300961881032944</v>
      </c>
      <c r="F477" s="304">
        <f t="shared" ca="1" si="213"/>
        <v>11.328339653157903</v>
      </c>
      <c r="G477" s="306">
        <f t="shared" ca="1" si="214"/>
        <v>28.444286145929244</v>
      </c>
      <c r="H477" s="307">
        <f t="shared" ca="1" si="215"/>
        <v>52.898921232815759</v>
      </c>
      <c r="I477" s="304">
        <f t="shared" ca="1" si="216"/>
        <v>60.061412587010878</v>
      </c>
      <c r="J477" s="306">
        <f t="shared" ca="1" si="217"/>
        <v>354.45586788691151</v>
      </c>
      <c r="K477" s="307">
        <f t="shared" ca="1" si="218"/>
        <v>1240.9413454984372</v>
      </c>
      <c r="L477" s="304">
        <f t="shared" ca="1" si="203"/>
        <v>1290.5713406266759</v>
      </c>
      <c r="M477" s="306">
        <f t="shared" ca="1" si="219"/>
        <v>1.0774376495951214</v>
      </c>
      <c r="N477" s="304">
        <f t="shared" ca="1" si="220"/>
        <v>61.732630010295729</v>
      </c>
      <c r="P477" s="310">
        <f t="shared" ca="1" si="221"/>
        <v>23</v>
      </c>
      <c r="Q477" s="304">
        <f t="shared" ca="1" si="222"/>
        <v>0</v>
      </c>
      <c r="R477" s="306">
        <f t="shared" ca="1" si="223"/>
        <v>0</v>
      </c>
      <c r="S477" s="307">
        <f t="shared" ca="1" si="224"/>
        <v>7.8079999999999892</v>
      </c>
      <c r="T477" s="304">
        <f t="shared" ca="1" si="204"/>
        <v>76.5964799999999</v>
      </c>
      <c r="U477" s="311">
        <f t="shared" ca="1" si="205"/>
        <v>0</v>
      </c>
      <c r="V477" s="306">
        <f t="shared" ca="1" si="206"/>
        <v>1.0818657458716865</v>
      </c>
      <c r="W477" s="304">
        <f t="shared" ca="1" si="207"/>
        <v>12.715280925031315</v>
      </c>
      <c r="Y477" s="314" t="str">
        <f t="shared" ca="1" si="225"/>
        <v/>
      </c>
      <c r="Z477" s="315" t="str">
        <f t="shared" ca="1" si="226"/>
        <v/>
      </c>
      <c r="AA477" s="316" t="str">
        <f t="shared" ca="1" si="227"/>
        <v/>
      </c>
      <c r="AC477" s="310" t="e">
        <f t="shared" ca="1" si="228"/>
        <v>#N/A</v>
      </c>
      <c r="AD477" s="323" t="e">
        <f t="shared" ca="1" si="229"/>
        <v>#N/A</v>
      </c>
      <c r="AE477" s="324">
        <f t="shared" ca="1" si="208"/>
        <v>1240.9413454984372</v>
      </c>
      <c r="AG477" s="306">
        <f t="shared" ca="1" si="230"/>
        <v>-10.361278844662429</v>
      </c>
      <c r="AH477" s="304">
        <f t="shared" ca="1" si="231"/>
        <v>-1.6859736627371544</v>
      </c>
    </row>
    <row r="478" spans="1:34" x14ac:dyDescent="0.2">
      <c r="A478" s="347">
        <f t="shared" ca="1" si="209"/>
        <v>0.1</v>
      </c>
      <c r="B478" s="304">
        <f t="shared" ca="1" si="210"/>
        <v>11.399999999999933</v>
      </c>
      <c r="D478" s="306">
        <f t="shared" ca="1" si="211"/>
        <v>-0.77123308461957785</v>
      </c>
      <c r="E478" s="307">
        <f t="shared" ca="1" si="212"/>
        <v>-11.244291512401736</v>
      </c>
      <c r="F478" s="304">
        <f t="shared" ca="1" si="213"/>
        <v>11.270709475746482</v>
      </c>
      <c r="G478" s="306">
        <f t="shared" ca="1" si="214"/>
        <v>28.367162837467287</v>
      </c>
      <c r="H478" s="307">
        <f t="shared" ca="1" si="215"/>
        <v>51.774492081575588</v>
      </c>
      <c r="I478" s="304">
        <f t="shared" ca="1" si="216"/>
        <v>59.036378257414455</v>
      </c>
      <c r="J478" s="306">
        <f t="shared" ca="1" si="217"/>
        <v>357.29644033608133</v>
      </c>
      <c r="K478" s="307">
        <f t="shared" ca="1" si="218"/>
        <v>1246.1750161641567</v>
      </c>
      <c r="L478" s="304">
        <f t="shared" ca="1" si="203"/>
        <v>1296.3845560591083</v>
      </c>
      <c r="M478" s="306">
        <f t="shared" ca="1" si="219"/>
        <v>1.0695680383281685</v>
      </c>
      <c r="N478" s="304">
        <f t="shared" ca="1" si="220"/>
        <v>61.281734498290724</v>
      </c>
      <c r="P478" s="310">
        <f t="shared" ca="1" si="221"/>
        <v>23</v>
      </c>
      <c r="Q478" s="304">
        <f t="shared" ca="1" si="222"/>
        <v>0</v>
      </c>
      <c r="R478" s="306">
        <f t="shared" ca="1" si="223"/>
        <v>0</v>
      </c>
      <c r="S478" s="307">
        <f t="shared" ca="1" si="224"/>
        <v>7.8079999999999892</v>
      </c>
      <c r="T478" s="304">
        <f t="shared" ca="1" si="204"/>
        <v>76.5964799999999</v>
      </c>
      <c r="U478" s="311">
        <f t="shared" ca="1" si="205"/>
        <v>0</v>
      </c>
      <c r="V478" s="306">
        <f t="shared" ca="1" si="206"/>
        <v>1.0812974847341061</v>
      </c>
      <c r="W478" s="304">
        <f t="shared" ca="1" si="207"/>
        <v>12.278522521239564</v>
      </c>
      <c r="Y478" s="314" t="str">
        <f t="shared" ca="1" si="225"/>
        <v/>
      </c>
      <c r="Z478" s="315" t="str">
        <f t="shared" ca="1" si="226"/>
        <v/>
      </c>
      <c r="AA478" s="316" t="str">
        <f t="shared" ca="1" si="227"/>
        <v/>
      </c>
      <c r="AC478" s="310" t="e">
        <f t="shared" ca="1" si="228"/>
        <v>#N/A</v>
      </c>
      <c r="AD478" s="323" t="e">
        <f t="shared" ca="1" si="229"/>
        <v>#N/A</v>
      </c>
      <c r="AE478" s="324">
        <f t="shared" ca="1" si="208"/>
        <v>1246.1750161641567</v>
      </c>
      <c r="AG478" s="306">
        <f t="shared" ca="1" si="230"/>
        <v>-10.268624046828789</v>
      </c>
      <c r="AH478" s="304">
        <f t="shared" ca="1" si="231"/>
        <v>-1.6284939709312671</v>
      </c>
    </row>
    <row r="479" spans="1:34" x14ac:dyDescent="0.2">
      <c r="A479" s="347">
        <f t="shared" ca="1" si="209"/>
        <v>0.1</v>
      </c>
      <c r="B479" s="304">
        <f t="shared" ca="1" si="210"/>
        <v>11.499999999999932</v>
      </c>
      <c r="D479" s="306">
        <f t="shared" ca="1" si="211"/>
        <v>-0.75561835935599742</v>
      </c>
      <c r="E479" s="307">
        <f t="shared" ca="1" si="212"/>
        <v>-11.189121239135636</v>
      </c>
      <c r="F479" s="304">
        <f t="shared" ca="1" si="213"/>
        <v>11.214606244049412</v>
      </c>
      <c r="G479" s="306">
        <f t="shared" ca="1" si="214"/>
        <v>28.291601001531689</v>
      </c>
      <c r="H479" s="307">
        <f t="shared" ca="1" si="215"/>
        <v>50.655579957662027</v>
      </c>
      <c r="I479" s="304">
        <f t="shared" ca="1" si="216"/>
        <v>58.020707235235939</v>
      </c>
      <c r="J479" s="306">
        <f t="shared" ca="1" si="217"/>
        <v>360.12937852803128</v>
      </c>
      <c r="K479" s="307">
        <f t="shared" ca="1" si="218"/>
        <v>1251.2965197661185</v>
      </c>
      <c r="L479" s="304">
        <f t="shared" ca="1" si="203"/>
        <v>1302.0891481222729</v>
      </c>
      <c r="M479" s="306">
        <f t="shared" ca="1" si="219"/>
        <v>1.0614437194381499</v>
      </c>
      <c r="N479" s="304">
        <f t="shared" ca="1" si="220"/>
        <v>60.816245314474244</v>
      </c>
      <c r="P479" s="310">
        <f t="shared" ca="1" si="221"/>
        <v>23</v>
      </c>
      <c r="Q479" s="304">
        <f t="shared" ca="1" si="222"/>
        <v>0</v>
      </c>
      <c r="R479" s="306">
        <f t="shared" ca="1" si="223"/>
        <v>0</v>
      </c>
      <c r="S479" s="307">
        <f t="shared" ca="1" si="224"/>
        <v>7.8079999999999892</v>
      </c>
      <c r="T479" s="304">
        <f t="shared" ca="1" si="204"/>
        <v>76.5964799999999</v>
      </c>
      <c r="U479" s="311">
        <f t="shared" ca="1" si="205"/>
        <v>0</v>
      </c>
      <c r="V479" s="306">
        <f t="shared" ca="1" si="206"/>
        <v>1.0807416734279927</v>
      </c>
      <c r="W479" s="304">
        <f t="shared" ca="1" si="207"/>
        <v>11.853577397313384</v>
      </c>
      <c r="Y479" s="314" t="str">
        <f t="shared" ca="1" si="225"/>
        <v/>
      </c>
      <c r="Z479" s="315" t="str">
        <f t="shared" ca="1" si="226"/>
        <v/>
      </c>
      <c r="AA479" s="316" t="str">
        <f t="shared" ca="1" si="227"/>
        <v/>
      </c>
      <c r="AC479" s="310" t="e">
        <f t="shared" ca="1" si="228"/>
        <v>#N/A</v>
      </c>
      <c r="AD479" s="323" t="e">
        <f t="shared" ca="1" si="229"/>
        <v>#N/A</v>
      </c>
      <c r="AE479" s="324">
        <f t="shared" ca="1" si="208"/>
        <v>1251.2965197661185</v>
      </c>
      <c r="AG479" s="306">
        <f t="shared" ca="1" si="230"/>
        <v>-10.175858271976571</v>
      </c>
      <c r="AH479" s="304">
        <f t="shared" ca="1" si="231"/>
        <v>-1.5725566753636759</v>
      </c>
    </row>
    <row r="480" spans="1:34" x14ac:dyDescent="0.2">
      <c r="A480" s="347">
        <f t="shared" ca="1" si="209"/>
        <v>0.1</v>
      </c>
      <c r="B480" s="304">
        <f t="shared" ca="1" si="210"/>
        <v>11.599999999999932</v>
      </c>
      <c r="D480" s="306">
        <f t="shared" ca="1" si="211"/>
        <v>-0.74025975882075212</v>
      </c>
      <c r="E480" s="307">
        <f t="shared" ca="1" si="212"/>
        <v>-11.135421187735332</v>
      </c>
      <c r="F480" s="304">
        <f t="shared" ca="1" si="213"/>
        <v>11.15999953130798</v>
      </c>
      <c r="G480" s="306">
        <f t="shared" ca="1" si="214"/>
        <v>28.217575025649612</v>
      </c>
      <c r="H480" s="307">
        <f t="shared" ca="1" si="215"/>
        <v>49.542037838888497</v>
      </c>
      <c r="I480" s="304">
        <f t="shared" ca="1" si="216"/>
        <v>57.014428468222185</v>
      </c>
      <c r="J480" s="306">
        <f t="shared" ca="1" si="217"/>
        <v>362.95483732939033</v>
      </c>
      <c r="K480" s="307">
        <f t="shared" ca="1" si="218"/>
        <v>1256.3064006559462</v>
      </c>
      <c r="L480" s="304">
        <f t="shared" ca="1" si="203"/>
        <v>1307.6857368151964</v>
      </c>
      <c r="M480" s="306">
        <f t="shared" ca="1" si="219"/>
        <v>1.0530536832563391</v>
      </c>
      <c r="N480" s="304">
        <f t="shared" ca="1" si="220"/>
        <v>60.335531651294431</v>
      </c>
      <c r="P480" s="310">
        <f t="shared" ca="1" si="221"/>
        <v>23</v>
      </c>
      <c r="Q480" s="304">
        <f t="shared" ca="1" si="222"/>
        <v>0</v>
      </c>
      <c r="R480" s="306">
        <f t="shared" ca="1" si="223"/>
        <v>0</v>
      </c>
      <c r="S480" s="307">
        <f t="shared" ca="1" si="224"/>
        <v>7.8079999999999892</v>
      </c>
      <c r="T480" s="304">
        <f t="shared" ca="1" si="204"/>
        <v>76.5964799999999</v>
      </c>
      <c r="U480" s="311">
        <f t="shared" ca="1" si="205"/>
        <v>0</v>
      </c>
      <c r="V480" s="306">
        <f t="shared" ca="1" si="206"/>
        <v>1.0801982351217856</v>
      </c>
      <c r="W480" s="304">
        <f t="shared" ca="1" si="207"/>
        <v>11.440223754479462</v>
      </c>
      <c r="Y480" s="314" t="str">
        <f t="shared" ca="1" si="225"/>
        <v/>
      </c>
      <c r="Z480" s="315" t="str">
        <f t="shared" ca="1" si="226"/>
        <v/>
      </c>
      <c r="AA480" s="316" t="str">
        <f t="shared" ca="1" si="227"/>
        <v/>
      </c>
      <c r="AC480" s="310" t="e">
        <f t="shared" ca="1" si="228"/>
        <v>#N/A</v>
      </c>
      <c r="AD480" s="323" t="e">
        <f t="shared" ca="1" si="229"/>
        <v>#N/A</v>
      </c>
      <c r="AE480" s="324">
        <f t="shared" ca="1" si="208"/>
        <v>1256.3064006559462</v>
      </c>
      <c r="AG480" s="306">
        <f t="shared" ca="1" si="230"/>
        <v>-10.082854552250941</v>
      </c>
      <c r="AH480" s="304">
        <f t="shared" ca="1" si="231"/>
        <v>-1.5181323510903433</v>
      </c>
    </row>
    <row r="481" spans="1:34" x14ac:dyDescent="0.2">
      <c r="A481" s="347">
        <f t="shared" ca="1" si="209"/>
        <v>0.1</v>
      </c>
      <c r="B481" s="304">
        <f t="shared" ca="1" si="210"/>
        <v>11.699999999999932</v>
      </c>
      <c r="D481" s="306">
        <f t="shared" ca="1" si="211"/>
        <v>-0.7251529654619373</v>
      </c>
      <c r="E481" s="307">
        <f t="shared" ca="1" si="212"/>
        <v>-11.083162403971333</v>
      </c>
      <c r="F481" s="304">
        <f t="shared" ca="1" si="213"/>
        <v>11.106859848585552</v>
      </c>
      <c r="G481" s="306">
        <f t="shared" ca="1" si="214"/>
        <v>28.145059729103419</v>
      </c>
      <c r="H481" s="307">
        <f t="shared" ca="1" si="215"/>
        <v>48.433721598491367</v>
      </c>
      <c r="I481" s="304">
        <f t="shared" ca="1" si="216"/>
        <v>56.01758451624783</v>
      </c>
      <c r="J481" s="306">
        <f t="shared" ca="1" si="217"/>
        <v>365.77296906712797</v>
      </c>
      <c r="K481" s="307">
        <f t="shared" ca="1" si="218"/>
        <v>1261.2051886278152</v>
      </c>
      <c r="L481" s="304">
        <f t="shared" ca="1" si="203"/>
        <v>1313.1749284546613</v>
      </c>
      <c r="M481" s="306">
        <f t="shared" ca="1" si="219"/>
        <v>1.0443863602827983</v>
      </c>
      <c r="N481" s="304">
        <f t="shared" ca="1" si="220"/>
        <v>59.838930625233772</v>
      </c>
      <c r="P481" s="310">
        <f t="shared" ca="1" si="221"/>
        <v>23</v>
      </c>
      <c r="Q481" s="304">
        <f t="shared" ca="1" si="222"/>
        <v>0</v>
      </c>
      <c r="R481" s="306">
        <f t="shared" ca="1" si="223"/>
        <v>0</v>
      </c>
      <c r="S481" s="307">
        <f t="shared" ca="1" si="224"/>
        <v>7.8079999999999892</v>
      </c>
      <c r="T481" s="304">
        <f t="shared" ca="1" si="204"/>
        <v>76.5964799999999</v>
      </c>
      <c r="U481" s="311">
        <f t="shared" ca="1" si="205"/>
        <v>0</v>
      </c>
      <c r="V481" s="306">
        <f t="shared" ca="1" si="206"/>
        <v>1.0796670950811904</v>
      </c>
      <c r="W481" s="304">
        <f t="shared" ca="1" si="207"/>
        <v>11.038247478844283</v>
      </c>
      <c r="Y481" s="314" t="str">
        <f t="shared" ca="1" si="225"/>
        <v/>
      </c>
      <c r="Z481" s="315" t="str">
        <f t="shared" ca="1" si="226"/>
        <v/>
      </c>
      <c r="AA481" s="316" t="str">
        <f t="shared" ca="1" si="227"/>
        <v/>
      </c>
      <c r="AC481" s="310" t="e">
        <f t="shared" ca="1" si="228"/>
        <v>#N/A</v>
      </c>
      <c r="AD481" s="323" t="e">
        <f t="shared" ca="1" si="229"/>
        <v>#N/A</v>
      </c>
      <c r="AE481" s="324">
        <f t="shared" ca="1" si="208"/>
        <v>1261.2051886278152</v>
      </c>
      <c r="AG481" s="306">
        <f t="shared" ca="1" si="230"/>
        <v>-9.9894802894943098</v>
      </c>
      <c r="AH481" s="304">
        <f t="shared" ca="1" si="231"/>
        <v>-1.4651925915060806</v>
      </c>
    </row>
    <row r="482" spans="1:34" x14ac:dyDescent="0.2">
      <c r="A482" s="347">
        <f t="shared" ca="1" si="209"/>
        <v>0.1</v>
      </c>
      <c r="B482" s="304">
        <f t="shared" ca="1" si="210"/>
        <v>11.799999999999931</v>
      </c>
      <c r="D482" s="306">
        <f t="shared" ca="1" si="211"/>
        <v>-0.71029395515965865</v>
      </c>
      <c r="E482" s="307">
        <f t="shared" ca="1" si="212"/>
        <v>-11.032316811846046</v>
      </c>
      <c r="F482" s="304">
        <f t="shared" ca="1" si="213"/>
        <v>11.055158603099155</v>
      </c>
      <c r="G482" s="306">
        <f t="shared" ca="1" si="214"/>
        <v>28.074030333587455</v>
      </c>
      <c r="H482" s="307">
        <f t="shared" ca="1" si="215"/>
        <v>47.330489917306764</v>
      </c>
      <c r="I482" s="304">
        <f t="shared" ca="1" si="216"/>
        <v>55.030232190891816</v>
      </c>
      <c r="J482" s="306">
        <f t="shared" ca="1" si="217"/>
        <v>368.58392357026253</v>
      </c>
      <c r="K482" s="307">
        <f t="shared" ca="1" si="218"/>
        <v>1265.9933992036051</v>
      </c>
      <c r="L482" s="304">
        <f t="shared" ca="1" si="203"/>
        <v>1318.5573159865094</v>
      </c>
      <c r="M482" s="306">
        <f t="shared" ca="1" si="219"/>
        <v>1.0354295935133346</v>
      </c>
      <c r="N482" s="304">
        <f t="shared" ca="1" si="220"/>
        <v>59.325745691260472</v>
      </c>
      <c r="P482" s="310">
        <f t="shared" ca="1" si="221"/>
        <v>23</v>
      </c>
      <c r="Q482" s="304">
        <f t="shared" ca="1" si="222"/>
        <v>0</v>
      </c>
      <c r="R482" s="306">
        <f t="shared" ca="1" si="223"/>
        <v>0</v>
      </c>
      <c r="S482" s="307">
        <f t="shared" ca="1" si="224"/>
        <v>7.8079999999999892</v>
      </c>
      <c r="T482" s="304">
        <f t="shared" ca="1" si="204"/>
        <v>76.5964799999999</v>
      </c>
      <c r="U482" s="311">
        <f t="shared" ca="1" si="205"/>
        <v>0</v>
      </c>
      <c r="V482" s="306">
        <f t="shared" ca="1" si="206"/>
        <v>1.0791481806269634</v>
      </c>
      <c r="W482" s="304">
        <f t="shared" ca="1" si="207"/>
        <v>10.647441886549721</v>
      </c>
      <c r="Y482" s="314" t="str">
        <f t="shared" ca="1" si="225"/>
        <v/>
      </c>
      <c r="Z482" s="315" t="str">
        <f t="shared" ca="1" si="226"/>
        <v/>
      </c>
      <c r="AA482" s="316" t="str">
        <f t="shared" ca="1" si="227"/>
        <v/>
      </c>
      <c r="AC482" s="310" t="e">
        <f t="shared" ca="1" si="228"/>
        <v>#N/A</v>
      </c>
      <c r="AD482" s="323" t="e">
        <f t="shared" ca="1" si="229"/>
        <v>#N/A</v>
      </c>
      <c r="AE482" s="324">
        <f t="shared" ca="1" si="208"/>
        <v>1265.9933992036051</v>
      </c>
      <c r="AG482" s="306">
        <f t="shared" ca="1" si="230"/>
        <v>-9.8955967421928914</v>
      </c>
      <c r="AH482" s="304">
        <f t="shared" ca="1" si="231"/>
        <v>-1.413709974237231</v>
      </c>
    </row>
    <row r="483" spans="1:34" x14ac:dyDescent="0.2">
      <c r="A483" s="347">
        <f t="shared" ca="1" si="209"/>
        <v>0.1</v>
      </c>
      <c r="B483" s="304">
        <f t="shared" ca="1" si="210"/>
        <v>11.899999999999931</v>
      </c>
      <c r="D483" s="306">
        <f t="shared" ca="1" si="211"/>
        <v>-0.69567899920952159</v>
      </c>
      <c r="E483" s="307">
        <f t="shared" ca="1" si="212"/>
        <v>-10.982857173213747</v>
      </c>
      <c r="F483" s="304">
        <f t="shared" ca="1" si="213"/>
        <v>11.004868057235116</v>
      </c>
      <c r="G483" s="306">
        <f t="shared" ca="1" si="214"/>
        <v>28.004462433666504</v>
      </c>
      <c r="H483" s="307">
        <f t="shared" ca="1" si="215"/>
        <v>46.232204199985389</v>
      </c>
      <c r="I483" s="304">
        <f t="shared" ca="1" si="216"/>
        <v>54.052443250863185</v>
      </c>
      <c r="J483" s="306">
        <f t="shared" ca="1" si="217"/>
        <v>371.3878482086252</v>
      </c>
      <c r="K483" s="307">
        <f t="shared" ca="1" si="218"/>
        <v>1270.6715339094696</v>
      </c>
      <c r="L483" s="304">
        <f t="shared" ca="1" si="203"/>
        <v>1323.8334792884177</v>
      </c>
      <c r="M483" s="306">
        <f t="shared" ca="1" si="219"/>
        <v>1.0261706101715686</v>
      </c>
      <c r="N483" s="304">
        <f t="shared" ca="1" si="220"/>
        <v>58.795245023195349</v>
      </c>
      <c r="P483" s="310">
        <f t="shared" ca="1" si="221"/>
        <v>23</v>
      </c>
      <c r="Q483" s="304">
        <f t="shared" ca="1" si="222"/>
        <v>0</v>
      </c>
      <c r="R483" s="306">
        <f t="shared" ca="1" si="223"/>
        <v>0</v>
      </c>
      <c r="S483" s="307">
        <f t="shared" ca="1" si="224"/>
        <v>7.8079999999999892</v>
      </c>
      <c r="T483" s="304">
        <f t="shared" ca="1" si="204"/>
        <v>76.5964799999999</v>
      </c>
      <c r="U483" s="311">
        <f t="shared" ca="1" si="205"/>
        <v>0</v>
      </c>
      <c r="V483" s="306">
        <f t="shared" ca="1" si="206"/>
        <v>1.0786414210940516</v>
      </c>
      <c r="W483" s="304">
        <f t="shared" ca="1" si="207"/>
        <v>10.267607479830822</v>
      </c>
      <c r="Y483" s="314" t="str">
        <f t="shared" ca="1" si="225"/>
        <v/>
      </c>
      <c r="Z483" s="315" t="str">
        <f t="shared" ca="1" si="226"/>
        <v/>
      </c>
      <c r="AA483" s="316" t="str">
        <f t="shared" ca="1" si="227"/>
        <v/>
      </c>
      <c r="AC483" s="310" t="e">
        <f t="shared" ca="1" si="228"/>
        <v>#N/A</v>
      </c>
      <c r="AD483" s="323" t="e">
        <f t="shared" ca="1" si="229"/>
        <v>#N/A</v>
      </c>
      <c r="AE483" s="324">
        <f t="shared" ca="1" si="208"/>
        <v>1270.6715339094696</v>
      </c>
      <c r="AG483" s="306">
        <f t="shared" ca="1" si="230"/>
        <v>-9.8010584828230307</v>
      </c>
      <c r="AH483" s="304">
        <f t="shared" ca="1" si="231"/>
        <v>-1.3636580285027837</v>
      </c>
    </row>
    <row r="484" spans="1:34" x14ac:dyDescent="0.2">
      <c r="A484" s="347">
        <f t="shared" ca="1" si="209"/>
        <v>0.1</v>
      </c>
      <c r="B484" s="304">
        <f t="shared" ca="1" si="210"/>
        <v>11.999999999999931</v>
      </c>
      <c r="D484" s="306">
        <f t="shared" ca="1" si="211"/>
        <v>-0.68130466716857707</v>
      </c>
      <c r="E484" s="307">
        <f t="shared" ca="1" si="212"/>
        <v>-10.934757047900842</v>
      </c>
      <c r="F484" s="304">
        <f t="shared" ca="1" si="213"/>
        <v>10.955961288089823</v>
      </c>
      <c r="G484" s="306">
        <f t="shared" ca="1" si="214"/>
        <v>27.936331966949645</v>
      </c>
      <c r="H484" s="307">
        <f t="shared" ca="1" si="215"/>
        <v>45.138728495195302</v>
      </c>
      <c r="I484" s="304">
        <f t="shared" ca="1" si="216"/>
        <v>53.084305156331929</v>
      </c>
      <c r="J484" s="306">
        <f t="shared" ca="1" si="217"/>
        <v>374.184887928656</v>
      </c>
      <c r="K484" s="307">
        <f t="shared" ca="1" si="218"/>
        <v>1275.2400805442287</v>
      </c>
      <c r="L484" s="304">
        <f t="shared" ca="1" si="203"/>
        <v>1329.0039854645402</v>
      </c>
      <c r="M484" s="306">
        <f t="shared" ca="1" si="219"/>
        <v>1.0165959930315276</v>
      </c>
      <c r="N484" s="304">
        <f t="shared" ca="1" si="220"/>
        <v>58.246659870617378</v>
      </c>
      <c r="P484" s="310">
        <f t="shared" ca="1" si="221"/>
        <v>23</v>
      </c>
      <c r="Q484" s="304">
        <f t="shared" ca="1" si="222"/>
        <v>0</v>
      </c>
      <c r="R484" s="306">
        <f t="shared" ca="1" si="223"/>
        <v>0</v>
      </c>
      <c r="S484" s="307">
        <f t="shared" ca="1" si="224"/>
        <v>7.8079999999999892</v>
      </c>
      <c r="T484" s="304">
        <f t="shared" ca="1" si="204"/>
        <v>76.5964799999999</v>
      </c>
      <c r="U484" s="311">
        <f t="shared" ca="1" si="205"/>
        <v>0</v>
      </c>
      <c r="V484" s="306">
        <f t="shared" ca="1" si="206"/>
        <v>1.0781467477920259</v>
      </c>
      <c r="W484" s="304">
        <f t="shared" ca="1" si="207"/>
        <v>9.8985517134394225</v>
      </c>
      <c r="Y484" s="314" t="str">
        <f t="shared" ca="1" si="225"/>
        <v/>
      </c>
      <c r="Z484" s="315" t="str">
        <f t="shared" ca="1" si="226"/>
        <v/>
      </c>
      <c r="AA484" s="316" t="str">
        <f t="shared" ca="1" si="227"/>
        <v/>
      </c>
      <c r="AC484" s="310">
        <f t="shared" ca="1" si="228"/>
        <v>11.999999999999931</v>
      </c>
      <c r="AD484" s="323">
        <f t="shared" ca="1" si="229"/>
        <v>374.184887928656</v>
      </c>
      <c r="AE484" s="324">
        <f t="shared" ca="1" si="208"/>
        <v>1275.2400805442287</v>
      </c>
      <c r="AG484" s="306">
        <f t="shared" ca="1" si="230"/>
        <v>-9.7057128248316022</v>
      </c>
      <c r="AH484" s="304">
        <f t="shared" ca="1" si="231"/>
        <v>-1.3150112038717772</v>
      </c>
    </row>
    <row r="485" spans="1:34" x14ac:dyDescent="0.2">
      <c r="A485" s="347">
        <f t="shared" ca="1" si="209"/>
        <v>0.1</v>
      </c>
      <c r="B485" s="304">
        <f t="shared" ca="1" si="210"/>
        <v>12.09999999999993</v>
      </c>
      <c r="D485" s="306">
        <f t="shared" ca="1" si="211"/>
        <v>-0.66716783058679463</v>
      </c>
      <c r="E485" s="307">
        <f t="shared" ca="1" si="212"/>
        <v>-10.887990754162493</v>
      </c>
      <c r="F485" s="304">
        <f t="shared" ca="1" si="213"/>
        <v>10.908412147370386</v>
      </c>
      <c r="G485" s="306">
        <f t="shared" ca="1" si="214"/>
        <v>27.869615183890964</v>
      </c>
      <c r="H485" s="307">
        <f t="shared" ca="1" si="215"/>
        <v>44.049929419779055</v>
      </c>
      <c r="I485" s="304">
        <f t="shared" ca="1" si="216"/>
        <v>52.125921885235584</v>
      </c>
      <c r="J485" s="306">
        <f t="shared" ca="1" si="217"/>
        <v>376.97518528619804</v>
      </c>
      <c r="K485" s="307">
        <f t="shared" ca="1" si="218"/>
        <v>1279.6995134399774</v>
      </c>
      <c r="L485" s="304">
        <f t="shared" ca="1" si="203"/>
        <v>1334.0693891323938</v>
      </c>
      <c r="M485" s="306">
        <f t="shared" ca="1" si="219"/>
        <v>1.0066916515694684</v>
      </c>
      <c r="N485" s="304">
        <f t="shared" ca="1" si="220"/>
        <v>57.679182905984952</v>
      </c>
      <c r="P485" s="310">
        <f t="shared" ca="1" si="221"/>
        <v>23</v>
      </c>
      <c r="Q485" s="304">
        <f t="shared" ca="1" si="222"/>
        <v>0</v>
      </c>
      <c r="R485" s="306">
        <f t="shared" ca="1" si="223"/>
        <v>0</v>
      </c>
      <c r="S485" s="307">
        <f t="shared" ca="1" si="224"/>
        <v>7.8079999999999892</v>
      </c>
      <c r="T485" s="304">
        <f t="shared" ca="1" si="204"/>
        <v>76.5964799999999</v>
      </c>
      <c r="U485" s="311">
        <f t="shared" ca="1" si="205"/>
        <v>0</v>
      </c>
      <c r="V485" s="306">
        <f t="shared" ca="1" si="206"/>
        <v>1.0776640939667521</v>
      </c>
      <c r="W485" s="304">
        <f t="shared" ca="1" si="207"/>
        <v>9.5400887709228073</v>
      </c>
      <c r="Y485" s="314" t="str">
        <f t="shared" ca="1" si="225"/>
        <v/>
      </c>
      <c r="Z485" s="315" t="str">
        <f t="shared" ca="1" si="226"/>
        <v/>
      </c>
      <c r="AA485" s="316" t="str">
        <f t="shared" ca="1" si="227"/>
        <v/>
      </c>
      <c r="AC485" s="310" t="e">
        <f t="shared" ca="1" si="228"/>
        <v>#N/A</v>
      </c>
      <c r="AD485" s="323" t="e">
        <f t="shared" ca="1" si="229"/>
        <v>#N/A</v>
      </c>
      <c r="AE485" s="324">
        <f t="shared" ca="1" si="208"/>
        <v>1279.6995134399774</v>
      </c>
      <c r="AG485" s="306">
        <f t="shared" ca="1" si="230"/>
        <v>-9.6093992188656134</v>
      </c>
      <c r="AH485" s="304">
        <f t="shared" ca="1" si="231"/>
        <v>-1.2677448403482885</v>
      </c>
    </row>
    <row r="486" spans="1:34" x14ac:dyDescent="0.2">
      <c r="A486" s="347">
        <f t="shared" ca="1" si="209"/>
        <v>0.1</v>
      </c>
      <c r="B486" s="304">
        <f t="shared" ca="1" si="210"/>
        <v>12.19999999999993</v>
      </c>
      <c r="D486" s="306">
        <f t="shared" ca="1" si="211"/>
        <v>-0.65326566764775218</v>
      </c>
      <c r="E486" s="307">
        <f t="shared" ca="1" si="212"/>
        <v>-10.842533329304146</v>
      </c>
      <c r="F486" s="304">
        <f t="shared" ca="1" si="213"/>
        <v>10.862195221482558</v>
      </c>
      <c r="G486" s="306">
        <f t="shared" ca="1" si="214"/>
        <v>27.80428861712619</v>
      </c>
      <c r="H486" s="307">
        <f t="shared" ca="1" si="215"/>
        <v>42.965676086848639</v>
      </c>
      <c r="I486" s="304">
        <f t="shared" ca="1" si="216"/>
        <v>51.177414814588374</v>
      </c>
      <c r="J486" s="306">
        <f t="shared" ca="1" si="217"/>
        <v>379.75888047624892</v>
      </c>
      <c r="K486" s="307">
        <f t="shared" ca="1" si="218"/>
        <v>1284.0502937153087</v>
      </c>
      <c r="L486" s="304">
        <f t="shared" ca="1" si="203"/>
        <v>1339.030232702363</v>
      </c>
      <c r="M486" s="306">
        <f t="shared" ca="1" si="219"/>
        <v>0.99644279324737972</v>
      </c>
      <c r="N486" s="304">
        <f t="shared" ca="1" si="220"/>
        <v>57.091966579301747</v>
      </c>
      <c r="P486" s="310">
        <f t="shared" ca="1" si="221"/>
        <v>23</v>
      </c>
      <c r="Q486" s="304">
        <f t="shared" ca="1" si="222"/>
        <v>0</v>
      </c>
      <c r="R486" s="306">
        <f t="shared" ca="1" si="223"/>
        <v>0</v>
      </c>
      <c r="S486" s="307">
        <f t="shared" ca="1" si="224"/>
        <v>7.8079999999999892</v>
      </c>
      <c r="T486" s="304">
        <f t="shared" ca="1" si="204"/>
        <v>76.5964799999999</v>
      </c>
      <c r="U486" s="311">
        <f t="shared" ca="1" si="205"/>
        <v>0</v>
      </c>
      <c r="V486" s="306">
        <f t="shared" ca="1" si="206"/>
        <v>1.0771933947632411</v>
      </c>
      <c r="W486" s="304">
        <f t="shared" ca="1" si="207"/>
        <v>9.1920393502696633</v>
      </c>
      <c r="Y486" s="314" t="str">
        <f t="shared" ca="1" si="225"/>
        <v/>
      </c>
      <c r="Z486" s="315" t="str">
        <f t="shared" ca="1" si="226"/>
        <v/>
      </c>
      <c r="AA486" s="316" t="str">
        <f t="shared" ca="1" si="227"/>
        <v/>
      </c>
      <c r="AC486" s="310" t="e">
        <f t="shared" ca="1" si="228"/>
        <v>#N/A</v>
      </c>
      <c r="AD486" s="323" t="e">
        <f t="shared" ca="1" si="229"/>
        <v>#N/A</v>
      </c>
      <c r="AE486" s="324">
        <f t="shared" ca="1" si="208"/>
        <v>1284.0502937153087</v>
      </c>
      <c r="AG486" s="306">
        <f t="shared" ca="1" si="230"/>
        <v>-9.5119486183721307</v>
      </c>
      <c r="AH486" s="304">
        <f t="shared" ca="1" si="231"/>
        <v>-1.2218351397185989</v>
      </c>
    </row>
    <row r="487" spans="1:34" x14ac:dyDescent="0.2">
      <c r="A487" s="347">
        <f t="shared" ca="1" si="209"/>
        <v>0.1</v>
      </c>
      <c r="B487" s="304">
        <f t="shared" ca="1" si="210"/>
        <v>12.29999999999993</v>
      </c>
      <c r="D487" s="306">
        <f t="shared" ca="1" si="211"/>
        <v>-0.63959566874208551</v>
      </c>
      <c r="E487" s="307">
        <f t="shared" ca="1" si="212"/>
        <v>-10.798360490287708</v>
      </c>
      <c r="F487" s="304">
        <f t="shared" ca="1" si="213"/>
        <v>10.817285791624451</v>
      </c>
      <c r="G487" s="306">
        <f t="shared" ca="1" si="214"/>
        <v>27.740329050251983</v>
      </c>
      <c r="H487" s="307">
        <f t="shared" ca="1" si="215"/>
        <v>41.885840037819868</v>
      </c>
      <c r="I487" s="304">
        <f t="shared" ca="1" si="216"/>
        <v>50.238923669701443</v>
      </c>
      <c r="J487" s="306">
        <f t="shared" ca="1" si="217"/>
        <v>382.53611135961785</v>
      </c>
      <c r="K487" s="307">
        <f t="shared" ca="1" si="218"/>
        <v>1288.2928695215421</v>
      </c>
      <c r="L487" s="304">
        <f t="shared" ca="1" si="203"/>
        <v>1343.8870466501965</v>
      </c>
      <c r="M487" s="306">
        <f t="shared" ca="1" si="219"/>
        <v>0.98583389530654186</v>
      </c>
      <c r="N487" s="304">
        <f t="shared" ca="1" si="220"/>
        <v>56.484121502006708</v>
      </c>
      <c r="P487" s="310">
        <f t="shared" ca="1" si="221"/>
        <v>23</v>
      </c>
      <c r="Q487" s="304">
        <f t="shared" ca="1" si="222"/>
        <v>0</v>
      </c>
      <c r="R487" s="306">
        <f t="shared" ca="1" si="223"/>
        <v>0</v>
      </c>
      <c r="S487" s="307">
        <f t="shared" ca="1" si="224"/>
        <v>7.8079999999999892</v>
      </c>
      <c r="T487" s="304">
        <f t="shared" ca="1" si="204"/>
        <v>76.5964799999999</v>
      </c>
      <c r="U487" s="311">
        <f t="shared" ca="1" si="205"/>
        <v>0</v>
      </c>
      <c r="V487" s="306">
        <f t="shared" ca="1" si="206"/>
        <v>1.076734587189625</v>
      </c>
      <c r="W487" s="304">
        <f t="shared" ca="1" si="207"/>
        <v>8.8542304584573728</v>
      </c>
      <c r="Y487" s="314" t="str">
        <f t="shared" ca="1" si="225"/>
        <v/>
      </c>
      <c r="Z487" s="315" t="str">
        <f t="shared" ca="1" si="226"/>
        <v/>
      </c>
      <c r="AA487" s="316" t="str">
        <f t="shared" ca="1" si="227"/>
        <v/>
      </c>
      <c r="AC487" s="310" t="e">
        <f t="shared" ca="1" si="228"/>
        <v>#N/A</v>
      </c>
      <c r="AD487" s="323" t="e">
        <f t="shared" ca="1" si="229"/>
        <v>#N/A</v>
      </c>
      <c r="AE487" s="324">
        <f t="shared" ca="1" si="208"/>
        <v>1288.2928695215421</v>
      </c>
      <c r="AG487" s="306">
        <f t="shared" ca="1" si="230"/>
        <v>-9.4131828153494652</v>
      </c>
      <c r="AH487" s="304">
        <f t="shared" ca="1" si="231"/>
        <v>-1.177259138098063</v>
      </c>
    </row>
    <row r="488" spans="1:34" x14ac:dyDescent="0.2">
      <c r="A488" s="347">
        <f t="shared" ca="1" si="209"/>
        <v>0.1</v>
      </c>
      <c r="B488" s="304">
        <f t="shared" ca="1" si="210"/>
        <v>12.399999999999929</v>
      </c>
      <c r="D488" s="306">
        <f t="shared" ca="1" si="211"/>
        <v>-0.62615564299619242</v>
      </c>
      <c r="E488" s="307">
        <f t="shared" ca="1" si="212"/>
        <v>-10.75544859413189</v>
      </c>
      <c r="F488" s="304">
        <f t="shared" ca="1" si="213"/>
        <v>10.77365979369451</v>
      </c>
      <c r="G488" s="306">
        <f t="shared" ca="1" si="214"/>
        <v>27.677713485952363</v>
      </c>
      <c r="H488" s="307">
        <f t="shared" ca="1" si="215"/>
        <v>40.810295178406676</v>
      </c>
      <c r="I488" s="304">
        <f t="shared" ca="1" si="216"/>
        <v>49.31060754400773</v>
      </c>
      <c r="J488" s="306">
        <f t="shared" ca="1" si="217"/>
        <v>385.30701348642805</v>
      </c>
      <c r="K488" s="307">
        <f t="shared" ca="1" si="218"/>
        <v>1292.4276762823533</v>
      </c>
      <c r="L488" s="304">
        <f t="shared" ca="1" si="203"/>
        <v>1348.6403497828596</v>
      </c>
      <c r="M488" s="306">
        <f t="shared" ca="1" si="219"/>
        <v>0.97484867753948456</v>
      </c>
      <c r="N488" s="304">
        <f t="shared" ca="1" si="220"/>
        <v>55.854714886922196</v>
      </c>
      <c r="P488" s="310">
        <f t="shared" ca="1" si="221"/>
        <v>23</v>
      </c>
      <c r="Q488" s="304">
        <f t="shared" ca="1" si="222"/>
        <v>0</v>
      </c>
      <c r="R488" s="306">
        <f t="shared" ca="1" si="223"/>
        <v>0</v>
      </c>
      <c r="S488" s="307">
        <f t="shared" ca="1" si="224"/>
        <v>7.8079999999999892</v>
      </c>
      <c r="T488" s="304">
        <f t="shared" ca="1" si="204"/>
        <v>76.5964799999999</v>
      </c>
      <c r="U488" s="311">
        <f t="shared" ca="1" si="205"/>
        <v>0</v>
      </c>
      <c r="V488" s="306">
        <f t="shared" ca="1" si="206"/>
        <v>1.0762876100822043</v>
      </c>
      <c r="W488" s="304">
        <f t="shared" ca="1" si="207"/>
        <v>8.5264952144541315</v>
      </c>
      <c r="Y488" s="314" t="str">
        <f t="shared" ca="1" si="225"/>
        <v/>
      </c>
      <c r="Z488" s="315" t="str">
        <f t="shared" ca="1" si="226"/>
        <v/>
      </c>
      <c r="AA488" s="316" t="str">
        <f t="shared" ca="1" si="227"/>
        <v/>
      </c>
      <c r="AC488" s="310" t="e">
        <f t="shared" ca="1" si="228"/>
        <v>#N/A</v>
      </c>
      <c r="AD488" s="323" t="e">
        <f t="shared" ca="1" si="229"/>
        <v>#N/A</v>
      </c>
      <c r="AE488" s="324">
        <f t="shared" ca="1" si="208"/>
        <v>1292.4276762823533</v>
      </c>
      <c r="AG488" s="306">
        <f t="shared" ca="1" si="230"/>
        <v>-9.3129137478786657</v>
      </c>
      <c r="AH488" s="304">
        <f t="shared" ca="1" si="231"/>
        <v>-1.1339946796180052</v>
      </c>
    </row>
    <row r="489" spans="1:34" x14ac:dyDescent="0.2">
      <c r="A489" s="347">
        <f t="shared" ca="1" si="209"/>
        <v>0.1</v>
      </c>
      <c r="B489" s="304">
        <f t="shared" ca="1" si="210"/>
        <v>12.499999999999929</v>
      </c>
      <c r="D489" s="306">
        <f t="shared" ca="1" si="211"/>
        <v>-0.61294372577647238</v>
      </c>
      <c r="E489" s="307">
        <f t="shared" ca="1" si="212"/>
        <v>-10.713774597904777</v>
      </c>
      <c r="F489" s="304">
        <f t="shared" ca="1" si="213"/>
        <v>10.73129377781069</v>
      </c>
      <c r="G489" s="306">
        <f t="shared" ca="1" si="214"/>
        <v>27.616419113374715</v>
      </c>
      <c r="H489" s="307">
        <f t="shared" ca="1" si="215"/>
        <v>39.7389177186162</v>
      </c>
      <c r="I489" s="304">
        <f t="shared" ca="1" si="216"/>
        <v>48.39264599185001</v>
      </c>
      <c r="J489" s="306">
        <f t="shared" ca="1" si="217"/>
        <v>388.07172011639437</v>
      </c>
      <c r="K489" s="307">
        <f t="shared" ca="1" si="218"/>
        <v>1296.4551369272044</v>
      </c>
      <c r="L489" s="304">
        <f t="shared" ca="1" si="203"/>
        <v>1353.2906494981162</v>
      </c>
      <c r="M489" s="306">
        <f t="shared" ca="1" si="219"/>
        <v>0.96347007661478568</v>
      </c>
      <c r="N489" s="304">
        <f t="shared" ca="1" si="220"/>
        <v>55.202769077173294</v>
      </c>
      <c r="P489" s="310">
        <f t="shared" ca="1" si="221"/>
        <v>23</v>
      </c>
      <c r="Q489" s="304">
        <f t="shared" ca="1" si="222"/>
        <v>0</v>
      </c>
      <c r="R489" s="306">
        <f t="shared" ca="1" si="223"/>
        <v>0</v>
      </c>
      <c r="S489" s="307">
        <f t="shared" ca="1" si="224"/>
        <v>7.8079999999999892</v>
      </c>
      <c r="T489" s="304">
        <f t="shared" ca="1" si="204"/>
        <v>76.5964799999999</v>
      </c>
      <c r="U489" s="311">
        <f t="shared" ca="1" si="205"/>
        <v>0</v>
      </c>
      <c r="V489" s="306">
        <f t="shared" ca="1" si="206"/>
        <v>1.0758524040715092</v>
      </c>
      <c r="W489" s="304">
        <f t="shared" ca="1" si="207"/>
        <v>8.2086726602476912</v>
      </c>
      <c r="Y489" s="314" t="str">
        <f t="shared" ca="1" si="225"/>
        <v/>
      </c>
      <c r="Z489" s="315" t="str">
        <f t="shared" ca="1" si="226"/>
        <v/>
      </c>
      <c r="AA489" s="316" t="str">
        <f t="shared" ca="1" si="227"/>
        <v/>
      </c>
      <c r="AC489" s="310" t="e">
        <f t="shared" ca="1" si="228"/>
        <v>#N/A</v>
      </c>
      <c r="AD489" s="323" t="e">
        <f t="shared" ca="1" si="229"/>
        <v>#N/A</v>
      </c>
      <c r="AE489" s="324">
        <f t="shared" ca="1" si="208"/>
        <v>1296.4551369272044</v>
      </c>
      <c r="AG489" s="306">
        <f t="shared" ca="1" si="230"/>
        <v>-9.2109427821409398</v>
      </c>
      <c r="AH489" s="304">
        <f t="shared" ca="1" si="231"/>
        <v>-1.0920203911954589</v>
      </c>
    </row>
    <row r="490" spans="1:34" x14ac:dyDescent="0.2">
      <c r="A490" s="347">
        <f t="shared" ca="1" si="209"/>
        <v>0.1</v>
      </c>
      <c r="B490" s="304">
        <f t="shared" ca="1" si="210"/>
        <v>12.599999999999929</v>
      </c>
      <c r="D490" s="306">
        <f t="shared" ca="1" si="211"/>
        <v>-0.59995838718571759</v>
      </c>
      <c r="E490" s="307">
        <f t="shared" ca="1" si="212"/>
        <v>-10.673316018093756</v>
      </c>
      <c r="F490" s="304">
        <f t="shared" ca="1" si="213"/>
        <v>10.690164867224977</v>
      </c>
      <c r="G490" s="306">
        <f t="shared" ca="1" si="214"/>
        <v>27.556423274656144</v>
      </c>
      <c r="H490" s="307">
        <f t="shared" ca="1" si="215"/>
        <v>38.671586116806822</v>
      </c>
      <c r="I490" s="304">
        <f t="shared" ca="1" si="216"/>
        <v>47.48524019610322</v>
      </c>
      <c r="J490" s="306">
        <f t="shared" ca="1" si="217"/>
        <v>390.83036223579592</v>
      </c>
      <c r="K490" s="307">
        <f t="shared" ca="1" si="218"/>
        <v>1300.3756621189755</v>
      </c>
      <c r="L490" s="304">
        <f t="shared" ca="1" si="203"/>
        <v>1357.8384420382004</v>
      </c>
      <c r="M490" s="306">
        <f t="shared" ca="1" si="219"/>
        <v>0.95168022265361651</v>
      </c>
      <c r="N490" s="304">
        <f t="shared" ca="1" si="220"/>
        <v>54.527260204122705</v>
      </c>
      <c r="P490" s="310">
        <f t="shared" ca="1" si="221"/>
        <v>23</v>
      </c>
      <c r="Q490" s="304">
        <f t="shared" ca="1" si="222"/>
        <v>0</v>
      </c>
      <c r="R490" s="306">
        <f t="shared" ca="1" si="223"/>
        <v>0</v>
      </c>
      <c r="S490" s="307">
        <f t="shared" ca="1" si="224"/>
        <v>7.8079999999999892</v>
      </c>
      <c r="T490" s="304">
        <f t="shared" ca="1" si="204"/>
        <v>76.5964799999999</v>
      </c>
      <c r="U490" s="311">
        <f t="shared" ca="1" si="205"/>
        <v>0</v>
      </c>
      <c r="V490" s="306">
        <f t="shared" ca="1" si="206"/>
        <v>1.0754289115493212</v>
      </c>
      <c r="W490" s="304">
        <f t="shared" ca="1" si="207"/>
        <v>7.9006075794885176</v>
      </c>
      <c r="Y490" s="314" t="str">
        <f t="shared" ca="1" si="225"/>
        <v/>
      </c>
      <c r="Z490" s="315" t="str">
        <f t="shared" ca="1" si="226"/>
        <v/>
      </c>
      <c r="AA490" s="316" t="str">
        <f t="shared" ca="1" si="227"/>
        <v/>
      </c>
      <c r="AC490" s="310" t="e">
        <f t="shared" ca="1" si="228"/>
        <v>#N/A</v>
      </c>
      <c r="AD490" s="323" t="e">
        <f t="shared" ca="1" si="229"/>
        <v>#N/A</v>
      </c>
      <c r="AE490" s="324">
        <f t="shared" ca="1" si="208"/>
        <v>1300.3756621189755</v>
      </c>
      <c r="AG490" s="306">
        <f t="shared" ca="1" si="230"/>
        <v>-9.1070599729790267</v>
      </c>
      <c r="AH490" s="304">
        <f t="shared" ca="1" si="231"/>
        <v>-1.0513156583309045</v>
      </c>
    </row>
    <row r="491" spans="1:34" x14ac:dyDescent="0.2">
      <c r="A491" s="347">
        <f t="shared" ca="1" si="209"/>
        <v>0.1</v>
      </c>
      <c r="B491" s="304">
        <f t="shared" ca="1" si="210"/>
        <v>12.699999999999928</v>
      </c>
      <c r="D491" s="306">
        <f t="shared" ca="1" si="211"/>
        <v>-0.58719844156280121</v>
      </c>
      <c r="E491" s="307">
        <f t="shared" ca="1" si="212"/>
        <v>-10.634050889123744</v>
      </c>
      <c r="F491" s="304">
        <f t="shared" ca="1" si="213"/>
        <v>10.650250716403219</v>
      </c>
      <c r="G491" s="306">
        <f t="shared" ca="1" si="214"/>
        <v>27.497703430499865</v>
      </c>
      <c r="H491" s="307">
        <f t="shared" ca="1" si="215"/>
        <v>37.608181027894446</v>
      </c>
      <c r="I491" s="304">
        <f t="shared" ca="1" si="216"/>
        <v>46.588614211828663</v>
      </c>
      <c r="J491" s="306">
        <f t="shared" ca="1" si="217"/>
        <v>393.58306857105373</v>
      </c>
      <c r="K491" s="307">
        <f t="shared" ca="1" si="218"/>
        <v>1304.1896504762105</v>
      </c>
      <c r="L491" s="304">
        <f t="shared" ca="1" si="203"/>
        <v>1362.284212737954</v>
      </c>
      <c r="M491" s="306">
        <f t="shared" ca="1" si="219"/>
        <v>0.93946041890215248</v>
      </c>
      <c r="N491" s="304">
        <f t="shared" ca="1" si="220"/>
        <v>53.827117022685684</v>
      </c>
      <c r="P491" s="310">
        <f t="shared" ca="1" si="221"/>
        <v>23</v>
      </c>
      <c r="Q491" s="304">
        <f t="shared" ca="1" si="222"/>
        <v>0</v>
      </c>
      <c r="R491" s="306">
        <f t="shared" ca="1" si="223"/>
        <v>0</v>
      </c>
      <c r="S491" s="307">
        <f t="shared" ca="1" si="224"/>
        <v>7.8079999999999892</v>
      </c>
      <c r="T491" s="304">
        <f t="shared" ca="1" si="204"/>
        <v>76.5964799999999</v>
      </c>
      <c r="U491" s="311">
        <f t="shared" ca="1" si="205"/>
        <v>0</v>
      </c>
      <c r="V491" s="306">
        <f t="shared" ca="1" si="206"/>
        <v>1.0750170766365998</v>
      </c>
      <c r="W491" s="304">
        <f t="shared" ca="1" si="207"/>
        <v>7.6021503233501164</v>
      </c>
      <c r="Y491" s="314" t="str">
        <f t="shared" ca="1" si="225"/>
        <v/>
      </c>
      <c r="Z491" s="315" t="str">
        <f t="shared" ca="1" si="226"/>
        <v/>
      </c>
      <c r="AA491" s="316" t="str">
        <f t="shared" ca="1" si="227"/>
        <v/>
      </c>
      <c r="AC491" s="310" t="e">
        <f t="shared" ca="1" si="228"/>
        <v>#N/A</v>
      </c>
      <c r="AD491" s="323" t="e">
        <f t="shared" ca="1" si="229"/>
        <v>#N/A</v>
      </c>
      <c r="AE491" s="324">
        <f t="shared" ca="1" si="208"/>
        <v>1304.1896504762105</v>
      </c>
      <c r="AG491" s="306">
        <f t="shared" ca="1" si="230"/>
        <v>-9.0010433087427675</v>
      </c>
      <c r="AH491" s="304">
        <f t="shared" ca="1" si="231"/>
        <v>-1.0118606018812153</v>
      </c>
    </row>
    <row r="492" spans="1:34" x14ac:dyDescent="0.2">
      <c r="A492" s="347">
        <f t="shared" ca="1" si="209"/>
        <v>0.1</v>
      </c>
      <c r="B492" s="304">
        <f t="shared" ca="1" si="210"/>
        <v>12.799999999999928</v>
      </c>
      <c r="D492" s="306">
        <f t="shared" ca="1" si="211"/>
        <v>-0.57466305798913975</v>
      </c>
      <c r="E492" s="307">
        <f t="shared" ca="1" si="212"/>
        <v>-10.595957720779234</v>
      </c>
      <c r="F492" s="304">
        <f t="shared" ca="1" si="213"/>
        <v>10.61152946802479</v>
      </c>
      <c r="G492" s="306">
        <f t="shared" ca="1" si="214"/>
        <v>27.44023712470095</v>
      </c>
      <c r="H492" s="307">
        <f t="shared" ca="1" si="215"/>
        <v>36.548585255816519</v>
      </c>
      <c r="I492" s="304">
        <f t="shared" ca="1" si="216"/>
        <v>45.703016286252975</v>
      </c>
      <c r="J492" s="306">
        <f t="shared" ca="1" si="217"/>
        <v>396.32996559881377</v>
      </c>
      <c r="K492" s="307">
        <f t="shared" ca="1" si="218"/>
        <v>1307.897488790396</v>
      </c>
      <c r="L492" s="304">
        <f t="shared" ca="1" si="203"/>
        <v>1366.6284362678032</v>
      </c>
      <c r="M492" s="306">
        <f t="shared" ca="1" si="219"/>
        <v>0.92679112551234921</v>
      </c>
      <c r="N492" s="304">
        <f t="shared" ca="1" si="220"/>
        <v>53.101219982036966</v>
      </c>
      <c r="P492" s="310">
        <f t="shared" ca="1" si="221"/>
        <v>23</v>
      </c>
      <c r="Q492" s="304">
        <f t="shared" ca="1" si="222"/>
        <v>0</v>
      </c>
      <c r="R492" s="306">
        <f t="shared" ca="1" si="223"/>
        <v>0</v>
      </c>
      <c r="S492" s="307">
        <f t="shared" ca="1" si="224"/>
        <v>7.8079999999999892</v>
      </c>
      <c r="T492" s="304">
        <f t="shared" ca="1" si="204"/>
        <v>76.5964799999999</v>
      </c>
      <c r="U492" s="311">
        <f t="shared" ca="1" si="205"/>
        <v>0</v>
      </c>
      <c r="V492" s="306">
        <f t="shared" ca="1" si="206"/>
        <v>1.0746168451522631</v>
      </c>
      <c r="W492" s="304">
        <f t="shared" ca="1" si="207"/>
        <v>7.3131566432221735</v>
      </c>
      <c r="Y492" s="314" t="str">
        <f t="shared" ca="1" si="225"/>
        <v/>
      </c>
      <c r="Z492" s="315" t="str">
        <f t="shared" ca="1" si="226"/>
        <v/>
      </c>
      <c r="AA492" s="316" t="str">
        <f t="shared" ca="1" si="227"/>
        <v/>
      </c>
      <c r="AC492" s="310" t="e">
        <f t="shared" ca="1" si="228"/>
        <v>#N/A</v>
      </c>
      <c r="AD492" s="323" t="e">
        <f t="shared" ca="1" si="229"/>
        <v>#N/A</v>
      </c>
      <c r="AE492" s="324">
        <f t="shared" ca="1" si="208"/>
        <v>1307.897488790396</v>
      </c>
      <c r="AG492" s="306">
        <f t="shared" ca="1" si="230"/>
        <v>-8.8926579482341079</v>
      </c>
      <c r="AH492" s="304">
        <f t="shared" ca="1" si="231"/>
        <v>-0.97363605575693224</v>
      </c>
    </row>
    <row r="493" spans="1:34" x14ac:dyDescent="0.2">
      <c r="A493" s="347">
        <f t="shared" ca="1" si="209"/>
        <v>0.1</v>
      </c>
      <c r="B493" s="304">
        <f t="shared" ca="1" si="210"/>
        <v>12.899999999999928</v>
      </c>
      <c r="D493" s="306">
        <f t="shared" ca="1" si="211"/>
        <v>-0.56235177179502338</v>
      </c>
      <c r="E493" s="307">
        <f t="shared" ca="1" si="212"/>
        <v>-10.559015454269106</v>
      </c>
      <c r="F493" s="304">
        <f t="shared" ca="1" si="213"/>
        <v>10.573979708640207</v>
      </c>
      <c r="G493" s="306">
        <f t="shared" ca="1" si="214"/>
        <v>27.384001947521448</v>
      </c>
      <c r="H493" s="307">
        <f t="shared" ca="1" si="215"/>
        <v>35.492683710389606</v>
      </c>
      <c r="I493" s="304">
        <f t="shared" ca="1" si="216"/>
        <v>44.828720254180958</v>
      </c>
      <c r="J493" s="306">
        <f t="shared" ca="1" si="217"/>
        <v>399.0711775524249</v>
      </c>
      <c r="K493" s="307">
        <f t="shared" ca="1" si="218"/>
        <v>1311.4995522387062</v>
      </c>
      <c r="L493" s="304">
        <f t="shared" ca="1" si="203"/>
        <v>1370.8715768719569</v>
      </c>
      <c r="M493" s="306">
        <f t="shared" ca="1" si="219"/>
        <v>0.91365194863753274</v>
      </c>
      <c r="N493" s="304">
        <f t="shared" ca="1" si="220"/>
        <v>52.34840060083409</v>
      </c>
      <c r="P493" s="310">
        <f t="shared" ca="1" si="221"/>
        <v>23</v>
      </c>
      <c r="Q493" s="304">
        <f t="shared" ca="1" si="222"/>
        <v>0</v>
      </c>
      <c r="R493" s="306">
        <f t="shared" ca="1" si="223"/>
        <v>0</v>
      </c>
      <c r="S493" s="307">
        <f t="shared" ca="1" si="224"/>
        <v>7.8079999999999892</v>
      </c>
      <c r="T493" s="304">
        <f t="shared" ca="1" si="204"/>
        <v>76.5964799999999</v>
      </c>
      <c r="U493" s="311">
        <f t="shared" ca="1" si="205"/>
        <v>0</v>
      </c>
      <c r="V493" s="306">
        <f t="shared" ca="1" si="206"/>
        <v>1.0742281645827547</v>
      </c>
      <c r="W493" s="304">
        <f t="shared" ca="1" si="207"/>
        <v>7.0334875298635922</v>
      </c>
      <c r="Y493" s="314" t="str">
        <f t="shared" ca="1" si="225"/>
        <v/>
      </c>
      <c r="Z493" s="315" t="str">
        <f t="shared" ca="1" si="226"/>
        <v/>
      </c>
      <c r="AA493" s="316" t="str">
        <f t="shared" ca="1" si="227"/>
        <v/>
      </c>
      <c r="AC493" s="310" t="e">
        <f t="shared" ca="1" si="228"/>
        <v>#N/A</v>
      </c>
      <c r="AD493" s="323" t="e">
        <f t="shared" ca="1" si="229"/>
        <v>#N/A</v>
      </c>
      <c r="AE493" s="324">
        <f t="shared" ca="1" si="208"/>
        <v>1311.4995522387062</v>
      </c>
      <c r="AG493" s="306">
        <f t="shared" ca="1" si="230"/>
        <v>-8.7816554601038757</v>
      </c>
      <c r="AH493" s="304">
        <f t="shared" ca="1" si="231"/>
        <v>-0.93662354549464444</v>
      </c>
    </row>
    <row r="494" spans="1:34" x14ac:dyDescent="0.2">
      <c r="A494" s="347">
        <f t="shared" ca="1" si="209"/>
        <v>0.1</v>
      </c>
      <c r="B494" s="304">
        <f t="shared" ca="1" si="210"/>
        <v>12.999999999999927</v>
      </c>
      <c r="D494" s="306">
        <f t="shared" ca="1" si="211"/>
        <v>-0.55026449704524705</v>
      </c>
      <c r="E494" s="307">
        <f t="shared" ca="1" si="212"/>
        <v>-10.52320341665588</v>
      </c>
      <c r="F494" s="304">
        <f t="shared" ca="1" si="213"/>
        <v>10.537580422707409</v>
      </c>
      <c r="G494" s="306">
        <f t="shared" ca="1" si="214"/>
        <v>27.328975497816923</v>
      </c>
      <c r="H494" s="307">
        <f t="shared" ca="1" si="215"/>
        <v>34.440363368724022</v>
      </c>
      <c r="I494" s="304">
        <f t="shared" ca="1" si="216"/>
        <v>43.966027006428781</v>
      </c>
      <c r="J494" s="306">
        <f t="shared" ca="1" si="217"/>
        <v>401.80682642469179</v>
      </c>
      <c r="K494" s="307">
        <f t="shared" ca="1" si="218"/>
        <v>1314.9962045926618</v>
      </c>
      <c r="L494" s="304">
        <f t="shared" ca="1" si="203"/>
        <v>1375.014088602218</v>
      </c>
      <c r="M494" s="306">
        <f t="shared" ca="1" si="219"/>
        <v>0.90002163627094356</v>
      </c>
      <c r="N494" s="304">
        <f t="shared" ca="1" si="220"/>
        <v>51.567441228783558</v>
      </c>
      <c r="P494" s="310">
        <f t="shared" ca="1" si="221"/>
        <v>23</v>
      </c>
      <c r="Q494" s="304">
        <f t="shared" ca="1" si="222"/>
        <v>0</v>
      </c>
      <c r="R494" s="306">
        <f t="shared" ca="1" si="223"/>
        <v>0</v>
      </c>
      <c r="S494" s="307">
        <f t="shared" ca="1" si="224"/>
        <v>7.8079999999999892</v>
      </c>
      <c r="T494" s="304">
        <f t="shared" ca="1" si="204"/>
        <v>76.5964799999999</v>
      </c>
      <c r="U494" s="311">
        <f t="shared" ca="1" si="205"/>
        <v>0</v>
      </c>
      <c r="V494" s="306">
        <f t="shared" ca="1" si="206"/>
        <v>1.0738509840523525</v>
      </c>
      <c r="W494" s="304">
        <f t="shared" ca="1" si="207"/>
        <v>6.7630090586524529</v>
      </c>
      <c r="Y494" s="314" t="str">
        <f t="shared" ca="1" si="225"/>
        <v/>
      </c>
      <c r="Z494" s="315" t="str">
        <f t="shared" ca="1" si="226"/>
        <v/>
      </c>
      <c r="AA494" s="316" t="str">
        <f t="shared" ca="1" si="227"/>
        <v/>
      </c>
      <c r="AC494" s="310">
        <f t="shared" ca="1" si="228"/>
        <v>12.999999999999927</v>
      </c>
      <c r="AD494" s="323">
        <f t="shared" ca="1" si="229"/>
        <v>401.80682642469179</v>
      </c>
      <c r="AE494" s="324">
        <f t="shared" ca="1" si="208"/>
        <v>1314.9962045926618</v>
      </c>
      <c r="AG494" s="306">
        <f t="shared" ca="1" si="230"/>
        <v>-8.6677730781297022</v>
      </c>
      <c r="AH494" s="304">
        <f t="shared" ca="1" si="231"/>
        <v>-0.90080526765671132</v>
      </c>
    </row>
    <row r="495" spans="1:34" x14ac:dyDescent="0.2">
      <c r="A495" s="347">
        <f t="shared" ca="1" si="209"/>
        <v>0.1</v>
      </c>
      <c r="B495" s="304">
        <f t="shared" ca="1" si="210"/>
        <v>13.099999999999927</v>
      </c>
      <c r="D495" s="306">
        <f t="shared" ca="1" si="211"/>
        <v>-0.53840153996588647</v>
      </c>
      <c r="E495" s="307">
        <f t="shared" ca="1" si="212"/>
        <v>-10.488501273353148</v>
      </c>
      <c r="F495" s="304">
        <f t="shared" ca="1" si="213"/>
        <v>10.502310944709656</v>
      </c>
      <c r="G495" s="306">
        <f t="shared" ca="1" si="214"/>
        <v>27.275135343820335</v>
      </c>
      <c r="H495" s="307">
        <f t="shared" ca="1" si="215"/>
        <v>33.391513241388708</v>
      </c>
      <c r="I495" s="304">
        <f t="shared" ca="1" si="216"/>
        <v>43.115266026937078</v>
      </c>
      <c r="J495" s="306">
        <f t="shared" ca="1" si="217"/>
        <v>404.53703196677367</v>
      </c>
      <c r="K495" s="307">
        <f t="shared" ca="1" si="218"/>
        <v>1318.3877984231674</v>
      </c>
      <c r="L495" s="304">
        <f t="shared" ca="1" si="203"/>
        <v>1379.0564155478096</v>
      </c>
      <c r="M495" s="306">
        <f t="shared" ca="1" si="219"/>
        <v>0.88587808250656042</v>
      </c>
      <c r="N495" s="304">
        <f t="shared" ca="1" si="220"/>
        <v>50.757075290768036</v>
      </c>
      <c r="P495" s="310">
        <f t="shared" ca="1" si="221"/>
        <v>23</v>
      </c>
      <c r="Q495" s="304">
        <f t="shared" ca="1" si="222"/>
        <v>0</v>
      </c>
      <c r="R495" s="306">
        <f t="shared" ca="1" si="223"/>
        <v>0</v>
      </c>
      <c r="S495" s="307">
        <f t="shared" ca="1" si="224"/>
        <v>7.8079999999999892</v>
      </c>
      <c r="T495" s="304">
        <f t="shared" ca="1" si="204"/>
        <v>76.5964799999999</v>
      </c>
      <c r="U495" s="311">
        <f t="shared" ca="1" si="205"/>
        <v>0</v>
      </c>
      <c r="V495" s="306">
        <f t="shared" ca="1" si="206"/>
        <v>1.0734852542941513</v>
      </c>
      <c r="W495" s="304">
        <f t="shared" ca="1" si="207"/>
        <v>6.5015922405781081</v>
      </c>
      <c r="Y495" s="314" t="str">
        <f t="shared" ca="1" si="225"/>
        <v/>
      </c>
      <c r="Z495" s="315" t="str">
        <f t="shared" ca="1" si="226"/>
        <v/>
      </c>
      <c r="AA495" s="316" t="str">
        <f t="shared" ca="1" si="227"/>
        <v/>
      </c>
      <c r="AC495" s="310" t="e">
        <f t="shared" ca="1" si="228"/>
        <v>#N/A</v>
      </c>
      <c r="AD495" s="323" t="e">
        <f t="shared" ca="1" si="229"/>
        <v>#N/A</v>
      </c>
      <c r="AE495" s="324">
        <f t="shared" ca="1" si="208"/>
        <v>1318.3877984231674</v>
      </c>
      <c r="AG495" s="306">
        <f t="shared" ca="1" si="230"/>
        <v>-8.5507329895046187</v>
      </c>
      <c r="AH495" s="304">
        <f t="shared" ca="1" si="231"/>
        <v>-0.86616407001184204</v>
      </c>
    </row>
    <row r="496" spans="1:34" x14ac:dyDescent="0.2">
      <c r="A496" s="347">
        <f t="shared" ca="1" si="209"/>
        <v>0.1</v>
      </c>
      <c r="B496" s="304">
        <f t="shared" ca="1" si="210"/>
        <v>13.199999999999926</v>
      </c>
      <c r="D496" s="306">
        <f t="shared" ca="1" si="211"/>
        <v>-0.52676361325176346</v>
      </c>
      <c r="E496" s="307">
        <f t="shared" ca="1" si="212"/>
        <v>-10.454888978377269</v>
      </c>
      <c r="F496" s="304">
        <f t="shared" ca="1" si="213"/>
        <v>10.468150909040267</v>
      </c>
      <c r="G496" s="306">
        <f t="shared" ca="1" si="214"/>
        <v>27.222458982495159</v>
      </c>
      <c r="H496" s="307">
        <f t="shared" ca="1" si="215"/>
        <v>32.34602434355098</v>
      </c>
      <c r="I496" s="304">
        <f t="shared" ca="1" si="216"/>
        <v>42.27679699181602</v>
      </c>
      <c r="J496" s="306">
        <f t="shared" ca="1" si="217"/>
        <v>407.26191168308947</v>
      </c>
      <c r="K496" s="307">
        <f t="shared" ca="1" si="218"/>
        <v>1321.6746753024145</v>
      </c>
      <c r="L496" s="304">
        <f t="shared" ca="1" si="203"/>
        <v>1382.9989920616383</v>
      </c>
      <c r="M496" s="306">
        <f t="shared" ca="1" si="219"/>
        <v>0.87119834218323577</v>
      </c>
      <c r="N496" s="304">
        <f t="shared" ca="1" si="220"/>
        <v>49.91598812589352</v>
      </c>
      <c r="P496" s="310">
        <f t="shared" ca="1" si="221"/>
        <v>23</v>
      </c>
      <c r="Q496" s="304">
        <f t="shared" ca="1" si="222"/>
        <v>0</v>
      </c>
      <c r="R496" s="306">
        <f t="shared" ca="1" si="223"/>
        <v>0</v>
      </c>
      <c r="S496" s="307">
        <f t="shared" ca="1" si="224"/>
        <v>7.8079999999999892</v>
      </c>
      <c r="T496" s="304">
        <f t="shared" ca="1" si="204"/>
        <v>76.5964799999999</v>
      </c>
      <c r="U496" s="311">
        <f t="shared" ca="1" si="205"/>
        <v>0</v>
      </c>
      <c r="V496" s="306">
        <f t="shared" ca="1" si="206"/>
        <v>1.0731309276216605</v>
      </c>
      <c r="W496" s="304">
        <f t="shared" ca="1" si="207"/>
        <v>6.2491128786272983</v>
      </c>
      <c r="Y496" s="314" t="str">
        <f t="shared" ca="1" si="225"/>
        <v/>
      </c>
      <c r="Z496" s="315" t="str">
        <f t="shared" ca="1" si="226"/>
        <v/>
      </c>
      <c r="AA496" s="316" t="str">
        <f t="shared" ca="1" si="227"/>
        <v/>
      </c>
      <c r="AC496" s="310" t="e">
        <f t="shared" ca="1" si="228"/>
        <v>#N/A</v>
      </c>
      <c r="AD496" s="323" t="e">
        <f t="shared" ca="1" si="229"/>
        <v>#N/A</v>
      </c>
      <c r="AE496" s="324">
        <f t="shared" ca="1" si="208"/>
        <v>1321.6746753024145</v>
      </c>
      <c r="AG496" s="306">
        <f t="shared" ca="1" si="230"/>
        <v>-8.4302416776760474</v>
      </c>
      <c r="AH496" s="304">
        <f t="shared" ca="1" si="231"/>
        <v>-0.83268343245109078</v>
      </c>
    </row>
    <row r="497" spans="1:34" x14ac:dyDescent="0.2">
      <c r="A497" s="347">
        <f t="shared" ca="1" si="209"/>
        <v>0.1</v>
      </c>
      <c r="B497" s="304">
        <f t="shared" ca="1" si="210"/>
        <v>13.299999999999926</v>
      </c>
      <c r="D497" s="306">
        <f t="shared" ca="1" si="211"/>
        <v>-0.51535185116628202</v>
      </c>
      <c r="E497" s="307">
        <f t="shared" ca="1" si="212"/>
        <v>-10.422346722022343</v>
      </c>
      <c r="F497" s="304">
        <f t="shared" ca="1" si="213"/>
        <v>10.435080197322414</v>
      </c>
      <c r="G497" s="306">
        <f t="shared" ca="1" si="214"/>
        <v>27.170923797378531</v>
      </c>
      <c r="H497" s="307">
        <f t="shared" ca="1" si="215"/>
        <v>31.303789671348746</v>
      </c>
      <c r="I497" s="304">
        <f t="shared" ca="1" si="216"/>
        <v>41.451011420603379</v>
      </c>
      <c r="J497" s="306">
        <f t="shared" ca="1" si="217"/>
        <v>409.98158082208317</v>
      </c>
      <c r="K497" s="307">
        <f t="shared" ca="1" si="218"/>
        <v>1324.8571660031594</v>
      </c>
      <c r="L497" s="304">
        <f t="shared" ca="1" si="203"/>
        <v>1386.842242983425</v>
      </c>
      <c r="M497" s="306">
        <f t="shared" ca="1" si="219"/>
        <v>0.85595865818524297</v>
      </c>
      <c r="N497" s="304">
        <f t="shared" ca="1" si="220"/>
        <v>49.042818551695476</v>
      </c>
      <c r="P497" s="310">
        <f t="shared" ca="1" si="221"/>
        <v>23</v>
      </c>
      <c r="Q497" s="304">
        <f t="shared" ca="1" si="222"/>
        <v>0</v>
      </c>
      <c r="R497" s="306">
        <f t="shared" ca="1" si="223"/>
        <v>0</v>
      </c>
      <c r="S497" s="307">
        <f t="shared" ca="1" si="224"/>
        <v>7.8079999999999892</v>
      </c>
      <c r="T497" s="304">
        <f t="shared" ca="1" si="204"/>
        <v>76.5964799999999</v>
      </c>
      <c r="U497" s="311">
        <f t="shared" ca="1" si="205"/>
        <v>0</v>
      </c>
      <c r="V497" s="306">
        <f t="shared" ca="1" si="206"/>
        <v>1.0727879579009576</v>
      </c>
      <c r="W497" s="304">
        <f t="shared" ca="1" si="207"/>
        <v>6.0054514292213046</v>
      </c>
      <c r="Y497" s="314" t="str">
        <f t="shared" ca="1" si="225"/>
        <v/>
      </c>
      <c r="Z497" s="315" t="str">
        <f t="shared" ca="1" si="226"/>
        <v/>
      </c>
      <c r="AA497" s="316" t="str">
        <f t="shared" ca="1" si="227"/>
        <v/>
      </c>
      <c r="AC497" s="310" t="e">
        <f t="shared" ca="1" si="228"/>
        <v>#N/A</v>
      </c>
      <c r="AD497" s="323" t="e">
        <f t="shared" ca="1" si="229"/>
        <v>#N/A</v>
      </c>
      <c r="AE497" s="324">
        <f t="shared" ca="1" si="208"/>
        <v>1324.8571660031594</v>
      </c>
      <c r="AG497" s="306">
        <f t="shared" ca="1" si="230"/>
        <v>-8.3059893464816312</v>
      </c>
      <c r="AH497" s="304">
        <f t="shared" ca="1" si="231"/>
        <v>-0.80034744859468587</v>
      </c>
    </row>
    <row r="498" spans="1:34" x14ac:dyDescent="0.2">
      <c r="A498" s="347">
        <f t="shared" ca="1" si="209"/>
        <v>0.1</v>
      </c>
      <c r="B498" s="304">
        <f t="shared" ca="1" si="210"/>
        <v>13.399999999999926</v>
      </c>
      <c r="D498" s="306">
        <f t="shared" ca="1" si="211"/>
        <v>-0.5041678253109646</v>
      </c>
      <c r="E498" s="307">
        <f t="shared" ca="1" si="212"/>
        <v>-10.390854875612233</v>
      </c>
      <c r="F498" s="304">
        <f t="shared" ca="1" si="213"/>
        <v>10.403078882817015</v>
      </c>
      <c r="G498" s="306">
        <f t="shared" ca="1" si="214"/>
        <v>27.120507014847433</v>
      </c>
      <c r="H498" s="307">
        <f t="shared" ca="1" si="215"/>
        <v>30.264704183787522</v>
      </c>
      <c r="I498" s="304">
        <f t="shared" ca="1" si="216"/>
        <v>40.638334366390495</v>
      </c>
      <c r="J498" s="306">
        <f t="shared" ca="1" si="217"/>
        <v>412.69615236269448</v>
      </c>
      <c r="K498" s="307">
        <f t="shared" ca="1" si="218"/>
        <v>1327.9355906959163</v>
      </c>
      <c r="L498" s="304">
        <f t="shared" ca="1" si="203"/>
        <v>1390.5865838601653</v>
      </c>
      <c r="M498" s="306">
        <f t="shared" ca="1" si="219"/>
        <v>0.84013450401292811</v>
      </c>
      <c r="N498" s="304">
        <f t="shared" ca="1" si="220"/>
        <v>48.136161303257502</v>
      </c>
      <c r="P498" s="310">
        <f t="shared" ca="1" si="221"/>
        <v>23</v>
      </c>
      <c r="Q498" s="304">
        <f t="shared" ca="1" si="222"/>
        <v>0</v>
      </c>
      <c r="R498" s="306">
        <f t="shared" ca="1" si="223"/>
        <v>0</v>
      </c>
      <c r="S498" s="307">
        <f t="shared" ca="1" si="224"/>
        <v>7.8079999999999892</v>
      </c>
      <c r="T498" s="304">
        <f t="shared" ca="1" si="204"/>
        <v>76.5964799999999</v>
      </c>
      <c r="U498" s="311">
        <f t="shared" ca="1" si="205"/>
        <v>0</v>
      </c>
      <c r="V498" s="306">
        <f t="shared" ca="1" si="206"/>
        <v>1.0724563005233252</v>
      </c>
      <c r="W498" s="304">
        <f t="shared" ca="1" si="207"/>
        <v>5.7704928683645456</v>
      </c>
      <c r="Y498" s="314" t="str">
        <f t="shared" ca="1" si="225"/>
        <v/>
      </c>
      <c r="Z498" s="315" t="str">
        <f t="shared" ca="1" si="226"/>
        <v/>
      </c>
      <c r="AA498" s="316" t="str">
        <f t="shared" ca="1" si="227"/>
        <v/>
      </c>
      <c r="AC498" s="310" t="e">
        <f t="shared" ca="1" si="228"/>
        <v>#N/A</v>
      </c>
      <c r="AD498" s="323" t="e">
        <f t="shared" ca="1" si="229"/>
        <v>#N/A</v>
      </c>
      <c r="AE498" s="324">
        <f t="shared" ca="1" si="208"/>
        <v>1327.9355906959163</v>
      </c>
      <c r="AG498" s="306">
        <f t="shared" ca="1" si="230"/>
        <v>-8.1776494584110697</v>
      </c>
      <c r="AH498" s="304">
        <f t="shared" ca="1" si="231"/>
        <v>-0.76914080804576246</v>
      </c>
    </row>
    <row r="499" spans="1:34" x14ac:dyDescent="0.2">
      <c r="A499" s="347">
        <f t="shared" ca="1" si="209"/>
        <v>0.1</v>
      </c>
      <c r="B499" s="304">
        <f t="shared" ca="1" si="210"/>
        <v>13.499999999999925</v>
      </c>
      <c r="D499" s="306">
        <f t="shared" ca="1" si="211"/>
        <v>-0.49321356090010354</v>
      </c>
      <c r="E499" s="307">
        <f t="shared" ca="1" si="212"/>
        <v>-10.360393932971171</v>
      </c>
      <c r="F499" s="304">
        <f t="shared" ca="1" si="213"/>
        <v>10.372127171559439</v>
      </c>
      <c r="G499" s="306">
        <f t="shared" ca="1" si="214"/>
        <v>27.071185658757422</v>
      </c>
      <c r="H499" s="307">
        <f t="shared" ca="1" si="215"/>
        <v>29.228664790490406</v>
      </c>
      <c r="I499" s="304">
        <f t="shared" ca="1" si="216"/>
        <v>39.839226127094477</v>
      </c>
      <c r="J499" s="306">
        <f t="shared" ca="1" si="217"/>
        <v>415.40573699637474</v>
      </c>
      <c r="K499" s="307">
        <f t="shared" ca="1" si="218"/>
        <v>1330.9102591446301</v>
      </c>
      <c r="L499" s="304">
        <f t="shared" ca="1" si="203"/>
        <v>1394.2324211643938</v>
      </c>
      <c r="M499" s="306">
        <f t="shared" ca="1" si="219"/>
        <v>0.82370064460200421</v>
      </c>
      <c r="N499" s="304">
        <f t="shared" ca="1" si="220"/>
        <v>47.194570517900218</v>
      </c>
      <c r="P499" s="310">
        <f t="shared" ca="1" si="221"/>
        <v>23</v>
      </c>
      <c r="Q499" s="304">
        <f t="shared" ca="1" si="222"/>
        <v>0</v>
      </c>
      <c r="R499" s="306">
        <f t="shared" ca="1" si="223"/>
        <v>0</v>
      </c>
      <c r="S499" s="307">
        <f t="shared" ca="1" si="224"/>
        <v>7.8079999999999892</v>
      </c>
      <c r="T499" s="304">
        <f t="shared" ca="1" si="204"/>
        <v>76.5964799999999</v>
      </c>
      <c r="U499" s="311">
        <f t="shared" ca="1" si="205"/>
        <v>0</v>
      </c>
      <c r="V499" s="306">
        <f t="shared" ca="1" si="206"/>
        <v>1.0721359123783074</v>
      </c>
      <c r="W499" s="304">
        <f t="shared" ca="1" si="207"/>
        <v>5.5441265621670084</v>
      </c>
      <c r="Y499" s="314" t="str">
        <f t="shared" ca="1" si="225"/>
        <v/>
      </c>
      <c r="Z499" s="315" t="str">
        <f t="shared" ca="1" si="226"/>
        <v/>
      </c>
      <c r="AA499" s="316" t="str">
        <f t="shared" ca="1" si="227"/>
        <v/>
      </c>
      <c r="AC499" s="310" t="e">
        <f t="shared" ca="1" si="228"/>
        <v>#N/A</v>
      </c>
      <c r="AD499" s="323" t="e">
        <f t="shared" ca="1" si="229"/>
        <v>#N/A</v>
      </c>
      <c r="AE499" s="324">
        <f t="shared" ca="1" si="208"/>
        <v>1330.9102591446301</v>
      </c>
      <c r="AG499" s="306">
        <f t="shared" ca="1" si="230"/>
        <v>-8.0448784268449991</v>
      </c>
      <c r="AH499" s="304">
        <f t="shared" ca="1" si="231"/>
        <v>-0.73904877924750945</v>
      </c>
    </row>
    <row r="500" spans="1:34" x14ac:dyDescent="0.2">
      <c r="A500" s="347">
        <f t="shared" ca="1" si="209"/>
        <v>0.1</v>
      </c>
      <c r="B500" s="304">
        <f t="shared" ca="1" si="210"/>
        <v>13.599999999999925</v>
      </c>
      <c r="D500" s="306">
        <f t="shared" ca="1" si="211"/>
        <v>-0.48249155332543991</v>
      </c>
      <c r="E500" s="307">
        <f t="shared" ca="1" si="212"/>
        <v>-10.330944448246957</v>
      </c>
      <c r="F500" s="304">
        <f t="shared" ca="1" si="213"/>
        <v>10.342205339858371</v>
      </c>
      <c r="G500" s="306">
        <f t="shared" ca="1" si="214"/>
        <v>27.022936503424877</v>
      </c>
      <c r="H500" s="307">
        <f t="shared" ca="1" si="215"/>
        <v>28.195570345665711</v>
      </c>
      <c r="I500" s="304">
        <f t="shared" ca="1" si="216"/>
        <v>39.054183954930053</v>
      </c>
      <c r="J500" s="306">
        <f t="shared" ca="1" si="217"/>
        <v>418.11044310448386</v>
      </c>
      <c r="K500" s="307">
        <f t="shared" ca="1" si="218"/>
        <v>1333.7814709014378</v>
      </c>
      <c r="L500" s="304">
        <f t="shared" ca="1" si="203"/>
        <v>1397.7801525107698</v>
      </c>
      <c r="M500" s="306">
        <f t="shared" ca="1" si="219"/>
        <v>0.80663121875156429</v>
      </c>
      <c r="N500" s="304">
        <f t="shared" ca="1" si="220"/>
        <v>46.216564457958505</v>
      </c>
      <c r="P500" s="310">
        <f t="shared" ca="1" si="221"/>
        <v>23</v>
      </c>
      <c r="Q500" s="304">
        <f t="shared" ca="1" si="222"/>
        <v>0</v>
      </c>
      <c r="R500" s="306">
        <f t="shared" ca="1" si="223"/>
        <v>0</v>
      </c>
      <c r="S500" s="307">
        <f t="shared" ca="1" si="224"/>
        <v>7.8079999999999892</v>
      </c>
      <c r="T500" s="304">
        <f t="shared" ca="1" si="204"/>
        <v>76.5964799999999</v>
      </c>
      <c r="U500" s="311">
        <f t="shared" ca="1" si="205"/>
        <v>0</v>
      </c>
      <c r="V500" s="306">
        <f t="shared" ca="1" si="206"/>
        <v>1.0718267518271132</v>
      </c>
      <c r="W500" s="304">
        <f t="shared" ca="1" si="207"/>
        <v>5.3262461414031312</v>
      </c>
      <c r="Y500" s="314" t="str">
        <f t="shared" ca="1" si="225"/>
        <v/>
      </c>
      <c r="Z500" s="315" t="str">
        <f t="shared" ca="1" si="226"/>
        <v/>
      </c>
      <c r="AA500" s="316" t="str">
        <f t="shared" ca="1" si="227"/>
        <v/>
      </c>
      <c r="AC500" s="310" t="e">
        <f t="shared" ca="1" si="228"/>
        <v>#N/A</v>
      </c>
      <c r="AD500" s="323" t="e">
        <f t="shared" ca="1" si="229"/>
        <v>#N/A</v>
      </c>
      <c r="AE500" s="324">
        <f t="shared" ca="1" si="208"/>
        <v>1333.7814709014378</v>
      </c>
      <c r="AG500" s="306">
        <f t="shared" ca="1" si="230"/>
        <v>-7.9073155101172716</v>
      </c>
      <c r="AH500" s="304">
        <f t="shared" ca="1" si="231"/>
        <v>-0.71005719290048874</v>
      </c>
    </row>
    <row r="501" spans="1:34" x14ac:dyDescent="0.2">
      <c r="A501" s="347">
        <f t="shared" ca="1" si="209"/>
        <v>0.1</v>
      </c>
      <c r="B501" s="304">
        <f t="shared" ca="1" si="210"/>
        <v>13.699999999999925</v>
      </c>
      <c r="D501" s="306">
        <f t="shared" ca="1" si="211"/>
        <v>-0.47200478473555862</v>
      </c>
      <c r="E501" s="307">
        <f t="shared" ca="1" si="212"/>
        <v>-10.3024869697198</v>
      </c>
      <c r="F501" s="304">
        <f t="shared" ca="1" si="213"/>
        <v>10.313293667789138</v>
      </c>
      <c r="G501" s="306">
        <f t="shared" ca="1" si="214"/>
        <v>26.975736024951321</v>
      </c>
      <c r="H501" s="307">
        <f t="shared" ca="1" si="215"/>
        <v>27.16532164869373</v>
      </c>
      <c r="I501" s="304">
        <f t="shared" ca="1" si="216"/>
        <v>38.283743734969867</v>
      </c>
      <c r="J501" s="306">
        <f t="shared" ca="1" si="217"/>
        <v>420.81037673090265</v>
      </c>
      <c r="K501" s="307">
        <f t="shared" ca="1" si="218"/>
        <v>1336.5495155011558</v>
      </c>
      <c r="L501" s="304">
        <f t="shared" ca="1" si="203"/>
        <v>1401.2301668715168</v>
      </c>
      <c r="M501" s="306">
        <f t="shared" ca="1" si="219"/>
        <v>0.78889984690718618</v>
      </c>
      <c r="N501" s="304">
        <f t="shared" ca="1" si="220"/>
        <v>45.200631686298536</v>
      </c>
      <c r="P501" s="310">
        <f t="shared" ca="1" si="221"/>
        <v>23</v>
      </c>
      <c r="Q501" s="304">
        <f t="shared" ca="1" si="222"/>
        <v>0</v>
      </c>
      <c r="R501" s="306">
        <f t="shared" ca="1" si="223"/>
        <v>0</v>
      </c>
      <c r="S501" s="307">
        <f t="shared" ca="1" si="224"/>
        <v>7.8079999999999892</v>
      </c>
      <c r="T501" s="304">
        <f t="shared" ca="1" si="204"/>
        <v>76.5964799999999</v>
      </c>
      <c r="U501" s="311">
        <f t="shared" ca="1" si="205"/>
        <v>0</v>
      </c>
      <c r="V501" s="306">
        <f t="shared" ca="1" si="206"/>
        <v>1.0715287786762875</v>
      </c>
      <c r="W501" s="304">
        <f t="shared" ca="1" si="207"/>
        <v>5.1167493797685664</v>
      </c>
      <c r="Y501" s="314" t="str">
        <f t="shared" ca="1" si="225"/>
        <v/>
      </c>
      <c r="Z501" s="315" t="str">
        <f t="shared" ca="1" si="226"/>
        <v/>
      </c>
      <c r="AA501" s="316" t="str">
        <f t="shared" ca="1" si="227"/>
        <v/>
      </c>
      <c r="AC501" s="310" t="e">
        <f t="shared" ca="1" si="228"/>
        <v>#N/A</v>
      </c>
      <c r="AD501" s="323" t="e">
        <f t="shared" ca="1" si="229"/>
        <v>#N/A</v>
      </c>
      <c r="AE501" s="324">
        <f t="shared" ca="1" si="208"/>
        <v>1336.5495155011558</v>
      </c>
      <c r="AG501" s="306">
        <f t="shared" ca="1" si="230"/>
        <v>-7.7645829642019919</v>
      </c>
      <c r="AH501" s="304">
        <f t="shared" ca="1" si="231"/>
        <v>-0.68215242589691838</v>
      </c>
    </row>
    <row r="502" spans="1:34" x14ac:dyDescent="0.2">
      <c r="A502" s="347">
        <f t="shared" ca="1" si="209"/>
        <v>0.1</v>
      </c>
      <c r="B502" s="304">
        <f t="shared" ca="1" si="210"/>
        <v>13.799999999999924</v>
      </c>
      <c r="D502" s="306">
        <f t="shared" ca="1" si="211"/>
        <v>-0.46175674028376917</v>
      </c>
      <c r="E502" s="307">
        <f t="shared" ca="1" si="212"/>
        <v>-10.275001969238524</v>
      </c>
      <c r="F502" s="304">
        <f t="shared" ca="1" si="213"/>
        <v>10.28537236832255</v>
      </c>
      <c r="G502" s="306">
        <f t="shared" ca="1" si="214"/>
        <v>26.929560350922944</v>
      </c>
      <c r="H502" s="307">
        <f t="shared" ca="1" si="215"/>
        <v>26.137821451769877</v>
      </c>
      <c r="I502" s="304">
        <f t="shared" ca="1" si="216"/>
        <v>37.528481596496853</v>
      </c>
      <c r="J502" s="306">
        <f t="shared" ca="1" si="217"/>
        <v>423.50564154969635</v>
      </c>
      <c r="K502" s="307">
        <f t="shared" ca="1" si="218"/>
        <v>1339.2146726561791</v>
      </c>
      <c r="L502" s="304">
        <f t="shared" ca="1" si="203"/>
        <v>1404.5828447912984</v>
      </c>
      <c r="M502" s="306">
        <f t="shared" ca="1" si="219"/>
        <v>0.77047976841898791</v>
      </c>
      <c r="N502" s="304">
        <f t="shared" ca="1" si="220"/>
        <v>44.145238930625062</v>
      </c>
      <c r="P502" s="310">
        <f t="shared" ca="1" si="221"/>
        <v>23</v>
      </c>
      <c r="Q502" s="304">
        <f t="shared" ca="1" si="222"/>
        <v>0</v>
      </c>
      <c r="R502" s="306">
        <f t="shared" ca="1" si="223"/>
        <v>0</v>
      </c>
      <c r="S502" s="307">
        <f t="shared" ca="1" si="224"/>
        <v>7.8079999999999892</v>
      </c>
      <c r="T502" s="304">
        <f t="shared" ca="1" si="204"/>
        <v>76.5964799999999</v>
      </c>
      <c r="U502" s="311">
        <f t="shared" ca="1" si="205"/>
        <v>0</v>
      </c>
      <c r="V502" s="306">
        <f t="shared" ca="1" si="206"/>
        <v>1.0712419541515756</v>
      </c>
      <c r="W502" s="304">
        <f t="shared" ca="1" si="207"/>
        <v>4.9155380754934246</v>
      </c>
      <c r="Y502" s="314" t="str">
        <f t="shared" ca="1" si="225"/>
        <v/>
      </c>
      <c r="Z502" s="315" t="str">
        <f t="shared" ca="1" si="226"/>
        <v/>
      </c>
      <c r="AA502" s="316" t="str">
        <f t="shared" ca="1" si="227"/>
        <v/>
      </c>
      <c r="AC502" s="310" t="e">
        <f t="shared" ca="1" si="228"/>
        <v>#N/A</v>
      </c>
      <c r="AD502" s="323" t="e">
        <f t="shared" ca="1" si="229"/>
        <v>#N/A</v>
      </c>
      <c r="AE502" s="324">
        <f t="shared" ca="1" si="208"/>
        <v>1339.2146726561791</v>
      </c>
      <c r="AG502" s="306">
        <f t="shared" ca="1" si="230"/>
        <v>-7.6162865206576544</v>
      </c>
      <c r="AH502" s="304">
        <f t="shared" ca="1" si="231"/>
        <v>-0.65532138572855703</v>
      </c>
    </row>
    <row r="503" spans="1:34" x14ac:dyDescent="0.2">
      <c r="A503" s="347">
        <f t="shared" ca="1" si="209"/>
        <v>0.1</v>
      </c>
      <c r="B503" s="304">
        <f t="shared" ca="1" si="210"/>
        <v>13.899999999999924</v>
      </c>
      <c r="D503" s="306">
        <f t="shared" ca="1" si="211"/>
        <v>-0.45175142361572512</v>
      </c>
      <c r="E503" s="307">
        <f t="shared" ca="1" si="212"/>
        <v>-10.248469766946863</v>
      </c>
      <c r="F503" s="304">
        <f t="shared" ca="1" si="213"/>
        <v>10.258421511751344</v>
      </c>
      <c r="G503" s="306">
        <f t="shared" ca="1" si="214"/>
        <v>26.884385208561373</v>
      </c>
      <c r="H503" s="307">
        <f t="shared" ca="1" si="215"/>
        <v>25.112974475075191</v>
      </c>
      <c r="I503" s="304">
        <f t="shared" ca="1" si="216"/>
        <v>36.789015412594175</v>
      </c>
      <c r="J503" s="306">
        <f t="shared" ca="1" si="217"/>
        <v>426.19633882767056</v>
      </c>
      <c r="K503" s="307">
        <f t="shared" ca="1" si="218"/>
        <v>1341.7772124525213</v>
      </c>
      <c r="L503" s="304">
        <f t="shared" ca="1" si="203"/>
        <v>1407.8385586021463</v>
      </c>
      <c r="M503" s="306">
        <f t="shared" ca="1" si="219"/>
        <v>0.75134401273050933</v>
      </c>
      <c r="N503" s="304">
        <f t="shared" ca="1" si="220"/>
        <v>43.048840891881781</v>
      </c>
      <c r="P503" s="310">
        <f t="shared" ca="1" si="221"/>
        <v>23</v>
      </c>
      <c r="Q503" s="304">
        <f t="shared" ca="1" si="222"/>
        <v>0</v>
      </c>
      <c r="R503" s="306">
        <f t="shared" ca="1" si="223"/>
        <v>0</v>
      </c>
      <c r="S503" s="307">
        <f t="shared" ca="1" si="224"/>
        <v>7.8079999999999892</v>
      </c>
      <c r="T503" s="304">
        <f t="shared" ca="1" si="204"/>
        <v>76.5964799999999</v>
      </c>
      <c r="U503" s="311">
        <f t="shared" ca="1" si="205"/>
        <v>0</v>
      </c>
      <c r="V503" s="306">
        <f t="shared" ca="1" si="206"/>
        <v>1.070966240871891</v>
      </c>
      <c r="W503" s="304">
        <f t="shared" ca="1" si="207"/>
        <v>4.7225179359664331</v>
      </c>
      <c r="Y503" s="314" t="str">
        <f t="shared" ca="1" si="225"/>
        <v/>
      </c>
      <c r="Z503" s="315" t="str">
        <f t="shared" ca="1" si="226"/>
        <v/>
      </c>
      <c r="AA503" s="316" t="str">
        <f t="shared" ca="1" si="227"/>
        <v/>
      </c>
      <c r="AC503" s="310" t="e">
        <f t="shared" ca="1" si="228"/>
        <v>#N/A</v>
      </c>
      <c r="AD503" s="323" t="e">
        <f t="shared" ca="1" si="229"/>
        <v>#N/A</v>
      </c>
      <c r="AE503" s="324">
        <f t="shared" ca="1" si="208"/>
        <v>1341.7772124525213</v>
      </c>
      <c r="AG503" s="306">
        <f t="shared" ca="1" si="230"/>
        <v>-7.4620162669819932</v>
      </c>
      <c r="AH503" s="304">
        <f t="shared" ca="1" si="231"/>
        <v>-0.62955149532446608</v>
      </c>
    </row>
    <row r="504" spans="1:34" x14ac:dyDescent="0.2">
      <c r="A504" s="347">
        <f t="shared" ca="1" si="209"/>
        <v>0.1</v>
      </c>
      <c r="B504" s="304">
        <f t="shared" ca="1" si="210"/>
        <v>13.999999999999924</v>
      </c>
      <c r="D504" s="306">
        <f t="shared" ca="1" si="211"/>
        <v>-0.44199337107341063</v>
      </c>
      <c r="E504" s="307">
        <f t="shared" ca="1" si="212"/>
        <v>-10.222870451000095</v>
      </c>
      <c r="F504" s="304">
        <f t="shared" ca="1" si="213"/>
        <v>10.232420945113807</v>
      </c>
      <c r="G504" s="306">
        <f t="shared" ca="1" si="214"/>
        <v>26.840185871454032</v>
      </c>
      <c r="H504" s="307">
        <f t="shared" ca="1" si="215"/>
        <v>24.090687429975183</v>
      </c>
      <c r="I504" s="304">
        <f t="shared" ca="1" si="216"/>
        <v>36.066006134072637</v>
      </c>
      <c r="J504" s="306">
        <f t="shared" ca="1" si="217"/>
        <v>428.88256738167132</v>
      </c>
      <c r="K504" s="307">
        <f t="shared" ca="1" si="218"/>
        <v>1344.2373955477738</v>
      </c>
      <c r="L504" s="304">
        <f t="shared" ca="1" si="203"/>
        <v>1410.9976726390996</v>
      </c>
      <c r="M504" s="306">
        <f t="shared" ca="1" si="219"/>
        <v>0.73146560921960357</v>
      </c>
      <c r="N504" s="304">
        <f t="shared" ca="1" si="220"/>
        <v>41.909892267248843</v>
      </c>
      <c r="P504" s="310">
        <f t="shared" ca="1" si="221"/>
        <v>23</v>
      </c>
      <c r="Q504" s="304">
        <f t="shared" ca="1" si="222"/>
        <v>0</v>
      </c>
      <c r="R504" s="306">
        <f t="shared" ca="1" si="223"/>
        <v>0</v>
      </c>
      <c r="S504" s="307">
        <f t="shared" ca="1" si="224"/>
        <v>7.8079999999999892</v>
      </c>
      <c r="T504" s="304">
        <f t="shared" ca="1" si="204"/>
        <v>76.5964799999999</v>
      </c>
      <c r="U504" s="311">
        <f t="shared" ca="1" si="205"/>
        <v>0</v>
      </c>
      <c r="V504" s="306">
        <f t="shared" ca="1" si="206"/>
        <v>1.0707016028232981</v>
      </c>
      <c r="W504" s="304">
        <f t="shared" ca="1" si="207"/>
        <v>4.5375984650188332</v>
      </c>
      <c r="Y504" s="314" t="str">
        <f t="shared" ca="1" si="225"/>
        <v/>
      </c>
      <c r="Z504" s="315" t="str">
        <f t="shared" ca="1" si="226"/>
        <v/>
      </c>
      <c r="AA504" s="316" t="str">
        <f t="shared" ca="1" si="227"/>
        <v/>
      </c>
      <c r="AC504" s="310">
        <f t="shared" ca="1" si="228"/>
        <v>13.999999999999924</v>
      </c>
      <c r="AD504" s="323">
        <f t="shared" ca="1" si="229"/>
        <v>428.88256738167132</v>
      </c>
      <c r="AE504" s="324">
        <f t="shared" ca="1" si="208"/>
        <v>1344.2373955477738</v>
      </c>
      <c r="AG504" s="306">
        <f t="shared" ca="1" si="230"/>
        <v>-7.3013480174187961</v>
      </c>
      <c r="AH504" s="304">
        <f t="shared" ca="1" si="231"/>
        <v>-0.6048306782743903</v>
      </c>
    </row>
    <row r="505" spans="1:34" x14ac:dyDescent="0.2">
      <c r="A505" s="347">
        <f t="shared" ca="1" si="209"/>
        <v>0.1</v>
      </c>
      <c r="B505" s="304">
        <f t="shared" ca="1" si="210"/>
        <v>14.099999999999923</v>
      </c>
      <c r="D505" s="306">
        <f t="shared" ca="1" si="211"/>
        <v>-0.43248766398528876</v>
      </c>
      <c r="E505" s="307">
        <f t="shared" ca="1" si="212"/>
        <v>-10.198183792030695</v>
      </c>
      <c r="F505" s="304">
        <f t="shared" ca="1" si="213"/>
        <v>10.207350206372711</v>
      </c>
      <c r="G505" s="306">
        <f t="shared" ca="1" si="214"/>
        <v>26.796937105055502</v>
      </c>
      <c r="H505" s="307">
        <f t="shared" ca="1" si="215"/>
        <v>23.070869050772114</v>
      </c>
      <c r="I505" s="304">
        <f t="shared" ca="1" si="216"/>
        <v>35.360158893452031</v>
      </c>
      <c r="J505" s="306">
        <f t="shared" ca="1" si="217"/>
        <v>431.56442353049681</v>
      </c>
      <c r="K505" s="307">
        <f t="shared" ca="1" si="218"/>
        <v>1346.5954733718111</v>
      </c>
      <c r="L505" s="304">
        <f t="shared" ca="1" si="203"/>
        <v>1414.0605434572672</v>
      </c>
      <c r="M505" s="306">
        <f t="shared" ca="1" si="219"/>
        <v>0.71081784056374209</v>
      </c>
      <c r="N505" s="304">
        <f t="shared" ca="1" si="220"/>
        <v>40.726862266905471</v>
      </c>
      <c r="P505" s="310">
        <f t="shared" ca="1" si="221"/>
        <v>23</v>
      </c>
      <c r="Q505" s="304">
        <f t="shared" ca="1" si="222"/>
        <v>0</v>
      </c>
      <c r="R505" s="306">
        <f t="shared" ca="1" si="223"/>
        <v>0</v>
      </c>
      <c r="S505" s="307">
        <f t="shared" ca="1" si="224"/>
        <v>7.8079999999999892</v>
      </c>
      <c r="T505" s="304">
        <f t="shared" ca="1" si="204"/>
        <v>76.5964799999999</v>
      </c>
      <c r="U505" s="311">
        <f t="shared" ca="1" si="205"/>
        <v>0</v>
      </c>
      <c r="V505" s="306">
        <f t="shared" ca="1" si="206"/>
        <v>1.0704480053329173</v>
      </c>
      <c r="W505" s="304">
        <f t="shared" ca="1" si="207"/>
        <v>4.3606928525101196</v>
      </c>
      <c r="Y505" s="314" t="str">
        <f t="shared" ca="1" si="225"/>
        <v/>
      </c>
      <c r="Z505" s="315" t="str">
        <f t="shared" ca="1" si="226"/>
        <v/>
      </c>
      <c r="AA505" s="316" t="str">
        <f t="shared" ca="1" si="227"/>
        <v/>
      </c>
      <c r="AC505" s="310" t="e">
        <f t="shared" ca="1" si="228"/>
        <v>#N/A</v>
      </c>
      <c r="AD505" s="323" t="e">
        <f t="shared" ca="1" si="229"/>
        <v>#N/A</v>
      </c>
      <c r="AE505" s="324">
        <f t="shared" ca="1" si="208"/>
        <v>1346.5954733718111</v>
      </c>
      <c r="AG505" s="306">
        <f t="shared" ca="1" si="230"/>
        <v>-7.1338452730050905</v>
      </c>
      <c r="AH505" s="304">
        <f t="shared" ca="1" si="231"/>
        <v>-0.58114734439278171</v>
      </c>
    </row>
    <row r="506" spans="1:34" x14ac:dyDescent="0.2">
      <c r="A506" s="347">
        <f t="shared" ca="1" si="209"/>
        <v>0.1</v>
      </c>
      <c r="B506" s="304">
        <f t="shared" ca="1" si="210"/>
        <v>14.199999999999923</v>
      </c>
      <c r="D506" s="306">
        <f t="shared" ca="1" si="211"/>
        <v>-0.42323993829405293</v>
      </c>
      <c r="E506" s="307">
        <f t="shared" ca="1" si="212"/>
        <v>-10.174389152206384</v>
      </c>
      <c r="F506" s="304">
        <f t="shared" ca="1" si="213"/>
        <v>10.183188433192331</v>
      </c>
      <c r="G506" s="306">
        <f t="shared" ca="1" si="214"/>
        <v>26.754613111226096</v>
      </c>
      <c r="H506" s="307">
        <f t="shared" ca="1" si="215"/>
        <v>22.053430135551476</v>
      </c>
      <c r="I506" s="304">
        <f t="shared" ca="1" si="216"/>
        <v>34.672223803428608</v>
      </c>
      <c r="J506" s="306">
        <f t="shared" ca="1" si="217"/>
        <v>434.24200104131091</v>
      </c>
      <c r="K506" s="307">
        <f t="shared" ca="1" si="218"/>
        <v>1348.8516883311272</v>
      </c>
      <c r="L506" s="304">
        <f t="shared" ca="1" si="203"/>
        <v>1417.027520051073</v>
      </c>
      <c r="M506" s="306">
        <f t="shared" ca="1" si="219"/>
        <v>0.68937454448452884</v>
      </c>
      <c r="N506" s="304">
        <f t="shared" ca="1" si="220"/>
        <v>39.498251902717129</v>
      </c>
      <c r="P506" s="310">
        <f t="shared" ca="1" si="221"/>
        <v>23</v>
      </c>
      <c r="Q506" s="304">
        <f t="shared" ca="1" si="222"/>
        <v>0</v>
      </c>
      <c r="R506" s="306">
        <f t="shared" ca="1" si="223"/>
        <v>0</v>
      </c>
      <c r="S506" s="307">
        <f t="shared" ca="1" si="224"/>
        <v>7.8079999999999892</v>
      </c>
      <c r="T506" s="304">
        <f t="shared" ca="1" si="204"/>
        <v>76.5964799999999</v>
      </c>
      <c r="U506" s="311">
        <f t="shared" ca="1" si="205"/>
        <v>0</v>
      </c>
      <c r="V506" s="306">
        <f t="shared" ca="1" si="206"/>
        <v>1.070205415042649</v>
      </c>
      <c r="W506" s="304">
        <f t="shared" ca="1" si="207"/>
        <v>4.1917178658501033</v>
      </c>
      <c r="Y506" s="314" t="str">
        <f t="shared" ca="1" si="225"/>
        <v/>
      </c>
      <c r="Z506" s="315" t="str">
        <f t="shared" ca="1" si="226"/>
        <v/>
      </c>
      <c r="AA506" s="316" t="str">
        <f t="shared" ca="1" si="227"/>
        <v/>
      </c>
      <c r="AC506" s="310" t="e">
        <f t="shared" ca="1" si="228"/>
        <v>#N/A</v>
      </c>
      <c r="AD506" s="323" t="e">
        <f t="shared" ca="1" si="229"/>
        <v>#N/A</v>
      </c>
      <c r="AE506" s="324">
        <f t="shared" ca="1" si="208"/>
        <v>1348.8516883311272</v>
      </c>
      <c r="AG506" s="306">
        <f t="shared" ca="1" si="230"/>
        <v>-6.9590618795135226</v>
      </c>
      <c r="AH506" s="304">
        <f t="shared" ca="1" si="231"/>
        <v>-0.55849037557762882</v>
      </c>
    </row>
    <row r="507" spans="1:34" x14ac:dyDescent="0.2">
      <c r="A507" s="347">
        <f t="shared" ca="1" si="209"/>
        <v>0.1</v>
      </c>
      <c r="B507" s="304">
        <f t="shared" ca="1" si="210"/>
        <v>14.299999999999923</v>
      </c>
      <c r="D507" s="306">
        <f t="shared" ca="1" si="211"/>
        <v>-0.41425639064523401</v>
      </c>
      <c r="E507" s="307">
        <f t="shared" ca="1" si="212"/>
        <v>-10.151465388840442</v>
      </c>
      <c r="F507" s="304">
        <f t="shared" ca="1" si="213"/>
        <v>10.159914266272914</v>
      </c>
      <c r="G507" s="306">
        <f t="shared" ca="1" si="214"/>
        <v>26.713187472161572</v>
      </c>
      <c r="H507" s="307">
        <f t="shared" ca="1" si="215"/>
        <v>21.038283596667434</v>
      </c>
      <c r="I507" s="304">
        <f t="shared" ca="1" si="216"/>
        <v>34.002996362330421</v>
      </c>
      <c r="J507" s="306">
        <f t="shared" ca="1" si="217"/>
        <v>436.91539107048033</v>
      </c>
      <c r="K507" s="307">
        <f t="shared" ca="1" si="218"/>
        <v>1351.0062740177382</v>
      </c>
      <c r="L507" s="304">
        <f t="shared" ca="1" si="203"/>
        <v>1419.898944076501</v>
      </c>
      <c r="M507" s="306">
        <f t="shared" ca="1" si="219"/>
        <v>0.667110468472914</v>
      </c>
      <c r="N507" s="304">
        <f t="shared" ca="1" si="220"/>
        <v>38.222614312493135</v>
      </c>
      <c r="P507" s="310">
        <f t="shared" ca="1" si="221"/>
        <v>23</v>
      </c>
      <c r="Q507" s="304">
        <f t="shared" ca="1" si="222"/>
        <v>0</v>
      </c>
      <c r="R507" s="306">
        <f t="shared" ca="1" si="223"/>
        <v>0</v>
      </c>
      <c r="S507" s="307">
        <f t="shared" ca="1" si="224"/>
        <v>7.8079999999999892</v>
      </c>
      <c r="T507" s="304">
        <f t="shared" ca="1" si="204"/>
        <v>76.5964799999999</v>
      </c>
      <c r="U507" s="311">
        <f t="shared" ca="1" si="205"/>
        <v>0</v>
      </c>
      <c r="V507" s="306">
        <f t="shared" ca="1" si="206"/>
        <v>1.0699737998826131</v>
      </c>
      <c r="W507" s="304">
        <f t="shared" ca="1" si="207"/>
        <v>4.0305937430832577</v>
      </c>
      <c r="Y507" s="314" t="str">
        <f t="shared" ca="1" si="225"/>
        <v/>
      </c>
      <c r="Z507" s="315" t="str">
        <f t="shared" ca="1" si="226"/>
        <v/>
      </c>
      <c r="AA507" s="316" t="str">
        <f t="shared" ca="1" si="227"/>
        <v/>
      </c>
      <c r="AC507" s="310" t="e">
        <f t="shared" ca="1" si="228"/>
        <v>#N/A</v>
      </c>
      <c r="AD507" s="323" t="e">
        <f t="shared" ca="1" si="229"/>
        <v>#N/A</v>
      </c>
      <c r="AE507" s="324">
        <f t="shared" ca="1" si="208"/>
        <v>1351.0062740177382</v>
      </c>
      <c r="AG507" s="306">
        <f t="shared" ca="1" si="230"/>
        <v>-6.7765454999051329</v>
      </c>
      <c r="AH507" s="304">
        <f t="shared" ca="1" si="231"/>
        <v>-0.53684911191727835</v>
      </c>
    </row>
    <row r="508" spans="1:34" x14ac:dyDescent="0.2">
      <c r="A508" s="347">
        <f t="shared" ca="1" si="209"/>
        <v>0.1</v>
      </c>
      <c r="B508" s="304">
        <f t="shared" ca="1" si="210"/>
        <v>14.399999999999922</v>
      </c>
      <c r="D508" s="306">
        <f t="shared" ca="1" si="211"/>
        <v>-0.40554377992493695</v>
      </c>
      <c r="E508" s="307">
        <f t="shared" ca="1" si="212"/>
        <v>-10.129390752669133</v>
      </c>
      <c r="F508" s="304">
        <f t="shared" ca="1" si="213"/>
        <v>10.137505747356929</v>
      </c>
      <c r="G508" s="306">
        <f t="shared" ca="1" si="214"/>
        <v>26.672633094169079</v>
      </c>
      <c r="H508" s="307">
        <f t="shared" ca="1" si="215"/>
        <v>20.02534452140052</v>
      </c>
      <c r="I508" s="304">
        <f t="shared" ca="1" si="216"/>
        <v>33.353317366896945</v>
      </c>
      <c r="J508" s="306">
        <f t="shared" ca="1" si="217"/>
        <v>439.58468209879686</v>
      </c>
      <c r="K508" s="307">
        <f t="shared" ca="1" si="218"/>
        <v>1353.0594554236416</v>
      </c>
      <c r="L508" s="304">
        <f t="shared" ca="1" si="203"/>
        <v>1422.6751500772134</v>
      </c>
      <c r="M508" s="306">
        <f t="shared" ca="1" si="219"/>
        <v>0.64400168152890047</v>
      </c>
      <c r="N508" s="304">
        <f t="shared" ca="1" si="220"/>
        <v>36.898578350934145</v>
      </c>
      <c r="P508" s="310">
        <f t="shared" ca="1" si="221"/>
        <v>23</v>
      </c>
      <c r="Q508" s="304">
        <f t="shared" ca="1" si="222"/>
        <v>0</v>
      </c>
      <c r="R508" s="306">
        <f t="shared" ca="1" si="223"/>
        <v>0</v>
      </c>
      <c r="S508" s="307">
        <f t="shared" ca="1" si="224"/>
        <v>7.8079999999999892</v>
      </c>
      <c r="T508" s="304">
        <f t="shared" ca="1" si="204"/>
        <v>76.5964799999999</v>
      </c>
      <c r="U508" s="311">
        <f t="shared" ca="1" si="205"/>
        <v>0</v>
      </c>
      <c r="V508" s="306">
        <f t="shared" ca="1" si="206"/>
        <v>1.0697531290441888</v>
      </c>
      <c r="W508" s="304">
        <f t="shared" ca="1" si="207"/>
        <v>3.8772440871529086</v>
      </c>
      <c r="Y508" s="314" t="str">
        <f t="shared" ca="1" si="225"/>
        <v/>
      </c>
      <c r="Z508" s="315" t="str">
        <f t="shared" ca="1" si="226"/>
        <v/>
      </c>
      <c r="AA508" s="316" t="str">
        <f t="shared" ca="1" si="227"/>
        <v/>
      </c>
      <c r="AC508" s="310" t="e">
        <f t="shared" ca="1" si="228"/>
        <v>#N/A</v>
      </c>
      <c r="AD508" s="323" t="e">
        <f t="shared" ca="1" si="229"/>
        <v>#N/A</v>
      </c>
      <c r="AE508" s="324">
        <f t="shared" ca="1" si="208"/>
        <v>1353.0594554236416</v>
      </c>
      <c r="AG508" s="306">
        <f t="shared" ca="1" si="230"/>
        <v>-6.5858420226019714</v>
      </c>
      <c r="AH508" s="304">
        <f t="shared" ca="1" si="231"/>
        <v>-0.51621333799734415</v>
      </c>
    </row>
    <row r="509" spans="1:34" x14ac:dyDescent="0.2">
      <c r="A509" s="347">
        <f t="shared" ca="1" si="209"/>
        <v>0.1</v>
      </c>
      <c r="B509" s="304">
        <f t="shared" ca="1" si="210"/>
        <v>14.499999999999922</v>
      </c>
      <c r="D509" s="306">
        <f t="shared" ca="1" si="211"/>
        <v>-0.39710942309812824</v>
      </c>
      <c r="E509" s="307">
        <f t="shared" ca="1" si="212"/>
        <v>-10.108142781110466</v>
      </c>
      <c r="F509" s="304">
        <f t="shared" ca="1" si="213"/>
        <v>10.115940212220956</v>
      </c>
      <c r="G509" s="306">
        <f t="shared" ca="1" si="214"/>
        <v>26.632922151859265</v>
      </c>
      <c r="H509" s="307">
        <f t="shared" ca="1" si="215"/>
        <v>19.014530243289474</v>
      </c>
      <c r="I509" s="304">
        <f t="shared" ca="1" si="216"/>
        <v>32.724072220919666</v>
      </c>
      <c r="J509" s="306">
        <f t="shared" ca="1" si="217"/>
        <v>442.24995986109826</v>
      </c>
      <c r="K509" s="307">
        <f t="shared" ca="1" si="218"/>
        <v>1355.011449161876</v>
      </c>
      <c r="L509" s="304">
        <f t="shared" ca="1" si="203"/>
        <v>1425.356465715475</v>
      </c>
      <c r="M509" s="306">
        <f t="shared" ca="1" si="219"/>
        <v>0.62002604597871436</v>
      </c>
      <c r="N509" s="304">
        <f t="shared" ca="1" si="220"/>
        <v>35.524875622764661</v>
      </c>
      <c r="P509" s="310">
        <f t="shared" ca="1" si="221"/>
        <v>23</v>
      </c>
      <c r="Q509" s="304">
        <f t="shared" ca="1" si="222"/>
        <v>0</v>
      </c>
      <c r="R509" s="306">
        <f t="shared" ca="1" si="223"/>
        <v>0</v>
      </c>
      <c r="S509" s="307">
        <f t="shared" ca="1" si="224"/>
        <v>7.8079999999999892</v>
      </c>
      <c r="T509" s="304">
        <f t="shared" ca="1" si="204"/>
        <v>76.5964799999999</v>
      </c>
      <c r="U509" s="311">
        <f t="shared" ca="1" si="205"/>
        <v>0</v>
      </c>
      <c r="V509" s="306">
        <f t="shared" ca="1" si="206"/>
        <v>1.0695433729525401</v>
      </c>
      <c r="W509" s="304">
        <f t="shared" ca="1" si="207"/>
        <v>3.7315957609542552</v>
      </c>
      <c r="Y509" s="314" t="str">
        <f t="shared" ca="1" si="225"/>
        <v/>
      </c>
      <c r="Z509" s="315" t="str">
        <f t="shared" ca="1" si="226"/>
        <v/>
      </c>
      <c r="AA509" s="316" t="str">
        <f t="shared" ca="1" si="227"/>
        <v/>
      </c>
      <c r="AC509" s="310" t="e">
        <f t="shared" ca="1" si="228"/>
        <v>#N/A</v>
      </c>
      <c r="AD509" s="323" t="e">
        <f t="shared" ca="1" si="229"/>
        <v>#N/A</v>
      </c>
      <c r="AE509" s="324">
        <f t="shared" ca="1" si="208"/>
        <v>1355.011449161876</v>
      </c>
      <c r="AG509" s="306">
        <f t="shared" ca="1" si="230"/>
        <v>-6.3865010265872657</v>
      </c>
      <c r="AH509" s="304">
        <f t="shared" ca="1" si="231"/>
        <v>-0.49657326935872359</v>
      </c>
    </row>
    <row r="510" spans="1:34" x14ac:dyDescent="0.2">
      <c r="A510" s="347">
        <f t="shared" ca="1" si="209"/>
        <v>0.1</v>
      </c>
      <c r="B510" s="304">
        <f t="shared" ca="1" si="210"/>
        <v>14.599999999999921</v>
      </c>
      <c r="D510" s="306">
        <f t="shared" ca="1" si="211"/>
        <v>-0.38896118406715507</v>
      </c>
      <c r="E510" s="307">
        <f t="shared" ca="1" si="212"/>
        <v>-10.087698187068606</v>
      </c>
      <c r="F510" s="304">
        <f t="shared" ca="1" si="213"/>
        <v>10.095194179217067</v>
      </c>
      <c r="G510" s="306">
        <f t="shared" ca="1" si="214"/>
        <v>26.59402603345255</v>
      </c>
      <c r="H510" s="307">
        <f t="shared" ca="1" si="215"/>
        <v>18.005760424582615</v>
      </c>
      <c r="I510" s="304">
        <f t="shared" ca="1" si="216"/>
        <v>32.116189517678116</v>
      </c>
      <c r="J510" s="306">
        <f t="shared" ca="1" si="217"/>
        <v>444.91130727036386</v>
      </c>
      <c r="K510" s="307">
        <f t="shared" ca="1" si="218"/>
        <v>1356.8624636952698</v>
      </c>
      <c r="L510" s="304">
        <f t="shared" ca="1" si="203"/>
        <v>1427.9432120088745</v>
      </c>
      <c r="M510" s="306">
        <f t="shared" ca="1" si="219"/>
        <v>0.59516375096386609</v>
      </c>
      <c r="N510" s="304">
        <f t="shared" ca="1" si="220"/>
        <v>34.100371049404707</v>
      </c>
      <c r="P510" s="310">
        <f t="shared" ca="1" si="221"/>
        <v>23</v>
      </c>
      <c r="Q510" s="304">
        <f t="shared" ca="1" si="222"/>
        <v>0</v>
      </c>
      <c r="R510" s="306">
        <f t="shared" ca="1" si="223"/>
        <v>0</v>
      </c>
      <c r="S510" s="307">
        <f t="shared" ca="1" si="224"/>
        <v>7.8079999999999892</v>
      </c>
      <c r="T510" s="304">
        <f t="shared" ca="1" si="204"/>
        <v>76.5964799999999</v>
      </c>
      <c r="U510" s="311">
        <f t="shared" ca="1" si="205"/>
        <v>0</v>
      </c>
      <c r="V510" s="306">
        <f t="shared" ca="1" si="206"/>
        <v>1.0693445032385052</v>
      </c>
      <c r="W510" s="304">
        <f t="shared" ca="1" si="207"/>
        <v>3.59357878277789</v>
      </c>
      <c r="Y510" s="314" t="str">
        <f t="shared" ca="1" si="225"/>
        <v/>
      </c>
      <c r="Z510" s="315" t="str">
        <f t="shared" ca="1" si="226"/>
        <v/>
      </c>
      <c r="AA510" s="316" t="str">
        <f t="shared" ca="1" si="227"/>
        <v/>
      </c>
      <c r="AC510" s="310" t="e">
        <f t="shared" ca="1" si="228"/>
        <v>#N/A</v>
      </c>
      <c r="AD510" s="323" t="e">
        <f t="shared" ca="1" si="229"/>
        <v>#N/A</v>
      </c>
      <c r="AE510" s="324">
        <f t="shared" ca="1" si="208"/>
        <v>1356.8624636952698</v>
      </c>
      <c r="AG510" s="306">
        <f t="shared" ca="1" si="230"/>
        <v>-6.1780824169341777</v>
      </c>
      <c r="AH510" s="304">
        <f t="shared" ca="1" si="231"/>
        <v>-0.47791953905664197</v>
      </c>
    </row>
    <row r="511" spans="1:34" x14ac:dyDescent="0.2">
      <c r="A511" s="347">
        <f t="shared" ca="1" si="209"/>
        <v>0.1</v>
      </c>
      <c r="B511" s="304">
        <f t="shared" ca="1" si="210"/>
        <v>14.699999999999921</v>
      </c>
      <c r="D511" s="306">
        <f t="shared" ca="1" si="211"/>
        <v>-0.38110745415331743</v>
      </c>
      <c r="E511" s="307">
        <f t="shared" ca="1" si="212"/>
        <v>-10.068032744153721</v>
      </c>
      <c r="F511" s="304">
        <f t="shared" ca="1" si="213"/>
        <v>10.075243234233241</v>
      </c>
      <c r="G511" s="306">
        <f t="shared" ca="1" si="214"/>
        <v>26.55591528803722</v>
      </c>
      <c r="H511" s="307">
        <f t="shared" ca="1" si="215"/>
        <v>16.998957150167243</v>
      </c>
      <c r="I511" s="304">
        <f t="shared" ca="1" si="216"/>
        <v>31.530638765788282</v>
      </c>
      <c r="J511" s="306">
        <f t="shared" ca="1" si="217"/>
        <v>447.56880433643835</v>
      </c>
      <c r="K511" s="307">
        <f t="shared" ca="1" si="218"/>
        <v>1358.6126995740071</v>
      </c>
      <c r="L511" s="304">
        <f t="shared" ca="1" si="203"/>
        <v>1430.4357035738867</v>
      </c>
      <c r="M511" s="306">
        <f t="shared" ca="1" si="219"/>
        <v>0.56939790713693195</v>
      </c>
      <c r="N511" s="304">
        <f t="shared" ca="1" si="220"/>
        <v>32.624096942528176</v>
      </c>
      <c r="P511" s="310">
        <f t="shared" ca="1" si="221"/>
        <v>23</v>
      </c>
      <c r="Q511" s="304">
        <f t="shared" ca="1" si="222"/>
        <v>0</v>
      </c>
      <c r="R511" s="306">
        <f t="shared" ca="1" si="223"/>
        <v>0</v>
      </c>
      <c r="S511" s="307">
        <f t="shared" ca="1" si="224"/>
        <v>7.8079999999999892</v>
      </c>
      <c r="T511" s="304">
        <f t="shared" ca="1" si="204"/>
        <v>76.5964799999999</v>
      </c>
      <c r="U511" s="311">
        <f t="shared" ca="1" si="205"/>
        <v>0</v>
      </c>
      <c r="V511" s="306">
        <f t="shared" ca="1" si="206"/>
        <v>1.0691564927097204</v>
      </c>
      <c r="W511" s="304">
        <f t="shared" ca="1" si="207"/>
        <v>3.4631262217395831</v>
      </c>
      <c r="Y511" s="314" t="str">
        <f t="shared" ca="1" si="225"/>
        <v/>
      </c>
      <c r="Z511" s="315" t="str">
        <f t="shared" ca="1" si="226"/>
        <v/>
      </c>
      <c r="AA511" s="316" t="str">
        <f t="shared" ca="1" si="227"/>
        <v/>
      </c>
      <c r="AC511" s="310" t="e">
        <f t="shared" ca="1" si="228"/>
        <v>#N/A</v>
      </c>
      <c r="AD511" s="323" t="e">
        <f t="shared" ca="1" si="229"/>
        <v>#N/A</v>
      </c>
      <c r="AE511" s="324">
        <f t="shared" ca="1" si="208"/>
        <v>1358.6126995740071</v>
      </c>
      <c r="AG511" s="306">
        <f t="shared" ca="1" si="230"/>
        <v>-5.9601643274030582</v>
      </c>
      <c r="AH511" s="304">
        <f t="shared" ca="1" si="231"/>
        <v>-0.46024318426970989</v>
      </c>
    </row>
    <row r="512" spans="1:34" x14ac:dyDescent="0.2">
      <c r="A512" s="347">
        <f t="shared" ca="1" si="209"/>
        <v>0.1</v>
      </c>
      <c r="B512" s="304">
        <f t="shared" ca="1" si="210"/>
        <v>14.799999999999921</v>
      </c>
      <c r="D512" s="306">
        <f t="shared" ca="1" si="211"/>
        <v>-0.3735571227148809</v>
      </c>
      <c r="E512" s="307">
        <f t="shared" ca="1" si="212"/>
        <v>-10.049121169550899</v>
      </c>
      <c r="F512" s="304">
        <f t="shared" ca="1" si="213"/>
        <v>10.056061913306175</v>
      </c>
      <c r="G512" s="306">
        <f t="shared" ca="1" si="214"/>
        <v>26.518559575765732</v>
      </c>
      <c r="H512" s="307">
        <f t="shared" ca="1" si="215"/>
        <v>15.994045033212153</v>
      </c>
      <c r="I512" s="304">
        <f t="shared" ca="1" si="216"/>
        <v>30.968427123408361</v>
      </c>
      <c r="J512" s="306">
        <f t="shared" ca="1" si="217"/>
        <v>450.22252807962849</v>
      </c>
      <c r="K512" s="307">
        <f t="shared" ca="1" si="218"/>
        <v>1360.2623496831761</v>
      </c>
      <c r="L512" s="304">
        <f t="shared" ca="1" si="203"/>
        <v>1432.8342488773806</v>
      </c>
      <c r="M512" s="306">
        <f t="shared" ca="1" si="219"/>
        <v>0.54271519936720491</v>
      </c>
      <c r="N512" s="304">
        <f t="shared" ca="1" si="220"/>
        <v>31.095290401341888</v>
      </c>
      <c r="P512" s="310">
        <f t="shared" ca="1" si="221"/>
        <v>23</v>
      </c>
      <c r="Q512" s="304">
        <f t="shared" ca="1" si="222"/>
        <v>0</v>
      </c>
      <c r="R512" s="306">
        <f t="shared" ca="1" si="223"/>
        <v>0</v>
      </c>
      <c r="S512" s="307">
        <f t="shared" ca="1" si="224"/>
        <v>7.8079999999999892</v>
      </c>
      <c r="T512" s="304">
        <f t="shared" ca="1" si="204"/>
        <v>76.5964799999999</v>
      </c>
      <c r="U512" s="311">
        <f t="shared" ca="1" si="205"/>
        <v>0</v>
      </c>
      <c r="V512" s="306">
        <f t="shared" ca="1" si="206"/>
        <v>1.0689793153208527</v>
      </c>
      <c r="W512" s="304">
        <f t="shared" ca="1" si="207"/>
        <v>3.3401740927889105</v>
      </c>
      <c r="Y512" s="314" t="str">
        <f t="shared" ca="1" si="225"/>
        <v/>
      </c>
      <c r="Z512" s="315" t="str">
        <f t="shared" ca="1" si="226"/>
        <v/>
      </c>
      <c r="AA512" s="316" t="str">
        <f t="shared" ca="1" si="227"/>
        <v/>
      </c>
      <c r="AC512" s="310" t="e">
        <f t="shared" ca="1" si="228"/>
        <v>#N/A</v>
      </c>
      <c r="AD512" s="323" t="e">
        <f t="shared" ca="1" si="229"/>
        <v>#N/A</v>
      </c>
      <c r="AE512" s="324">
        <f t="shared" ca="1" si="208"/>
        <v>1360.2623496831761</v>
      </c>
      <c r="AG512" s="306">
        <f t="shared" ca="1" si="230"/>
        <v>-5.732352357549038</v>
      </c>
      <c r="AH512" s="304">
        <f t="shared" ca="1" si="231"/>
        <v>-0.44353563290722181</v>
      </c>
    </row>
    <row r="513" spans="1:34" x14ac:dyDescent="0.2">
      <c r="A513" s="347">
        <f t="shared" ca="1" si="209"/>
        <v>0.1</v>
      </c>
      <c r="B513" s="304">
        <f t="shared" ca="1" si="210"/>
        <v>14.89999999999992</v>
      </c>
      <c r="D513" s="306">
        <f t="shared" ca="1" si="211"/>
        <v>-0.36631953636865516</v>
      </c>
      <c r="E513" s="307">
        <f t="shared" ca="1" si="212"/>
        <v>-10.030937006193199</v>
      </c>
      <c r="F513" s="304">
        <f t="shared" ca="1" si="213"/>
        <v>10.037623584541389</v>
      </c>
      <c r="G513" s="306">
        <f t="shared" ca="1" si="214"/>
        <v>26.481927622128865</v>
      </c>
      <c r="H513" s="307">
        <f t="shared" ca="1" si="215"/>
        <v>14.990951332592832</v>
      </c>
      <c r="I513" s="304">
        <f t="shared" ca="1" si="216"/>
        <v>30.430595006339239</v>
      </c>
      <c r="J513" s="306">
        <f t="shared" ca="1" si="217"/>
        <v>452.87255243952325</v>
      </c>
      <c r="K513" s="307">
        <f t="shared" ca="1" si="218"/>
        <v>1361.8115995014664</v>
      </c>
      <c r="L513" s="304">
        <f t="shared" ca="1" si="203"/>
        <v>1435.1391504972021</v>
      </c>
      <c r="M513" s="306">
        <f t="shared" ca="1" si="219"/>
        <v>0.51510659080228627</v>
      </c>
      <c r="N513" s="304">
        <f t="shared" ca="1" si="220"/>
        <v>29.513433652343313</v>
      </c>
      <c r="P513" s="310">
        <f t="shared" ca="1" si="221"/>
        <v>23</v>
      </c>
      <c r="Q513" s="304">
        <f t="shared" ca="1" si="222"/>
        <v>0</v>
      </c>
      <c r="R513" s="306">
        <f t="shared" ca="1" si="223"/>
        <v>0</v>
      </c>
      <c r="S513" s="307">
        <f t="shared" ca="1" si="224"/>
        <v>7.8079999999999892</v>
      </c>
      <c r="T513" s="304">
        <f t="shared" ca="1" si="204"/>
        <v>76.5964799999999</v>
      </c>
      <c r="U513" s="311">
        <f t="shared" ca="1" si="205"/>
        <v>0</v>
      </c>
      <c r="V513" s="306">
        <f t="shared" ca="1" si="206"/>
        <v>1.0688129461428049</v>
      </c>
      <c r="W513" s="304">
        <f t="shared" ca="1" si="207"/>
        <v>3.2246612508898198</v>
      </c>
      <c r="Y513" s="314" t="str">
        <f t="shared" ca="1" si="225"/>
        <v/>
      </c>
      <c r="Z513" s="315" t="str">
        <f t="shared" ca="1" si="226"/>
        <v/>
      </c>
      <c r="AA513" s="316" t="str">
        <f t="shared" ca="1" si="227"/>
        <v/>
      </c>
      <c r="AC513" s="310" t="e">
        <f t="shared" ca="1" si="228"/>
        <v>#N/A</v>
      </c>
      <c r="AD513" s="323" t="e">
        <f t="shared" ca="1" si="229"/>
        <v>#N/A</v>
      </c>
      <c r="AE513" s="324">
        <f t="shared" ca="1" si="208"/>
        <v>1361.8115995014664</v>
      </c>
      <c r="AG513" s="306">
        <f t="shared" ca="1" si="230"/>
        <v>-5.4942901676370592</v>
      </c>
      <c r="AH513" s="304">
        <f t="shared" ca="1" si="231"/>
        <v>-0.42778869016251475</v>
      </c>
    </row>
    <row r="514" spans="1:34" x14ac:dyDescent="0.2">
      <c r="A514" s="347">
        <f t="shared" ca="1" si="209"/>
        <v>0.1</v>
      </c>
      <c r="B514" s="304">
        <f t="shared" ca="1" si="210"/>
        <v>14.99999999999992</v>
      </c>
      <c r="D514" s="306">
        <f t="shared" ca="1" si="211"/>
        <v>-0.35940444529773852</v>
      </c>
      <c r="E514" s="307">
        <f t="shared" ca="1" si="212"/>
        <v>-10.013452506367919</v>
      </c>
      <c r="F514" s="304">
        <f t="shared" ca="1" si="213"/>
        <v>10.019900331469657</v>
      </c>
      <c r="G514" s="306">
        <f t="shared" ca="1" si="214"/>
        <v>26.44598717759909</v>
      </c>
      <c r="H514" s="307">
        <f t="shared" ca="1" si="215"/>
        <v>13.98960608195604</v>
      </c>
      <c r="I514" s="304">
        <f t="shared" ca="1" si="216"/>
        <v>29.918210443240699</v>
      </c>
      <c r="J514" s="306">
        <f t="shared" ca="1" si="217"/>
        <v>455.51894817950966</v>
      </c>
      <c r="K514" s="307">
        <f t="shared" ca="1" si="218"/>
        <v>1363.2606273721938</v>
      </c>
      <c r="L514" s="304">
        <f t="shared" ca="1" si="203"/>
        <v>1437.3507053930136</v>
      </c>
      <c r="M514" s="306">
        <f t="shared" ca="1" si="219"/>
        <v>0.48656806744334702</v>
      </c>
      <c r="N514" s="304">
        <f t="shared" ca="1" si="220"/>
        <v>27.878296710340582</v>
      </c>
      <c r="P514" s="310">
        <f t="shared" ca="1" si="221"/>
        <v>23</v>
      </c>
      <c r="Q514" s="304">
        <f t="shared" ca="1" si="222"/>
        <v>0</v>
      </c>
      <c r="R514" s="306">
        <f t="shared" ca="1" si="223"/>
        <v>0</v>
      </c>
      <c r="S514" s="307">
        <f t="shared" ca="1" si="224"/>
        <v>7.8079999999999892</v>
      </c>
      <c r="T514" s="304">
        <f t="shared" ca="1" si="204"/>
        <v>76.5964799999999</v>
      </c>
      <c r="U514" s="311">
        <f t="shared" ca="1" si="205"/>
        <v>0</v>
      </c>
      <c r="V514" s="306">
        <f t="shared" ca="1" si="206"/>
        <v>1.0686573613307684</v>
      </c>
      <c r="W514" s="304">
        <f t="shared" ca="1" si="207"/>
        <v>3.1165292839716723</v>
      </c>
      <c r="Y514" s="314" t="str">
        <f t="shared" ca="1" si="225"/>
        <v/>
      </c>
      <c r="Z514" s="315" t="str">
        <f t="shared" ca="1" si="226"/>
        <v/>
      </c>
      <c r="AA514" s="316" t="str">
        <f t="shared" ca="1" si="227"/>
        <v/>
      </c>
      <c r="AC514" s="310">
        <f t="shared" ca="1" si="228"/>
        <v>14.99999999999992</v>
      </c>
      <c r="AD514" s="323">
        <f t="shared" ca="1" si="229"/>
        <v>455.51894817950966</v>
      </c>
      <c r="AE514" s="324">
        <f t="shared" ca="1" si="208"/>
        <v>1363.2606273721938</v>
      </c>
      <c r="AG514" s="306">
        <f t="shared" ca="1" si="230"/>
        <v>-5.2456713931615111</v>
      </c>
      <c r="AH514" s="304">
        <f t="shared" ca="1" si="231"/>
        <v>-0.41299452496027461</v>
      </c>
    </row>
    <row r="515" spans="1:34" x14ac:dyDescent="0.2">
      <c r="A515" s="347">
        <f t="shared" ca="1" si="209"/>
        <v>0.1</v>
      </c>
      <c r="B515" s="304">
        <f t="shared" ca="1" si="210"/>
        <v>15.09999999999992</v>
      </c>
      <c r="D515" s="306">
        <f t="shared" ca="1" si="211"/>
        <v>-0.35282193522610139</v>
      </c>
      <c r="E515" s="307">
        <f t="shared" ca="1" si="212"/>
        <v>-9.9966385193995499</v>
      </c>
      <c r="F515" s="304">
        <f t="shared" ca="1" si="213"/>
        <v>10.002862840483195</v>
      </c>
      <c r="G515" s="306">
        <f t="shared" ca="1" si="214"/>
        <v>26.410704984076478</v>
      </c>
      <c r="H515" s="307">
        <f t="shared" ca="1" si="215"/>
        <v>12.989942230016085</v>
      </c>
      <c r="I515" s="304">
        <f t="shared" ca="1" si="216"/>
        <v>29.432362067885027</v>
      </c>
      <c r="J515" s="306">
        <f t="shared" ca="1" si="217"/>
        <v>458.16178278759344</v>
      </c>
      <c r="K515" s="307">
        <f t="shared" ca="1" si="218"/>
        <v>1364.6096047877925</v>
      </c>
      <c r="L515" s="304">
        <f t="shared" ca="1" si="203"/>
        <v>1439.4692051885659</v>
      </c>
      <c r="M515" s="306">
        <f t="shared" ca="1" si="219"/>
        <v>0.45710140753725187</v>
      </c>
      <c r="N515" s="304">
        <f t="shared" ca="1" si="220"/>
        <v>26.189981461373968</v>
      </c>
      <c r="P515" s="310">
        <f t="shared" ca="1" si="221"/>
        <v>23</v>
      </c>
      <c r="Q515" s="304">
        <f t="shared" ca="1" si="222"/>
        <v>0</v>
      </c>
      <c r="R515" s="306">
        <f t="shared" ca="1" si="223"/>
        <v>0</v>
      </c>
      <c r="S515" s="307">
        <f t="shared" ca="1" si="224"/>
        <v>7.8079999999999892</v>
      </c>
      <c r="T515" s="304">
        <f t="shared" ca="1" si="204"/>
        <v>76.5964799999999</v>
      </c>
      <c r="U515" s="311">
        <f t="shared" ca="1" si="205"/>
        <v>0</v>
      </c>
      <c r="V515" s="306">
        <f t="shared" ca="1" si="206"/>
        <v>1.0685125380909906</v>
      </c>
      <c r="W515" s="304">
        <f t="shared" ca="1" si="207"/>
        <v>3.0157224042610427</v>
      </c>
      <c r="Y515" s="314" t="str">
        <f t="shared" ca="1" si="225"/>
        <v/>
      </c>
      <c r="Z515" s="315" t="str">
        <f t="shared" ca="1" si="226"/>
        <v/>
      </c>
      <c r="AA515" s="316" t="str">
        <f t="shared" ca="1" si="227"/>
        <v/>
      </c>
      <c r="AC515" s="310" t="e">
        <f t="shared" ca="1" si="228"/>
        <v>#N/A</v>
      </c>
      <c r="AD515" s="323" t="e">
        <f t="shared" ca="1" si="229"/>
        <v>#N/A</v>
      </c>
      <c r="AE515" s="324">
        <f t="shared" ca="1" si="208"/>
        <v>1364.6096047877925</v>
      </c>
      <c r="AG515" s="306">
        <f t="shared" ca="1" si="230"/>
        <v>-4.9862527602741933</v>
      </c>
      <c r="AH515" s="304">
        <f t="shared" ca="1" si="231"/>
        <v>-0.39914565624637249</v>
      </c>
    </row>
    <row r="516" spans="1:34" x14ac:dyDescent="0.2">
      <c r="A516" s="347">
        <f t="shared" ca="1" si="209"/>
        <v>0.1</v>
      </c>
      <c r="B516" s="304">
        <f t="shared" ca="1" si="210"/>
        <v>15.199999999999919</v>
      </c>
      <c r="D516" s="306">
        <f t="shared" ca="1" si="211"/>
        <v>-0.34658234384318809</v>
      </c>
      <c r="E516" s="307">
        <f t="shared" ca="1" si="212"/>
        <v>-9.9804643865879754</v>
      </c>
      <c r="F516" s="304">
        <f t="shared" ca="1" si="213"/>
        <v>9.9864802955302885</v>
      </c>
      <c r="G516" s="306">
        <f t="shared" ca="1" si="214"/>
        <v>26.376046749692158</v>
      </c>
      <c r="H516" s="307">
        <f t="shared" ca="1" si="215"/>
        <v>11.991895791357289</v>
      </c>
      <c r="I516" s="304">
        <f t="shared" ca="1" si="216"/>
        <v>28.974150665942201</v>
      </c>
      <c r="J516" s="306">
        <f t="shared" ca="1" si="217"/>
        <v>460.80112037428188</v>
      </c>
      <c r="K516" s="307">
        <f t="shared" ca="1" si="218"/>
        <v>1365.8586966888611</v>
      </c>
      <c r="L516" s="304">
        <f t="shared" ref="L516:L579" ca="1" si="232">SQRT(pos_x^2+pos_z^2)</f>
        <v>1441.4949364665792</v>
      </c>
      <c r="M516" s="306">
        <f t="shared" ca="1" si="219"/>
        <v>0.426714954728796</v>
      </c>
      <c r="N516" s="304">
        <f t="shared" ca="1" si="220"/>
        <v>24.448965961076002</v>
      </c>
      <c r="P516" s="310">
        <f t="shared" ca="1" si="221"/>
        <v>23</v>
      </c>
      <c r="Q516" s="304">
        <f t="shared" ca="1" si="222"/>
        <v>0</v>
      </c>
      <c r="R516" s="306">
        <f t="shared" ca="1" si="223"/>
        <v>0</v>
      </c>
      <c r="S516" s="307">
        <f t="shared" ca="1" si="224"/>
        <v>7.8079999999999892</v>
      </c>
      <c r="T516" s="304">
        <f t="shared" ref="T516:T579" ca="1" si="233">m*g</f>
        <v>76.5964799999999</v>
      </c>
      <c r="U516" s="311">
        <f t="shared" ref="U516:U579" ca="1" si="234">IF(pos_xz&lt;L_rampe,Poids*COS(Beta),0)</f>
        <v>0</v>
      </c>
      <c r="V516" s="306">
        <f t="shared" ref="V516:V579" ca="1" si="235">Rho_moyen*(20000-Alt_rampe-pos_z)/(20000+Alt_rampe+pos_z)</f>
        <v>1.0683784546461357</v>
      </c>
      <c r="W516" s="304">
        <f t="shared" ref="W516:W579" ca="1" si="236">1/2*Rho*Sref*Cx*vit_xz^2</f>
        <v>2.9221873376240723</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1365.8586966888611</v>
      </c>
      <c r="AG516" s="306">
        <f t="shared" ca="1" si="230"/>
        <v>-4.715868183678432</v>
      </c>
      <c r="AH516" s="304">
        <f t="shared" ca="1" si="231"/>
        <v>-0.38623493907031847</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-0.34069616078949638</v>
      </c>
      <c r="E517" s="307">
        <f t="shared" ref="E517:E580" ca="1" si="241">IF(AND(L516&lt;L_rampe,Poussee&lt;Poids*SIN(M516)),0,(-W516+Poussee)/m*SIN(M516)+U516/m*COS(M516)-Poids/m)</f>
        <v>-9.964897847106327</v>
      </c>
      <c r="F517" s="304">
        <f t="shared" ref="F517:F580" ca="1" si="242">SQRT(acc_x^2+acc_z^2)</f>
        <v>9.9707202837729341</v>
      </c>
      <c r="G517" s="306">
        <f t="shared" ref="G517:G580" ca="1" si="243">G516+acc_x*pas</f>
        <v>26.341977133613209</v>
      </c>
      <c r="H517" s="307">
        <f t="shared" ref="H517:H580" ca="1" si="244">H516+acc_z*pas</f>
        <v>10.995406006646656</v>
      </c>
      <c r="I517" s="304">
        <f t="shared" ref="I517:I580" ca="1" si="245">SQRT(vit_x^2+vit_z^2)</f>
        <v>28.544679233769688</v>
      </c>
      <c r="J517" s="306">
        <f t="shared" ref="J517:J580" ca="1" si="246">J516+0.5*(vit_x+G516)*pas*(K516&gt;=0)</f>
        <v>463.43702156844716</v>
      </c>
      <c r="K517" s="307">
        <f t="shared" ref="K517:K580" ca="1" si="247">K516+0.5*(vit_z+H516)*pas</f>
        <v>1367.0080617787612</v>
      </c>
      <c r="L517" s="304">
        <f t="shared" ca="1" si="232"/>
        <v>1443.4281810773819</v>
      </c>
      <c r="M517" s="306">
        <f t="shared" ref="M517:M580" ca="1" si="248">IF(AND(L516&gt;L_rampe,G517&gt;0),ATAN2(G517,H517),$M$4)</f>
        <v>0.39542436833018579</v>
      </c>
      <c r="N517" s="304">
        <f t="shared" ref="N517:N580" ca="1" si="249">DEGREES(Beta)</f>
        <v>22.656147421946176</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7.8079999999999892</v>
      </c>
      <c r="T517" s="304">
        <f t="shared" ca="1" si="233"/>
        <v>76.5964799999999</v>
      </c>
      <c r="U517" s="311">
        <f t="shared" ca="1" si="234"/>
        <v>0</v>
      </c>
      <c r="V517" s="306">
        <f t="shared" ca="1" si="235"/>
        <v>1.0682550901991306</v>
      </c>
      <c r="W517" s="304">
        <f t="shared" ca="1" si="236"/>
        <v>2.8358732105779598</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1367.0080617787612</v>
      </c>
      <c r="AG517" s="306">
        <f t="shared" ref="AG517:AG580" ca="1" si="259">IF(AND(L516&lt;L_rampe,Poussee&lt;Poids*SIN(M516)),0,(-W516+Poussee)/m-Poids*SIN(M516)/m)</f>
        <v>-4.4344435113838028</v>
      </c>
      <c r="AH517" s="304">
        <f t="shared" ref="AH517:AH580" ca="1" si="260">IF(AND(L516&lt;L_rampe,Poussee&lt;Poids*SIN(M516)), g*SIN(M516), (-W516+Poussee)/m)</f>
        <v>-0.37425555041291964</v>
      </c>
    </row>
    <row r="518" spans="1:34" x14ac:dyDescent="0.2">
      <c r="A518" s="347">
        <f t="shared" ca="1" si="238"/>
        <v>0.1</v>
      </c>
      <c r="B518" s="304">
        <f t="shared" ca="1" si="239"/>
        <v>15.399999999999919</v>
      </c>
      <c r="D518" s="306">
        <f t="shared" ca="1" si="240"/>
        <v>-0.33517391078407305</v>
      </c>
      <c r="E518" s="307">
        <f t="shared" ca="1" si="241"/>
        <v>-9.9499049590398361</v>
      </c>
      <c r="F518" s="304">
        <f t="shared" ca="1" si="242"/>
        <v>9.9555487163890586</v>
      </c>
      <c r="G518" s="306">
        <f t="shared" ca="1" si="243"/>
        <v>26.308459742534801</v>
      </c>
      <c r="H518" s="307">
        <f t="shared" ca="1" si="244"/>
        <v>10.000415510742672</v>
      </c>
      <c r="I518" s="304">
        <f t="shared" ca="1" si="245"/>
        <v>28.145041559963573</v>
      </c>
      <c r="J518" s="306">
        <f t="shared" ca="1" si="246"/>
        <v>466.06954341225457</v>
      </c>
      <c r="K518" s="307">
        <f t="shared" ca="1" si="247"/>
        <v>1368.0578528546307</v>
      </c>
      <c r="L518" s="304">
        <f t="shared" ca="1" si="232"/>
        <v>1445.269216462362</v>
      </c>
      <c r="M518" s="306">
        <f t="shared" ca="1" si="248"/>
        <v>0.36325331866502947</v>
      </c>
      <c r="N518" s="304">
        <f t="shared" ca="1" si="249"/>
        <v>20.812882053626961</v>
      </c>
      <c r="P518" s="310">
        <f t="shared" ca="1" si="250"/>
        <v>23</v>
      </c>
      <c r="Q518" s="304">
        <f t="shared" ca="1" si="251"/>
        <v>0</v>
      </c>
      <c r="R518" s="306">
        <f t="shared" ca="1" si="252"/>
        <v>0</v>
      </c>
      <c r="S518" s="307">
        <f t="shared" ca="1" si="253"/>
        <v>7.8079999999999892</v>
      </c>
      <c r="T518" s="304">
        <f t="shared" ca="1" si="233"/>
        <v>76.5964799999999</v>
      </c>
      <c r="U518" s="311">
        <f t="shared" ca="1" si="234"/>
        <v>0</v>
      </c>
      <c r="V518" s="306">
        <f t="shared" ca="1" si="235"/>
        <v>1.0681424248953877</v>
      </c>
      <c r="W518" s="304">
        <f t="shared" ca="1" si="236"/>
        <v>2.7567314346694074</v>
      </c>
      <c r="Y518" s="314" t="str">
        <f t="shared" ca="1" si="254"/>
        <v/>
      </c>
      <c r="Z518" s="315" t="str">
        <f t="shared" ca="1" si="255"/>
        <v/>
      </c>
      <c r="AA518" s="316" t="str">
        <f t="shared" ca="1" si="256"/>
        <v/>
      </c>
      <c r="AC518" s="310" t="e">
        <f t="shared" ca="1" si="257"/>
        <v>#N/A</v>
      </c>
      <c r="AD518" s="323" t="e">
        <f t="shared" ca="1" si="258"/>
        <v>#N/A</v>
      </c>
      <c r="AE518" s="324">
        <f t="shared" ca="1" si="237"/>
        <v>1368.0578528546307</v>
      </c>
      <c r="AG518" s="306">
        <f t="shared" ca="1" si="259"/>
        <v>-4.1420114508056303</v>
      </c>
      <c r="AH518" s="304">
        <f t="shared" ca="1" si="260"/>
        <v>-0.36320097471541546</v>
      </c>
    </row>
    <row r="519" spans="1:34" x14ac:dyDescent="0.2">
      <c r="A519" s="347">
        <f t="shared" ca="1" si="238"/>
        <v>0.1</v>
      </c>
      <c r="B519" s="304">
        <f t="shared" ca="1" si="239"/>
        <v>15.499999999999918</v>
      </c>
      <c r="D519" s="306">
        <f t="shared" ca="1" si="240"/>
        <v>-0.33002602009642112</v>
      </c>
      <c r="E519" s="307">
        <f t="shared" ca="1" si="241"/>
        <v>-9.9354500401247332</v>
      </c>
      <c r="F519" s="304">
        <f t="shared" ca="1" si="242"/>
        <v>9.9409297690787071</v>
      </c>
      <c r="G519" s="306">
        <f t="shared" ca="1" si="243"/>
        <v>26.275457140525159</v>
      </c>
      <c r="H519" s="307">
        <f t="shared" ca="1" si="244"/>
        <v>9.0068705067301984</v>
      </c>
      <c r="I519" s="304">
        <f t="shared" ca="1" si="245"/>
        <v>27.77630940691331</v>
      </c>
      <c r="J519" s="306">
        <f t="shared" ca="1" si="246"/>
        <v>468.69873925640758</v>
      </c>
      <c r="K519" s="307">
        <f t="shared" ca="1" si="247"/>
        <v>1369.0082171555043</v>
      </c>
      <c r="L519" s="304">
        <f t="shared" ca="1" si="232"/>
        <v>1447.0183159932146</v>
      </c>
      <c r="M519" s="306">
        <f t="shared" ca="1" si="248"/>
        <v>0.33023409077615523</v>
      </c>
      <c r="N519" s="304">
        <f t="shared" ca="1" si="249"/>
        <v>18.921019652813804</v>
      </c>
      <c r="P519" s="310">
        <f t="shared" ca="1" si="250"/>
        <v>23</v>
      </c>
      <c r="Q519" s="304">
        <f t="shared" ca="1" si="251"/>
        <v>0</v>
      </c>
      <c r="R519" s="306">
        <f t="shared" ca="1" si="252"/>
        <v>0</v>
      </c>
      <c r="S519" s="307">
        <f t="shared" ca="1" si="253"/>
        <v>7.8079999999999892</v>
      </c>
      <c r="T519" s="304">
        <f t="shared" ca="1" si="233"/>
        <v>76.5964799999999</v>
      </c>
      <c r="U519" s="311">
        <f t="shared" ca="1" si="234"/>
        <v>0</v>
      </c>
      <c r="V519" s="306">
        <f t="shared" ca="1" si="235"/>
        <v>1.0680404397833372</v>
      </c>
      <c r="W519" s="304">
        <f t="shared" ca="1" si="236"/>
        <v>2.6847155879689861</v>
      </c>
      <c r="Y519" s="314" t="str">
        <f t="shared" ca="1" si="254"/>
        <v/>
      </c>
      <c r="Z519" s="315" t="str">
        <f t="shared" ca="1" si="255"/>
        <v/>
      </c>
      <c r="AA519" s="316" t="str">
        <f t="shared" ca="1" si="256"/>
        <v/>
      </c>
      <c r="AC519" s="310" t="e">
        <f t="shared" ca="1" si="257"/>
        <v>#N/A</v>
      </c>
      <c r="AD519" s="323" t="e">
        <f t="shared" ca="1" si="258"/>
        <v>#N/A</v>
      </c>
      <c r="AE519" s="324">
        <f t="shared" ca="1" si="237"/>
        <v>1369.0082171555043</v>
      </c>
      <c r="AG519" s="306">
        <f t="shared" ca="1" si="259"/>
        <v>-3.8387260761716844</v>
      </c>
      <c r="AH519" s="304">
        <f t="shared" ca="1" si="260"/>
        <v>-0.35306498907138978</v>
      </c>
    </row>
    <row r="520" spans="1:34" x14ac:dyDescent="0.2">
      <c r="A520" s="347">
        <f t="shared" ca="1" si="238"/>
        <v>0.1</v>
      </c>
      <c r="B520" s="304">
        <f t="shared" ca="1" si="239"/>
        <v>15.599999999999918</v>
      </c>
      <c r="D520" s="306">
        <f t="shared" ca="1" si="240"/>
        <v>-0.32526266733616033</v>
      </c>
      <c r="E520" s="307">
        <f t="shared" ca="1" si="241"/>
        <v>-9.9214956329666322</v>
      </c>
      <c r="F520" s="304">
        <f t="shared" ca="1" si="242"/>
        <v>9.9268258470539603</v>
      </c>
      <c r="G520" s="306">
        <f t="shared" ca="1" si="243"/>
        <v>26.242930873791543</v>
      </c>
      <c r="H520" s="307">
        <f t="shared" ca="1" si="244"/>
        <v>8.0147209434335345</v>
      </c>
      <c r="I520" s="304">
        <f t="shared" ca="1" si="245"/>
        <v>27.439518447810151</v>
      </c>
      <c r="J520" s="306">
        <f t="shared" ca="1" si="246"/>
        <v>471.32465865712339</v>
      </c>
      <c r="K520" s="307">
        <f t="shared" ca="1" si="247"/>
        <v>1369.8592967280126</v>
      </c>
      <c r="L520" s="304">
        <f t="shared" ca="1" si="232"/>
        <v>1448.6757493277848</v>
      </c>
      <c r="M520" s="306">
        <f t="shared" ca="1" si="248"/>
        <v>0.29640805650694707</v>
      </c>
      <c r="N520" s="304">
        <f t="shared" ca="1" si="249"/>
        <v>16.982930651523287</v>
      </c>
      <c r="P520" s="310">
        <f t="shared" ca="1" si="250"/>
        <v>23</v>
      </c>
      <c r="Q520" s="304">
        <f t="shared" ca="1" si="251"/>
        <v>0</v>
      </c>
      <c r="R520" s="306">
        <f t="shared" ca="1" si="252"/>
        <v>0</v>
      </c>
      <c r="S520" s="307">
        <f t="shared" ca="1" si="253"/>
        <v>7.8079999999999892</v>
      </c>
      <c r="T520" s="304">
        <f t="shared" ca="1" si="233"/>
        <v>76.5964799999999</v>
      </c>
      <c r="U520" s="311">
        <f t="shared" ca="1" si="234"/>
        <v>0</v>
      </c>
      <c r="V520" s="306">
        <f t="shared" ca="1" si="235"/>
        <v>1.0679491167731976</v>
      </c>
      <c r="W520" s="304">
        <f t="shared" ca="1" si="236"/>
        <v>2.6197812934938636</v>
      </c>
      <c r="Y520" s="314" t="str">
        <f t="shared" ca="1" si="254"/>
        <v/>
      </c>
      <c r="Z520" s="315" t="str">
        <f t="shared" ca="1" si="255"/>
        <v>Para</v>
      </c>
      <c r="AA520" s="316" t="str">
        <f t="shared" ca="1" si="256"/>
        <v/>
      </c>
      <c r="AC520" s="310" t="e">
        <f t="shared" ca="1" si="257"/>
        <v>#N/A</v>
      </c>
      <c r="AD520" s="323" t="e">
        <f t="shared" ca="1" si="258"/>
        <v>#N/A</v>
      </c>
      <c r="AE520" s="324">
        <f t="shared" ca="1" si="237"/>
        <v>1369.8592967280126</v>
      </c>
      <c r="AG520" s="306">
        <f t="shared" ca="1" si="259"/>
        <v>-3.5248761899899934</v>
      </c>
      <c r="AH520" s="304">
        <f t="shared" ca="1" si="260"/>
        <v>-0.34384164804930711</v>
      </c>
    </row>
    <row r="521" spans="1:34" x14ac:dyDescent="0.2">
      <c r="A521" s="347">
        <f t="shared" ca="1" si="238"/>
        <v>0.1</v>
      </c>
      <c r="B521" s="304">
        <f t="shared" ca="1" si="239"/>
        <v>15.699999999999918</v>
      </c>
      <c r="D521" s="306">
        <f t="shared" ca="1" si="240"/>
        <v>-0.32089362043558833</v>
      </c>
      <c r="E521" s="307">
        <f t="shared" ca="1" si="241"/>
        <v>-9.9080024995183678</v>
      </c>
      <c r="F521" s="304">
        <f t="shared" ca="1" si="242"/>
        <v>9.913197579292893</v>
      </c>
      <c r="G521" s="306">
        <f t="shared" ca="1" si="243"/>
        <v>26.210841511747983</v>
      </c>
      <c r="H521" s="307">
        <f t="shared" ca="1" si="244"/>
        <v>7.0239206934816973</v>
      </c>
      <c r="I521" s="304">
        <f t="shared" ca="1" si="245"/>
        <v>27.135653201319695</v>
      </c>
      <c r="J521" s="306">
        <f t="shared" ca="1" si="246"/>
        <v>473.94734727640036</v>
      </c>
      <c r="K521" s="307">
        <f t="shared" ca="1" si="247"/>
        <v>1370.6112288098584</v>
      </c>
      <c r="L521" s="304">
        <f t="shared" ca="1" si="232"/>
        <v>1450.2417827831355</v>
      </c>
      <c r="M521" s="306">
        <f t="shared" ca="1" si="248"/>
        <v>0.26182597379031025</v>
      </c>
      <c r="N521" s="304">
        <f t="shared" ca="1" si="249"/>
        <v>15.001523265087688</v>
      </c>
      <c r="P521" s="310">
        <f t="shared" ca="1" si="250"/>
        <v>23</v>
      </c>
      <c r="Q521" s="304">
        <f t="shared" ca="1" si="251"/>
        <v>0</v>
      </c>
      <c r="R521" s="306">
        <f t="shared" ca="1" si="252"/>
        <v>0</v>
      </c>
      <c r="S521" s="307">
        <f t="shared" ca="1" si="253"/>
        <v>7.8079999999999892</v>
      </c>
      <c r="T521" s="304">
        <f t="shared" ca="1" si="233"/>
        <v>76.5964799999999</v>
      </c>
      <c r="U521" s="311">
        <f t="shared" ca="1" si="234"/>
        <v>0</v>
      </c>
      <c r="V521" s="306">
        <f t="shared" ca="1" si="235"/>
        <v>1.067868438593969</v>
      </c>
      <c r="W521" s="304">
        <f t="shared" ca="1" si="236"/>
        <v>2.5618860944477975</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-3.2008967069326619</v>
      </c>
      <c r="AH521" s="304">
        <f t="shared" ca="1" si="260"/>
        <v>-0.33552526812165306</v>
      </c>
    </row>
    <row r="522" spans="1:34" x14ac:dyDescent="0.2">
      <c r="A522" s="347">
        <f t="shared" ca="1" si="238"/>
        <v>0.1</v>
      </c>
      <c r="B522" s="304">
        <f t="shared" ca="1" si="239"/>
        <v>15.799999999999917</v>
      </c>
      <c r="D522" s="306">
        <f t="shared" ca="1" si="240"/>
        <v>-0.31692806269537949</v>
      </c>
      <c r="E522" s="307">
        <f t="shared" ca="1" si="241"/>
        <v>-9.8949296493175698</v>
      </c>
      <c r="F522" s="304">
        <f t="shared" ca="1" si="242"/>
        <v>9.9000038465582314</v>
      </c>
      <c r="G522" s="306">
        <f t="shared" ca="1" si="243"/>
        <v>26.179148705478443</v>
      </c>
      <c r="H522" s="307">
        <f t="shared" ca="1" si="244"/>
        <v>6.0344277285499404</v>
      </c>
      <c r="I522" s="304">
        <f t="shared" ca="1" si="245"/>
        <v>26.865631296410029</v>
      </c>
      <c r="J522" s="306">
        <f t="shared" ca="1" si="246"/>
        <v>476.56684678726168</v>
      </c>
      <c r="K522" s="307">
        <f t="shared" ca="1" si="247"/>
        <v>1371.26414623096</v>
      </c>
      <c r="L522" s="304">
        <f t="shared" ca="1" si="232"/>
        <v>1451.716679726205</v>
      </c>
      <c r="M522" s="306">
        <f t="shared" ca="1" si="248"/>
        <v>0.22654807359974927</v>
      </c>
      <c r="N522" s="304">
        <f t="shared" ca="1" si="249"/>
        <v>12.98024847408478</v>
      </c>
      <c r="P522" s="310">
        <f t="shared" ca="1" si="250"/>
        <v>23</v>
      </c>
      <c r="Q522" s="304">
        <f t="shared" ca="1" si="251"/>
        <v>0</v>
      </c>
      <c r="R522" s="306">
        <f t="shared" ca="1" si="252"/>
        <v>0</v>
      </c>
      <c r="S522" s="307">
        <f t="shared" ca="1" si="253"/>
        <v>7.8079999999999892</v>
      </c>
      <c r="T522" s="304">
        <f t="shared" ca="1" si="233"/>
        <v>76.5964799999999</v>
      </c>
      <c r="U522" s="311">
        <f t="shared" ca="1" si="234"/>
        <v>0</v>
      </c>
      <c r="V522" s="306">
        <f t="shared" ca="1" si="235"/>
        <v>1.0677983887486437</v>
      </c>
      <c r="W522" s="304">
        <f t="shared" ca="1" si="236"/>
        <v>2.5109893262559089</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-2.8673771649814985</v>
      </c>
      <c r="AH522" s="304">
        <f t="shared" ca="1" si="260"/>
        <v>-0.32811041168644994</v>
      </c>
    </row>
    <row r="523" spans="1:34" x14ac:dyDescent="0.2">
      <c r="A523" s="347">
        <f t="shared" ca="1" si="238"/>
        <v>0.1</v>
      </c>
      <c r="B523" s="304">
        <f t="shared" ca="1" si="239"/>
        <v>15.899999999999917</v>
      </c>
      <c r="D523" s="306">
        <f t="shared" ca="1" si="240"/>
        <v>-0.3133744117929721</v>
      </c>
      <c r="E523" s="307">
        <f t="shared" ca="1" si="241"/>
        <v>-9.8822344053741453</v>
      </c>
      <c r="F523" s="304">
        <f t="shared" ca="1" si="242"/>
        <v>9.8872018470711467</v>
      </c>
      <c r="G523" s="306">
        <f t="shared" ca="1" si="243"/>
        <v>26.147811264299147</v>
      </c>
      <c r="H523" s="307">
        <f t="shared" ca="1" si="244"/>
        <v>5.0462042880125253</v>
      </c>
      <c r="I523" s="304">
        <f t="shared" ca="1" si="245"/>
        <v>26.630287486802793</v>
      </c>
      <c r="J523" s="306">
        <f t="shared" ca="1" si="246"/>
        <v>479.18319478575057</v>
      </c>
      <c r="K523" s="307">
        <f t="shared" ca="1" si="247"/>
        <v>1371.818177831788</v>
      </c>
      <c r="L523" s="304">
        <f t="shared" ca="1" si="232"/>
        <v>1453.1007009821467</v>
      </c>
      <c r="M523" s="306">
        <f t="shared" ca="1" si="248"/>
        <v>0.19064389999015183</v>
      </c>
      <c r="N523" s="304">
        <f t="shared" ca="1" si="249"/>
        <v>10.923090859349855</v>
      </c>
      <c r="P523" s="310">
        <f t="shared" ca="1" si="250"/>
        <v>23</v>
      </c>
      <c r="Q523" s="304">
        <f t="shared" ca="1" si="251"/>
        <v>0</v>
      </c>
      <c r="R523" s="306">
        <f t="shared" ca="1" si="252"/>
        <v>0</v>
      </c>
      <c r="S523" s="307">
        <f t="shared" ca="1" si="253"/>
        <v>7.8079999999999892</v>
      </c>
      <c r="T523" s="304">
        <f t="shared" ca="1" si="233"/>
        <v>76.5964799999999</v>
      </c>
      <c r="U523" s="311">
        <f t="shared" ca="1" si="234"/>
        <v>0</v>
      </c>
      <c r="V523" s="306">
        <f t="shared" ca="1" si="235"/>
        <v>1.0677389514676821</v>
      </c>
      <c r="W523" s="304">
        <f t="shared" ca="1" si="236"/>
        <v>2.4670519854715924</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-2.525066464814655</v>
      </c>
      <c r="AH523" s="304">
        <f t="shared" ca="1" si="260"/>
        <v>-0.32159187067826744</v>
      </c>
    </row>
    <row r="524" spans="1:34" x14ac:dyDescent="0.2">
      <c r="A524" s="347">
        <f t="shared" ca="1" si="238"/>
        <v>0.1</v>
      </c>
      <c r="B524" s="304">
        <f t="shared" ca="1" si="239"/>
        <v>15.999999999999917</v>
      </c>
      <c r="D524" s="306">
        <f t="shared" ca="1" si="240"/>
        <v>-0.31024013663752131</v>
      </c>
      <c r="E524" s="307">
        <f t="shared" ca="1" si="241"/>
        <v>-9.8698725106277383</v>
      </c>
      <c r="F524" s="304">
        <f t="shared" ca="1" si="242"/>
        <v>9.8747472027604815</v>
      </c>
      <c r="G524" s="306">
        <f t="shared" ca="1" si="243"/>
        <v>26.116787250635394</v>
      </c>
      <c r="H524" s="307">
        <f t="shared" ca="1" si="244"/>
        <v>4.0592170369497511</v>
      </c>
      <c r="I524" s="304">
        <f t="shared" ca="1" si="245"/>
        <v>26.430357909949205</v>
      </c>
      <c r="J524" s="306">
        <f t="shared" ca="1" si="246"/>
        <v>481.79642471149731</v>
      </c>
      <c r="K524" s="307">
        <f t="shared" ca="1" si="247"/>
        <v>1372.2734488980361</v>
      </c>
      <c r="L524" s="304">
        <f t="shared" ca="1" si="232"/>
        <v>1454.3941052600883</v>
      </c>
      <c r="M524" s="306">
        <f t="shared" ca="1" si="248"/>
        <v>0.15419187727632272</v>
      </c>
      <c r="N524" s="304">
        <f t="shared" ca="1" si="249"/>
        <v>8.8345438031324353</v>
      </c>
      <c r="P524" s="310">
        <f t="shared" ca="1" si="250"/>
        <v>23</v>
      </c>
      <c r="Q524" s="304">
        <f t="shared" ca="1" si="251"/>
        <v>0</v>
      </c>
      <c r="R524" s="306">
        <f t="shared" ca="1" si="252"/>
        <v>0</v>
      </c>
      <c r="S524" s="307">
        <f t="shared" ca="1" si="253"/>
        <v>7.8079999999999892</v>
      </c>
      <c r="T524" s="304">
        <f t="shared" ca="1" si="233"/>
        <v>76.5964799999999</v>
      </c>
      <c r="U524" s="311">
        <f t="shared" ca="1" si="234"/>
        <v>0</v>
      </c>
      <c r="V524" s="306">
        <f t="shared" ca="1" si="235"/>
        <v>1.0676901116608382</v>
      </c>
      <c r="W524" s="304">
        <f t="shared" ca="1" si="236"/>
        <v>2.4300365957414853</v>
      </c>
      <c r="Y524" s="314" t="str">
        <f t="shared" ca="1" si="254"/>
        <v/>
      </c>
      <c r="Z524" s="315" t="str">
        <f t="shared" ca="1" si="255"/>
        <v/>
      </c>
      <c r="AA524" s="316" t="str">
        <f t="shared" ca="1" si="256"/>
        <v/>
      </c>
      <c r="AC524" s="310">
        <f t="shared" ca="1" si="257"/>
        <v>15.999999999999917</v>
      </c>
      <c r="AD524" s="323">
        <f t="shared" ca="1" si="258"/>
        <v>481.79642471149731</v>
      </c>
      <c r="AE524" s="324" t="e">
        <f t="shared" ca="1" si="237"/>
        <v>#N/A</v>
      </c>
      <c r="AG524" s="306">
        <f t="shared" ca="1" si="259"/>
        <v>-2.1748730107918353</v>
      </c>
      <c r="AH524" s="304">
        <f t="shared" ca="1" si="260"/>
        <v>-0.31596464977863675</v>
      </c>
    </row>
    <row r="525" spans="1:34" x14ac:dyDescent="0.2">
      <c r="A525" s="347">
        <f t="shared" ca="1" si="238"/>
        <v>0.1</v>
      </c>
      <c r="B525" s="304">
        <f t="shared" ca="1" si="239"/>
        <v>16.099999999999916</v>
      </c>
      <c r="D525" s="306">
        <f t="shared" ca="1" si="240"/>
        <v>-0.30753157779965978</v>
      </c>
      <c r="E525" s="307">
        <f t="shared" ca="1" si="241"/>
        <v>-9.8577982765653562</v>
      </c>
      <c r="F525" s="304">
        <f t="shared" ca="1" si="242"/>
        <v>9.8625941076776975</v>
      </c>
      <c r="G525" s="306">
        <f t="shared" ca="1" si="243"/>
        <v>26.086034092855428</v>
      </c>
      <c r="H525" s="307">
        <f t="shared" ca="1" si="244"/>
        <v>3.0734372092932154</v>
      </c>
      <c r="I525" s="304">
        <f t="shared" ca="1" si="245"/>
        <v>26.266465140423517</v>
      </c>
      <c r="J525" s="306">
        <f t="shared" ca="1" si="246"/>
        <v>484.40656577867185</v>
      </c>
      <c r="K525" s="307">
        <f t="shared" ca="1" si="247"/>
        <v>1372.6300816103483</v>
      </c>
      <c r="L525" s="304">
        <f t="shared" ca="1" si="232"/>
        <v>1455.5971495956971</v>
      </c>
      <c r="M525" s="306">
        <f t="shared" ca="1" si="248"/>
        <v>0.11727859057624108</v>
      </c>
      <c r="N525" s="304">
        <f t="shared" ca="1" si="249"/>
        <v>6.7195682672613639</v>
      </c>
      <c r="P525" s="310">
        <f t="shared" ca="1" si="250"/>
        <v>23</v>
      </c>
      <c r="Q525" s="304">
        <f t="shared" ca="1" si="251"/>
        <v>0</v>
      </c>
      <c r="R525" s="306">
        <f t="shared" ca="1" si="252"/>
        <v>0</v>
      </c>
      <c r="S525" s="307">
        <f t="shared" ca="1" si="253"/>
        <v>7.8079999999999892</v>
      </c>
      <c r="T525" s="304">
        <f t="shared" ca="1" si="233"/>
        <v>76.5964799999999</v>
      </c>
      <c r="U525" s="311">
        <f t="shared" ca="1" si="234"/>
        <v>0</v>
      </c>
      <c r="V525" s="306">
        <f t="shared" ca="1" si="235"/>
        <v>1.0676518548674585</v>
      </c>
      <c r="W525" s="304">
        <f t="shared" ca="1" si="236"/>
        <v>2.3999070711286752</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-1.817859586502522</v>
      </c>
      <c r="AH525" s="304">
        <f t="shared" ca="1" si="260"/>
        <v>-0.31122394924967839</v>
      </c>
    </row>
    <row r="526" spans="1:34" x14ac:dyDescent="0.2">
      <c r="A526" s="347">
        <f t="shared" ca="1" si="238"/>
        <v>0.1</v>
      </c>
      <c r="B526" s="304">
        <f t="shared" ca="1" si="239"/>
        <v>16.199999999999918</v>
      </c>
      <c r="D526" s="306">
        <f t="shared" ca="1" si="240"/>
        <v>-0.30525377784691615</v>
      </c>
      <c r="E526" s="307">
        <f t="shared" ca="1" si="241"/>
        <v>-9.8459647739389027</v>
      </c>
      <c r="F526" s="304">
        <f t="shared" ca="1" si="242"/>
        <v>9.8506955185172362</v>
      </c>
      <c r="G526" s="306">
        <f t="shared" ca="1" si="243"/>
        <v>26.055508715070737</v>
      </c>
      <c r="H526" s="307">
        <f t="shared" ca="1" si="244"/>
        <v>2.088840731899325</v>
      </c>
      <c r="I526" s="304">
        <f t="shared" ca="1" si="245"/>
        <v>26.139104613669705</v>
      </c>
      <c r="J526" s="306">
        <f t="shared" ca="1" si="246"/>
        <v>487.01364291906816</v>
      </c>
      <c r="K526" s="307">
        <f t="shared" ca="1" si="247"/>
        <v>1372.888195507408</v>
      </c>
      <c r="L526" s="304">
        <f t="shared" ca="1" si="232"/>
        <v>1456.71008980953</v>
      </c>
      <c r="M526" s="306">
        <f t="shared" ca="1" si="248"/>
        <v>7.9997781124289166E-2</v>
      </c>
      <c r="N526" s="304">
        <f t="shared" ca="1" si="249"/>
        <v>4.5835352288330906</v>
      </c>
      <c r="P526" s="310">
        <f t="shared" ca="1" si="250"/>
        <v>23</v>
      </c>
      <c r="Q526" s="304">
        <f t="shared" ca="1" si="251"/>
        <v>0</v>
      </c>
      <c r="R526" s="306">
        <f t="shared" ca="1" si="252"/>
        <v>0</v>
      </c>
      <c r="S526" s="307">
        <f t="shared" ca="1" si="253"/>
        <v>7.8079999999999892</v>
      </c>
      <c r="T526" s="304">
        <f t="shared" ca="1" si="233"/>
        <v>76.5964799999999</v>
      </c>
      <c r="U526" s="311">
        <f t="shared" ca="1" si="234"/>
        <v>0</v>
      </c>
      <c r="V526" s="306">
        <f t="shared" ca="1" si="235"/>
        <v>1.0676241672054332</v>
      </c>
      <c r="W526" s="304">
        <f t="shared" ca="1" si="236"/>
        <v>2.3766285772100364</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-1.4552325464866622</v>
      </c>
      <c r="AH526" s="304">
        <f t="shared" ca="1" si="260"/>
        <v>-0.3073651474293902</v>
      </c>
    </row>
    <row r="527" spans="1:34" x14ac:dyDescent="0.2">
      <c r="A527" s="347">
        <f t="shared" ca="1" si="238"/>
        <v>0.1</v>
      </c>
      <c r="B527" s="304">
        <f t="shared" ca="1" si="239"/>
        <v>16.299999999999919</v>
      </c>
      <c r="D527" s="306">
        <f t="shared" ca="1" si="240"/>
        <v>-0.30341032818011265</v>
      </c>
      <c r="E527" s="307">
        <f t="shared" ca="1" si="241"/>
        <v>-9.8343240636332308</v>
      </c>
      <c r="F527" s="304">
        <f t="shared" ca="1" si="242"/>
        <v>9.8390033852927399</v>
      </c>
      <c r="G527" s="306">
        <f t="shared" ca="1" si="243"/>
        <v>26.025167682252725</v>
      </c>
      <c r="H527" s="307">
        <f t="shared" ca="1" si="244"/>
        <v>1.1054083255360019</v>
      </c>
      <c r="I527" s="304">
        <f t="shared" ca="1" si="245"/>
        <v>26.048632986311123</v>
      </c>
      <c r="J527" s="306">
        <f t="shared" ca="1" si="246"/>
        <v>489.61767673893434</v>
      </c>
      <c r="K527" s="307">
        <f t="shared" ca="1" si="247"/>
        <v>1373.0479079602799</v>
      </c>
      <c r="L527" s="304">
        <f t="shared" ca="1" si="232"/>
        <v>1457.7331809797474</v>
      </c>
      <c r="M527" s="306">
        <f t="shared" ca="1" si="248"/>
        <v>4.2449074885337057E-2</v>
      </c>
      <c r="N527" s="304">
        <f t="shared" ca="1" si="249"/>
        <v>2.4321528351645925</v>
      </c>
      <c r="P527" s="310">
        <f t="shared" ca="1" si="250"/>
        <v>23</v>
      </c>
      <c r="Q527" s="304">
        <f t="shared" ca="1" si="251"/>
        <v>0</v>
      </c>
      <c r="R527" s="306">
        <f t="shared" ca="1" si="252"/>
        <v>0</v>
      </c>
      <c r="S527" s="307">
        <f t="shared" ca="1" si="253"/>
        <v>7.8079999999999892</v>
      </c>
      <c r="T527" s="304">
        <f t="shared" ca="1" si="233"/>
        <v>76.5964799999999</v>
      </c>
      <c r="U527" s="311">
        <f t="shared" ca="1" si="234"/>
        <v>0</v>
      </c>
      <c r="V527" s="306">
        <f t="shared" ca="1" si="235"/>
        <v>1.0676070353190106</v>
      </c>
      <c r="W527" s="304">
        <f t="shared" ca="1" si="236"/>
        <v>2.3601673904759846</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-1.0883252332245954</v>
      </c>
      <c r="AH527" s="304">
        <f t="shared" ca="1" si="260"/>
        <v>-0.30438378294185958</v>
      </c>
    </row>
    <row r="528" spans="1:34" x14ac:dyDescent="0.2">
      <c r="A528" s="347">
        <f t="shared" ca="1" si="238"/>
        <v>0.1</v>
      </c>
      <c r="B528" s="304">
        <f t="shared" ca="1" si="239"/>
        <v>16.39999999999992</v>
      </c>
      <c r="D528" s="306">
        <f t="shared" ca="1" si="240"/>
        <v>-0.30200323881624919</v>
      </c>
      <c r="E528" s="307">
        <f t="shared" ca="1" si="241"/>
        <v>-9.8228274637305795</v>
      </c>
      <c r="F528" s="304">
        <f t="shared" ca="1" si="242"/>
        <v>9.8274689182146613</v>
      </c>
      <c r="G528" s="306">
        <f t="shared" ca="1" si="243"/>
        <v>25.994967358371099</v>
      </c>
      <c r="H528" s="307">
        <f t="shared" ca="1" si="244"/>
        <v>0.12312557916294387</v>
      </c>
      <c r="I528" s="304">
        <f t="shared" ca="1" si="245"/>
        <v>25.995258949874362</v>
      </c>
      <c r="J528" s="306">
        <f t="shared" ca="1" si="246"/>
        <v>492.21868349096553</v>
      </c>
      <c r="K528" s="307">
        <f t="shared" ca="1" si="247"/>
        <v>1373.1093346555149</v>
      </c>
      <c r="L528" s="304">
        <f t="shared" ca="1" si="232"/>
        <v>1458.6666779273771</v>
      </c>
      <c r="M528" s="306">
        <f t="shared" ca="1" si="248"/>
        <v>4.7364805933730473E-3</v>
      </c>
      <c r="N528" s="304">
        <f t="shared" ca="1" si="249"/>
        <v>0.27138034774589542</v>
      </c>
      <c r="P528" s="310">
        <f t="shared" ca="1" si="250"/>
        <v>23</v>
      </c>
      <c r="Q528" s="304">
        <f t="shared" ca="1" si="251"/>
        <v>0</v>
      </c>
      <c r="R528" s="306">
        <f t="shared" ca="1" si="252"/>
        <v>0</v>
      </c>
      <c r="S528" s="307">
        <f t="shared" ca="1" si="253"/>
        <v>7.8079999999999892</v>
      </c>
      <c r="T528" s="304">
        <f t="shared" ca="1" si="233"/>
        <v>76.5964799999999</v>
      </c>
      <c r="U528" s="311">
        <f t="shared" ca="1" si="234"/>
        <v>0</v>
      </c>
      <c r="V528" s="306">
        <f t="shared" ca="1" si="235"/>
        <v>1.0676004463257369</v>
      </c>
      <c r="W528" s="304">
        <f t="shared" ca="1" si="236"/>
        <v>2.3504907566646089</v>
      </c>
      <c r="Y528" s="314" t="str">
        <f t="shared" ca="1" si="254"/>
        <v>Apogée</v>
      </c>
      <c r="Z528" s="315" t="str">
        <f t="shared" ca="1" si="255"/>
        <v/>
      </c>
      <c r="AA528" s="316" t="str">
        <f t="shared" ca="1" si="256"/>
        <v/>
      </c>
      <c r="AC528" s="310" t="e">
        <f t="shared" ca="1" si="257"/>
        <v>#N/A</v>
      </c>
      <c r="AD528" s="323" t="e">
        <f t="shared" ca="1" si="258"/>
        <v>#N/A</v>
      </c>
      <c r="AE528" s="324" t="e">
        <f t="shared" ca="1" si="237"/>
        <v>#N/A</v>
      </c>
      <c r="AG528" s="306">
        <f t="shared" ca="1" si="259"/>
        <v>-0.71857591142399946</v>
      </c>
      <c r="AH528" s="304">
        <f t="shared" ca="1" si="260"/>
        <v>-0.30227553669005991</v>
      </c>
    </row>
    <row r="529" spans="1:34" x14ac:dyDescent="0.2">
      <c r="A529" s="347">
        <f t="shared" ca="1" si="238"/>
        <v>0.1</v>
      </c>
      <c r="B529" s="304">
        <f t="shared" ca="1" si="239"/>
        <v>16.499999999999922</v>
      </c>
      <c r="D529" s="306">
        <f t="shared" ca="1" si="240"/>
        <v>-0.30103283695788186</v>
      </c>
      <c r="E529" s="307">
        <f t="shared" ca="1" si="241"/>
        <v>-9.8114258468528366</v>
      </c>
      <c r="F529" s="304">
        <f t="shared" ca="1" si="242"/>
        <v>9.8160428848502299</v>
      </c>
      <c r="G529" s="306">
        <f t="shared" ca="1" si="243"/>
        <v>25.964864074675312</v>
      </c>
      <c r="H529" s="307">
        <f t="shared" ca="1" si="244"/>
        <v>-0.85801700552233984</v>
      </c>
      <c r="I529" s="304">
        <f t="shared" ca="1" si="245"/>
        <v>25.979036925916446</v>
      </c>
      <c r="J529" s="306">
        <f t="shared" ca="1" si="246"/>
        <v>494.81667506261783</v>
      </c>
      <c r="K529" s="307">
        <f t="shared" ca="1" si="247"/>
        <v>1373.0725900841969</v>
      </c>
      <c r="L529" s="304">
        <f t="shared" ca="1" si="232"/>
        <v>1459.5108357119345</v>
      </c>
      <c r="M529" s="306">
        <f t="shared" ca="1" si="248"/>
        <v>-3.3033290351865974E-2</v>
      </c>
      <c r="N529" s="304">
        <f t="shared" ca="1" si="249"/>
        <v>-1.8926681205921425</v>
      </c>
      <c r="P529" s="310">
        <f t="shared" ca="1" si="250"/>
        <v>23</v>
      </c>
      <c r="Q529" s="304">
        <f t="shared" ca="1" si="251"/>
        <v>0</v>
      </c>
      <c r="R529" s="306">
        <f t="shared" ca="1" si="252"/>
        <v>0</v>
      </c>
      <c r="S529" s="307">
        <f t="shared" ca="1" si="253"/>
        <v>7.8079999999999892</v>
      </c>
      <c r="T529" s="304">
        <f t="shared" ca="1" si="233"/>
        <v>76.5964799999999</v>
      </c>
      <c r="U529" s="311">
        <f t="shared" ca="1" si="234"/>
        <v>0</v>
      </c>
      <c r="V529" s="306">
        <f t="shared" ca="1" si="235"/>
        <v>1.0676043877628065</v>
      </c>
      <c r="W529" s="304">
        <f t="shared" ca="1" si="236"/>
        <v>2.3475667487517957</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-0.34750091459926308</v>
      </c>
      <c r="AH529" s="304">
        <f t="shared" ca="1" si="260"/>
        <v>-0.30103621371216854</v>
      </c>
    </row>
    <row r="530" spans="1:34" x14ac:dyDescent="0.2">
      <c r="A530" s="347">
        <f t="shared" ca="1" si="238"/>
        <v>0.1</v>
      </c>
      <c r="B530" s="304">
        <f t="shared" ca="1" si="239"/>
        <v>16.599999999999923</v>
      </c>
      <c r="D530" s="306">
        <f t="shared" ca="1" si="240"/>
        <v>-0.30049769913272989</v>
      </c>
      <c r="E530" s="307">
        <f t="shared" ca="1" si="241"/>
        <v>-9.800069960110914</v>
      </c>
      <c r="F530" s="304">
        <f t="shared" ca="1" si="242"/>
        <v>9.8046759298944917</v>
      </c>
      <c r="G530" s="306">
        <f t="shared" ca="1" si="243"/>
        <v>25.934814304762039</v>
      </c>
      <c r="H530" s="307">
        <f t="shared" ca="1" si="244"/>
        <v>-1.8380240015334313</v>
      </c>
      <c r="I530" s="304">
        <f t="shared" ca="1" si="245"/>
        <v>25.999863946811388</v>
      </c>
      <c r="J530" s="306">
        <f t="shared" ca="1" si="246"/>
        <v>497.41165898158971</v>
      </c>
      <c r="K530" s="307">
        <f t="shared" ca="1" si="247"/>
        <v>1372.9377880338441</v>
      </c>
      <c r="L530" s="304">
        <f t="shared" ca="1" si="232"/>
        <v>1460.2659101348911</v>
      </c>
      <c r="M530" s="306">
        <f t="shared" ca="1" si="248"/>
        <v>-7.0752616454506187E-2</v>
      </c>
      <c r="N530" s="304">
        <f t="shared" ca="1" si="249"/>
        <v>-4.0538263123510667</v>
      </c>
      <c r="P530" s="310">
        <f t="shared" ca="1" si="250"/>
        <v>23</v>
      </c>
      <c r="Q530" s="304">
        <f t="shared" ca="1" si="251"/>
        <v>0</v>
      </c>
      <c r="R530" s="306">
        <f t="shared" ca="1" si="252"/>
        <v>0</v>
      </c>
      <c r="S530" s="307">
        <f t="shared" ca="1" si="253"/>
        <v>7.8079999999999892</v>
      </c>
      <c r="T530" s="304">
        <f t="shared" ca="1" si="233"/>
        <v>76.5964799999999</v>
      </c>
      <c r="U530" s="311">
        <f t="shared" ca="1" si="234"/>
        <v>0</v>
      </c>
      <c r="V530" s="306">
        <f t="shared" ca="1" si="235"/>
        <v>1.0676188475331565</v>
      </c>
      <c r="W530" s="304">
        <f t="shared" ca="1" si="236"/>
        <v>2.3513641253896402</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2.333592157702391E-2</v>
      </c>
      <c r="AH530" s="304">
        <f t="shared" ca="1" si="260"/>
        <v>-0.30066172499382671</v>
      </c>
    </row>
    <row r="531" spans="1:34" x14ac:dyDescent="0.2">
      <c r="A531" s="347">
        <f t="shared" ca="1" si="238"/>
        <v>0.1</v>
      </c>
      <c r="B531" s="304">
        <f t="shared" ca="1" si="239"/>
        <v>16.699999999999925</v>
      </c>
      <c r="D531" s="306">
        <f t="shared" ca="1" si="240"/>
        <v>-0.30039462023691177</v>
      </c>
      <c r="E531" s="307">
        <f t="shared" ca="1" si="241"/>
        <v>-9.7887107586181727</v>
      </c>
      <c r="F531" s="304">
        <f t="shared" ca="1" si="242"/>
        <v>9.7933189085087218</v>
      </c>
      <c r="G531" s="306">
        <f t="shared" ca="1" si="243"/>
        <v>25.904774842738348</v>
      </c>
      <c r="H531" s="307">
        <f t="shared" ca="1" si="244"/>
        <v>-2.8168950773952486</v>
      </c>
      <c r="I531" s="304">
        <f t="shared" ca="1" si="245"/>
        <v>26.057479876803573</v>
      </c>
      <c r="J531" s="306">
        <f t="shared" ca="1" si="246"/>
        <v>500.00363843896474</v>
      </c>
      <c r="K531" s="307">
        <f t="shared" ca="1" si="247"/>
        <v>1372.7050420798976</v>
      </c>
      <c r="L531" s="304">
        <f t="shared" ca="1" si="232"/>
        <v>1460.9321582482112</v>
      </c>
      <c r="M531" s="306">
        <f t="shared" ca="1" si="248"/>
        <v>-0.10831479685233457</v>
      </c>
      <c r="N531" s="304">
        <f t="shared" ca="1" si="249"/>
        <v>-6.205980718455665</v>
      </c>
      <c r="P531" s="310">
        <f t="shared" ca="1" si="250"/>
        <v>23</v>
      </c>
      <c r="Q531" s="304">
        <f t="shared" ca="1" si="251"/>
        <v>0</v>
      </c>
      <c r="R531" s="306">
        <f t="shared" ca="1" si="252"/>
        <v>0</v>
      </c>
      <c r="S531" s="307">
        <f t="shared" ca="1" si="253"/>
        <v>7.8079999999999892</v>
      </c>
      <c r="T531" s="304">
        <f t="shared" ca="1" si="233"/>
        <v>76.5964799999999</v>
      </c>
      <c r="U531" s="311">
        <f t="shared" ca="1" si="234"/>
        <v>0</v>
      </c>
      <c r="V531" s="306">
        <f t="shared" ca="1" si="235"/>
        <v>1.0676438138516291</v>
      </c>
      <c r="W531" s="304">
        <f t="shared" ca="1" si="236"/>
        <v>2.3618521906328964</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0.39235615406618202</v>
      </c>
      <c r="AH531" s="304">
        <f t="shared" ca="1" si="260"/>
        <v>-0.30114806933781296</v>
      </c>
    </row>
    <row r="532" spans="1:34" x14ac:dyDescent="0.2">
      <c r="A532" s="347">
        <f t="shared" ca="1" si="238"/>
        <v>0.1</v>
      </c>
      <c r="B532" s="304">
        <f t="shared" ca="1" si="239"/>
        <v>16.799999999999926</v>
      </c>
      <c r="D532" s="306">
        <f t="shared" ca="1" si="240"/>
        <v>-0.30071862107671338</v>
      </c>
      <c r="E532" s="307">
        <f t="shared" ca="1" si="241"/>
        <v>-9.7772997426715893</v>
      </c>
      <c r="F532" s="304">
        <f t="shared" ca="1" si="242"/>
        <v>9.7819232233292563</v>
      </c>
      <c r="G532" s="306">
        <f t="shared" ca="1" si="243"/>
        <v>25.874702980630676</v>
      </c>
      <c r="H532" s="307">
        <f t="shared" ca="1" si="244"/>
        <v>-3.7946250516624076</v>
      </c>
      <c r="I532" s="304">
        <f t="shared" ca="1" si="245"/>
        <v>26.151470964719401</v>
      </c>
      <c r="J532" s="306">
        <f t="shared" ca="1" si="246"/>
        <v>502.59261233013319</v>
      </c>
      <c r="K532" s="307">
        <f t="shared" ca="1" si="247"/>
        <v>1372.3744660734446</v>
      </c>
      <c r="L532" s="304">
        <f t="shared" ca="1" si="232"/>
        <v>1461.5098388650006</v>
      </c>
      <c r="M532" s="306">
        <f t="shared" ca="1" si="248"/>
        <v>-0.14561584292988761</v>
      </c>
      <c r="N532" s="304">
        <f t="shared" ca="1" si="249"/>
        <v>-8.343173230122467</v>
      </c>
      <c r="P532" s="310">
        <f t="shared" ca="1" si="250"/>
        <v>23</v>
      </c>
      <c r="Q532" s="304">
        <f t="shared" ca="1" si="251"/>
        <v>0</v>
      </c>
      <c r="R532" s="306">
        <f t="shared" ca="1" si="252"/>
        <v>0</v>
      </c>
      <c r="S532" s="307">
        <f t="shared" ca="1" si="253"/>
        <v>7.8079999999999892</v>
      </c>
      <c r="T532" s="304">
        <f t="shared" ca="1" si="233"/>
        <v>76.5964799999999</v>
      </c>
      <c r="U532" s="311">
        <f t="shared" ca="1" si="234"/>
        <v>0</v>
      </c>
      <c r="V532" s="306">
        <f t="shared" ca="1" si="235"/>
        <v>1.067679275191566</v>
      </c>
      <c r="W532" s="304">
        <f t="shared" ca="1" si="236"/>
        <v>2.3790006558147807</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0.75800036836721585</v>
      </c>
      <c r="AH532" s="304">
        <f t="shared" ca="1" si="260"/>
        <v>-0.30249131539868079</v>
      </c>
    </row>
    <row r="533" spans="1:34" x14ac:dyDescent="0.2">
      <c r="A533" s="347">
        <f t="shared" ca="1" si="238"/>
        <v>0.1</v>
      </c>
      <c r="B533" s="304">
        <f t="shared" ca="1" si="239"/>
        <v>16.899999999999928</v>
      </c>
      <c r="D533" s="306">
        <f t="shared" ca="1" si="240"/>
        <v>-0.30146299412113942</v>
      </c>
      <c r="E533" s="307">
        <f t="shared" ca="1" si="241"/>
        <v>-9.76578928846072</v>
      </c>
      <c r="F533" s="304">
        <f t="shared" ca="1" si="242"/>
        <v>9.7704411550061856</v>
      </c>
      <c r="G533" s="306">
        <f t="shared" ca="1" si="243"/>
        <v>25.844556681218563</v>
      </c>
      <c r="H533" s="307">
        <f t="shared" ca="1" si="244"/>
        <v>-4.7712039805084796</v>
      </c>
      <c r="I533" s="304">
        <f t="shared" ca="1" si="245"/>
        <v>26.281276557129775</v>
      </c>
      <c r="J533" s="306">
        <f t="shared" ca="1" si="246"/>
        <v>505.17857531322568</v>
      </c>
      <c r="K533" s="307">
        <f t="shared" ca="1" si="247"/>
        <v>1371.946174621836</v>
      </c>
      <c r="L533" s="304">
        <f t="shared" ca="1" si="232"/>
        <v>1461.9992130692101</v>
      </c>
      <c r="M533" s="306">
        <f t="shared" ca="1" si="248"/>
        <v>-0.18255615659391508</v>
      </c>
      <c r="N533" s="304">
        <f t="shared" ca="1" si="249"/>
        <v>-10.459697296960687</v>
      </c>
      <c r="P533" s="310">
        <f t="shared" ca="1" si="250"/>
        <v>23</v>
      </c>
      <c r="Q533" s="304">
        <f t="shared" ca="1" si="251"/>
        <v>0</v>
      </c>
      <c r="R533" s="306">
        <f t="shared" ca="1" si="252"/>
        <v>0</v>
      </c>
      <c r="S533" s="307">
        <f t="shared" ca="1" si="253"/>
        <v>7.8079999999999892</v>
      </c>
      <c r="T533" s="304">
        <f t="shared" ca="1" si="233"/>
        <v>76.5964799999999</v>
      </c>
      <c r="U533" s="311">
        <f t="shared" ca="1" si="234"/>
        <v>0</v>
      </c>
      <c r="V533" s="306">
        <f t="shared" ca="1" si="235"/>
        <v>1.0677252202321732</v>
      </c>
      <c r="W533" s="304">
        <f t="shared" ca="1" si="236"/>
        <v>2.4027795044277318</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1.118760902214025</v>
      </c>
      <c r="AH533" s="304">
        <f t="shared" ca="1" si="260"/>
        <v>-0.30468758399267215</v>
      </c>
    </row>
    <row r="534" spans="1:34" x14ac:dyDescent="0.2">
      <c r="A534" s="347">
        <f t="shared" ca="1" si="238"/>
        <v>0.1</v>
      </c>
      <c r="B534" s="304">
        <f t="shared" ca="1" si="239"/>
        <v>16.999999999999929</v>
      </c>
      <c r="D534" s="306">
        <f t="shared" ca="1" si="240"/>
        <v>-0.30261938531452304</v>
      </c>
      <c r="E534" s="307">
        <f t="shared" ca="1" si="241"/>
        <v>-9.7541329625576072</v>
      </c>
      <c r="F534" s="304">
        <f t="shared" ca="1" si="242"/>
        <v>9.7588261765245612</v>
      </c>
      <c r="G534" s="306">
        <f t="shared" ca="1" si="243"/>
        <v>25.81429474268711</v>
      </c>
      <c r="H534" s="307">
        <f t="shared" ca="1" si="244"/>
        <v>-5.7466172767642405</v>
      </c>
      <c r="I534" s="304">
        <f t="shared" ca="1" si="245"/>
        <v>26.446198652886366</v>
      </c>
      <c r="J534" s="306">
        <f t="shared" ca="1" si="246"/>
        <v>507.76151788442098</v>
      </c>
      <c r="K534" s="307">
        <f t="shared" ca="1" si="247"/>
        <v>1371.4202835589724</v>
      </c>
      <c r="L534" s="304">
        <f t="shared" ca="1" si="232"/>
        <v>1462.4005447213372</v>
      </c>
      <c r="M534" s="306">
        <f t="shared" ca="1" si="248"/>
        <v>-0.21904202969473402</v>
      </c>
      <c r="N534" s="304">
        <f t="shared" ca="1" si="249"/>
        <v>-12.550183837487511</v>
      </c>
      <c r="P534" s="310">
        <f t="shared" ca="1" si="250"/>
        <v>23</v>
      </c>
      <c r="Q534" s="304">
        <f t="shared" ca="1" si="251"/>
        <v>0</v>
      </c>
      <c r="R534" s="306">
        <f t="shared" ca="1" si="252"/>
        <v>0</v>
      </c>
      <c r="S534" s="307">
        <f t="shared" ca="1" si="253"/>
        <v>7.8079999999999892</v>
      </c>
      <c r="T534" s="304">
        <f t="shared" ca="1" si="233"/>
        <v>76.5964799999999</v>
      </c>
      <c r="U534" s="311">
        <f t="shared" ca="1" si="234"/>
        <v>0</v>
      </c>
      <c r="V534" s="306">
        <f t="shared" ca="1" si="235"/>
        <v>1.0677816378069964</v>
      </c>
      <c r="W534" s="304">
        <f t="shared" ca="1" si="236"/>
        <v>2.4331588608321209</v>
      </c>
      <c r="Y534" s="314" t="str">
        <f t="shared" ca="1" si="254"/>
        <v/>
      </c>
      <c r="Z534" s="315" t="str">
        <f t="shared" ca="1" si="255"/>
        <v/>
      </c>
      <c r="AA534" s="316" t="str">
        <f t="shared" ca="1" si="256"/>
        <v/>
      </c>
      <c r="AC534" s="310">
        <f t="shared" ca="1" si="257"/>
        <v>16.999999999999929</v>
      </c>
      <c r="AD534" s="323">
        <f t="shared" ca="1" si="258"/>
        <v>507.76151788442098</v>
      </c>
      <c r="AE534" s="324" t="e">
        <f t="shared" ca="1" si="237"/>
        <v>#N/A</v>
      </c>
      <c r="AG534" s="306">
        <f t="shared" ca="1" si="259"/>
        <v>1.4732120822442869</v>
      </c>
      <c r="AH534" s="304">
        <f t="shared" ca="1" si="260"/>
        <v>-0.30773303079248659</v>
      </c>
    </row>
    <row r="535" spans="1:34" x14ac:dyDescent="0.2">
      <c r="A535" s="347">
        <f t="shared" ca="1" si="238"/>
        <v>0.1</v>
      </c>
      <c r="B535" s="304">
        <f t="shared" ca="1" si="239"/>
        <v>17.09999999999993</v>
      </c>
      <c r="D535" s="306">
        <f t="shared" ca="1" si="240"/>
        <v>-0.30417790811677603</v>
      </c>
      <c r="E535" s="307">
        <f t="shared" ca="1" si="241"/>
        <v>-9.7422858114305431</v>
      </c>
      <c r="F535" s="304">
        <f t="shared" ca="1" si="242"/>
        <v>9.7470332425506356</v>
      </c>
      <c r="G535" s="306">
        <f t="shared" ca="1" si="243"/>
        <v>25.783876951875431</v>
      </c>
      <c r="H535" s="307">
        <f t="shared" ca="1" si="244"/>
        <v>-6.7208458579072952</v>
      </c>
      <c r="I535" s="304">
        <f t="shared" ca="1" si="245"/>
        <v>26.645413858958968</v>
      </c>
      <c r="J535" s="306">
        <f t="shared" ca="1" si="246"/>
        <v>510.3414264691491</v>
      </c>
      <c r="K535" s="307">
        <f t="shared" ca="1" si="247"/>
        <v>1370.7969104022388</v>
      </c>
      <c r="L535" s="304">
        <f t="shared" ca="1" si="232"/>
        <v>1462.7141009571519</v>
      </c>
      <c r="M535" s="306">
        <f t="shared" ca="1" si="248"/>
        <v>-0.25498691237341214</v>
      </c>
      <c r="N535" s="304">
        <f t="shared" ca="1" si="249"/>
        <v>-14.609673910068665</v>
      </c>
      <c r="P535" s="310">
        <f t="shared" ca="1" si="250"/>
        <v>23</v>
      </c>
      <c r="Q535" s="304">
        <f t="shared" ca="1" si="251"/>
        <v>0</v>
      </c>
      <c r="R535" s="306">
        <f t="shared" ca="1" si="252"/>
        <v>0</v>
      </c>
      <c r="S535" s="307">
        <f t="shared" ca="1" si="253"/>
        <v>7.8079999999999892</v>
      </c>
      <c r="T535" s="304">
        <f t="shared" ca="1" si="233"/>
        <v>76.5964799999999</v>
      </c>
      <c r="U535" s="311">
        <f t="shared" ca="1" si="234"/>
        <v>0</v>
      </c>
      <c r="V535" s="306">
        <f t="shared" ca="1" si="235"/>
        <v>1.0678485168538214</v>
      </c>
      <c r="W535" s="304">
        <f t="shared" ca="1" si="236"/>
        <v>2.4701088635586226</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1.8200366115584685</v>
      </c>
      <c r="AH535" s="304">
        <f t="shared" ca="1" si="260"/>
        <v>-0.31162382951231099</v>
      </c>
    </row>
    <row r="536" spans="1:34" x14ac:dyDescent="0.2">
      <c r="A536" s="347">
        <f t="shared" ca="1" si="238"/>
        <v>0.1</v>
      </c>
      <c r="B536" s="304">
        <f t="shared" ca="1" si="239"/>
        <v>17.199999999999932</v>
      </c>
      <c r="D536" s="306">
        <f t="shared" ca="1" si="240"/>
        <v>-0.30612728457618671</v>
      </c>
      <c r="E536" s="307">
        <f t="shared" ca="1" si="241"/>
        <v>-9.7302046187089566</v>
      </c>
      <c r="F536" s="304">
        <f t="shared" ca="1" si="242"/>
        <v>9.7350190465302688</v>
      </c>
      <c r="G536" s="306">
        <f t="shared" ca="1" si="243"/>
        <v>25.753264223417812</v>
      </c>
      <c r="H536" s="307">
        <f t="shared" ca="1" si="244"/>
        <v>-7.6938663197781914</v>
      </c>
      <c r="I536" s="304">
        <f t="shared" ca="1" si="245"/>
        <v>26.877987222033369</v>
      </c>
      <c r="J536" s="306">
        <f t="shared" ca="1" si="246"/>
        <v>512.91828352791379</v>
      </c>
      <c r="K536" s="307">
        <f t="shared" ca="1" si="247"/>
        <v>1370.0761747933545</v>
      </c>
      <c r="L536" s="304">
        <f t="shared" ca="1" si="232"/>
        <v>1462.9401526766608</v>
      </c>
      <c r="M536" s="306">
        <f t="shared" ca="1" si="248"/>
        <v>-0.29031241445309947</v>
      </c>
      <c r="N536" s="304">
        <f t="shared" ca="1" si="249"/>
        <v>-16.63367608841536</v>
      </c>
      <c r="P536" s="310">
        <f t="shared" ca="1" si="250"/>
        <v>23</v>
      </c>
      <c r="Q536" s="304">
        <f t="shared" ca="1" si="251"/>
        <v>0</v>
      </c>
      <c r="R536" s="306">
        <f t="shared" ca="1" si="252"/>
        <v>0</v>
      </c>
      <c r="S536" s="307">
        <f t="shared" ca="1" si="253"/>
        <v>7.8079999999999892</v>
      </c>
      <c r="T536" s="304">
        <f t="shared" ca="1" si="233"/>
        <v>76.5964799999999</v>
      </c>
      <c r="U536" s="311">
        <f t="shared" ca="1" si="234"/>
        <v>0</v>
      </c>
      <c r="V536" s="306">
        <f t="shared" ca="1" si="235"/>
        <v>1.0679258463662835</v>
      </c>
      <c r="W536" s="304">
        <f t="shared" ca="1" si="236"/>
        <v>2.5135995438913832</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2.1580470648903995</v>
      </c>
      <c r="AH536" s="304">
        <f t="shared" ca="1" si="260"/>
        <v>-0.31635615568117648</v>
      </c>
    </row>
    <row r="537" spans="1:34" x14ac:dyDescent="0.2">
      <c r="A537" s="347">
        <f t="shared" ca="1" si="238"/>
        <v>0.1</v>
      </c>
      <c r="B537" s="304">
        <f t="shared" ca="1" si="239"/>
        <v>17.299999999999933</v>
      </c>
      <c r="D537" s="306">
        <f t="shared" ca="1" si="240"/>
        <v>-0.30845500729257885</v>
      </c>
      <c r="E537" s="307">
        <f t="shared" ca="1" si="241"/>
        <v>-9.7178481247585964</v>
      </c>
      <c r="F537" s="304">
        <f t="shared" ca="1" si="242"/>
        <v>9.7227422400986256</v>
      </c>
      <c r="G537" s="306">
        <f t="shared" ca="1" si="243"/>
        <v>25.722418722688555</v>
      </c>
      <c r="H537" s="307">
        <f t="shared" ca="1" si="244"/>
        <v>-8.6656511322540517</v>
      </c>
      <c r="I537" s="304">
        <f t="shared" ca="1" si="245"/>
        <v>27.142887364671701</v>
      </c>
      <c r="J537" s="306">
        <f t="shared" ca="1" si="246"/>
        <v>515.49206767521912</v>
      </c>
      <c r="K537" s="307">
        <f t="shared" ca="1" si="247"/>
        <v>1369.2581989207529</v>
      </c>
      <c r="L537" s="304">
        <f t="shared" ca="1" si="232"/>
        <v>1463.0789750207528</v>
      </c>
      <c r="M537" s="306">
        <f t="shared" ca="1" si="248"/>
        <v>-0.32494902158745465</v>
      </c>
      <c r="N537" s="304">
        <f t="shared" ca="1" si="249"/>
        <v>-18.618207493866631</v>
      </c>
      <c r="P537" s="310">
        <f t="shared" ca="1" si="250"/>
        <v>23</v>
      </c>
      <c r="Q537" s="304">
        <f t="shared" ca="1" si="251"/>
        <v>0</v>
      </c>
      <c r="R537" s="306">
        <f t="shared" ca="1" si="252"/>
        <v>0</v>
      </c>
      <c r="S537" s="307">
        <f t="shared" ca="1" si="253"/>
        <v>7.8079999999999892</v>
      </c>
      <c r="T537" s="304">
        <f t="shared" ca="1" si="233"/>
        <v>76.5964799999999</v>
      </c>
      <c r="U537" s="311">
        <f t="shared" ca="1" si="234"/>
        <v>0</v>
      </c>
      <c r="V537" s="306">
        <f t="shared" ca="1" si="235"/>
        <v>1.0680136153474307</v>
      </c>
      <c r="W537" s="304">
        <f t="shared" ca="1" si="236"/>
        <v>2.5636007103239615</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2.486201832448911</v>
      </c>
      <c r="AH537" s="304">
        <f t="shared" ca="1" si="260"/>
        <v>-0.32192617109264687</v>
      </c>
    </row>
    <row r="538" spans="1:34" x14ac:dyDescent="0.2">
      <c r="A538" s="347">
        <f t="shared" ca="1" si="238"/>
        <v>0.1</v>
      </c>
      <c r="B538" s="304">
        <f t="shared" ca="1" si="239"/>
        <v>17.399999999999935</v>
      </c>
      <c r="D538" s="306">
        <f t="shared" ca="1" si="240"/>
        <v>-0.31114751564292331</v>
      </c>
      <c r="E538" s="307">
        <f t="shared" ca="1" si="241"/>
        <v>-9.7051772051338681</v>
      </c>
      <c r="F538" s="304">
        <f t="shared" ca="1" si="242"/>
        <v>9.7101636113682872</v>
      </c>
      <c r="G538" s="306">
        <f t="shared" ca="1" si="243"/>
        <v>25.691303971124263</v>
      </c>
      <c r="H538" s="307">
        <f t="shared" ca="1" si="244"/>
        <v>-9.6361688527674385</v>
      </c>
      <c r="I538" s="304">
        <f t="shared" ca="1" si="245"/>
        <v>27.439002348768998</v>
      </c>
      <c r="J538" s="306">
        <f t="shared" ca="1" si="246"/>
        <v>518.06275380990974</v>
      </c>
      <c r="K538" s="307">
        <f t="shared" ca="1" si="247"/>
        <v>1368.3431079215018</v>
      </c>
      <c r="L538" s="304">
        <f t="shared" ca="1" si="232"/>
        <v>1463.1308478332967</v>
      </c>
      <c r="M538" s="306">
        <f t="shared" ca="1" si="248"/>
        <v>-0.35883652498248381</v>
      </c>
      <c r="N538" s="304">
        <f t="shared" ca="1" si="249"/>
        <v>-20.55981841663705</v>
      </c>
      <c r="P538" s="310">
        <f t="shared" ca="1" si="250"/>
        <v>23</v>
      </c>
      <c r="Q538" s="304">
        <f t="shared" ca="1" si="251"/>
        <v>0</v>
      </c>
      <c r="R538" s="306">
        <f t="shared" ca="1" si="252"/>
        <v>0</v>
      </c>
      <c r="S538" s="307">
        <f t="shared" ca="1" si="253"/>
        <v>7.8079999999999892</v>
      </c>
      <c r="T538" s="304">
        <f t="shared" ca="1" si="233"/>
        <v>76.5964799999999</v>
      </c>
      <c r="U538" s="311">
        <f t="shared" ca="1" si="234"/>
        <v>0</v>
      </c>
      <c r="V538" s="306">
        <f t="shared" ca="1" si="235"/>
        <v>1.068111812765451</v>
      </c>
      <c r="W538" s="304">
        <f t="shared" ca="1" si="236"/>
        <v>2.6200818393735799</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2.8036152577323046</v>
      </c>
      <c r="AH538" s="304">
        <f t="shared" ca="1" si="260"/>
        <v>-0.32833000900665538</v>
      </c>
    </row>
    <row r="539" spans="1:34" x14ac:dyDescent="0.2">
      <c r="A539" s="347">
        <f t="shared" ca="1" si="238"/>
        <v>0.1</v>
      </c>
      <c r="B539" s="304">
        <f t="shared" ca="1" si="239"/>
        <v>17.499999999999936</v>
      </c>
      <c r="D539" s="306">
        <f t="shared" ca="1" si="240"/>
        <v>-0.31419037961110646</v>
      </c>
      <c r="E539" s="307">
        <f t="shared" ca="1" si="241"/>
        <v>-9.6921550064858302</v>
      </c>
      <c r="F539" s="304">
        <f t="shared" ca="1" si="242"/>
        <v>9.6972462206746357</v>
      </c>
      <c r="G539" s="306">
        <f t="shared" ca="1" si="243"/>
        <v>25.659884933163152</v>
      </c>
      <c r="H539" s="307">
        <f t="shared" ca="1" si="244"/>
        <v>-10.605384353416021</v>
      </c>
      <c r="I539" s="304">
        <f t="shared" ca="1" si="245"/>
        <v>27.765155718397377</v>
      </c>
      <c r="J539" s="306">
        <f t="shared" ca="1" si="246"/>
        <v>520.63031325512407</v>
      </c>
      <c r="K539" s="307">
        <f t="shared" ca="1" si="247"/>
        <v>1367.3310302611926</v>
      </c>
      <c r="L539" s="304">
        <f t="shared" ca="1" si="232"/>
        <v>1463.0960561067966</v>
      </c>
      <c r="M539" s="306">
        <f t="shared" ca="1" si="248"/>
        <v>-0.39192417864573692</v>
      </c>
      <c r="N539" s="304">
        <f t="shared" ca="1" si="249"/>
        <v>-22.455601325532029</v>
      </c>
      <c r="P539" s="310">
        <f t="shared" ca="1" si="250"/>
        <v>23</v>
      </c>
      <c r="Q539" s="304">
        <f t="shared" ca="1" si="251"/>
        <v>0</v>
      </c>
      <c r="R539" s="306">
        <f t="shared" ca="1" si="252"/>
        <v>0</v>
      </c>
      <c r="S539" s="307">
        <f t="shared" ca="1" si="253"/>
        <v>7.8079999999999892</v>
      </c>
      <c r="T539" s="304">
        <f t="shared" ca="1" si="233"/>
        <v>76.5964799999999</v>
      </c>
      <c r="U539" s="311">
        <f t="shared" ca="1" si="234"/>
        <v>0</v>
      </c>
      <c r="V539" s="306">
        <f t="shared" ca="1" si="235"/>
        <v>1.0682204275117193</v>
      </c>
      <c r="W539" s="304">
        <f t="shared" ca="1" si="236"/>
        <v>2.6830119731268587</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3.1095620955085046</v>
      </c>
      <c r="AH539" s="304">
        <f t="shared" ca="1" si="260"/>
        <v>-0.33556376016567413</v>
      </c>
    </row>
    <row r="540" spans="1:34" x14ac:dyDescent="0.2">
      <c r="A540" s="347">
        <f t="shared" ca="1" si="238"/>
        <v>0.1</v>
      </c>
      <c r="B540" s="304">
        <f t="shared" ca="1" si="239"/>
        <v>17.599999999999937</v>
      </c>
      <c r="D540" s="306">
        <f t="shared" ca="1" si="240"/>
        <v>-0.31756848493748729</v>
      </c>
      <c r="E540" s="307">
        <f t="shared" ca="1" si="241"/>
        <v>-9.6787470403680071</v>
      </c>
      <c r="F540" s="304">
        <f t="shared" ca="1" si="242"/>
        <v>9.6839554942212498</v>
      </c>
      <c r="G540" s="306">
        <f t="shared" ca="1" si="243"/>
        <v>25.628128084669402</v>
      </c>
      <c r="H540" s="307">
        <f t="shared" ca="1" si="244"/>
        <v>-11.573259057452821</v>
      </c>
      <c r="I540" s="304">
        <f t="shared" ca="1" si="245"/>
        <v>28.120122231866887</v>
      </c>
      <c r="J540" s="306">
        <f t="shared" ca="1" si="246"/>
        <v>523.19471390601575</v>
      </c>
      <c r="K540" s="307">
        <f t="shared" ca="1" si="247"/>
        <v>1366.2220980906491</v>
      </c>
      <c r="L540" s="304">
        <f t="shared" ca="1" si="232"/>
        <v>1462.9748904100893</v>
      </c>
      <c r="M540" s="306">
        <f t="shared" ca="1" si="248"/>
        <v>-0.42417061024406411</v>
      </c>
      <c r="N540" s="304">
        <f t="shared" ca="1" si="249"/>
        <v>-24.303185760473475</v>
      </c>
      <c r="P540" s="310">
        <f t="shared" ca="1" si="250"/>
        <v>23</v>
      </c>
      <c r="Q540" s="304">
        <f t="shared" ca="1" si="251"/>
        <v>0</v>
      </c>
      <c r="R540" s="306">
        <f t="shared" ca="1" si="252"/>
        <v>0</v>
      </c>
      <c r="S540" s="307">
        <f t="shared" ca="1" si="253"/>
        <v>7.8079999999999892</v>
      </c>
      <c r="T540" s="304">
        <f t="shared" ca="1" si="233"/>
        <v>76.5964799999999</v>
      </c>
      <c r="U540" s="311">
        <f t="shared" ca="1" si="234"/>
        <v>0</v>
      </c>
      <c r="V540" s="306">
        <f t="shared" ca="1" si="235"/>
        <v>1.0683394483612894</v>
      </c>
      <c r="W540" s="304">
        <f t="shared" ca="1" si="236"/>
        <v>2.7523596237772145</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3.4034767389429965</v>
      </c>
      <c r="AH540" s="304">
        <f t="shared" ca="1" si="260"/>
        <v>-0.34362345967301006</v>
      </c>
    </row>
    <row r="541" spans="1:34" x14ac:dyDescent="0.2">
      <c r="A541" s="347">
        <f t="shared" ca="1" si="238"/>
        <v>0.1</v>
      </c>
      <c r="B541" s="304">
        <f t="shared" ca="1" si="239"/>
        <v>17.699999999999939</v>
      </c>
      <c r="D541" s="306">
        <f t="shared" ca="1" si="240"/>
        <v>-0.32126621399871941</v>
      </c>
      <c r="E541" s="307">
        <f t="shared" ca="1" si="241"/>
        <v>-9.6649212369810815</v>
      </c>
      <c r="F541" s="304">
        <f t="shared" ca="1" si="242"/>
        <v>9.6702592776670162</v>
      </c>
      <c r="G541" s="306">
        <f t="shared" ca="1" si="243"/>
        <v>25.596001463269531</v>
      </c>
      <c r="H541" s="307">
        <f t="shared" ca="1" si="244"/>
        <v>-12.53975118115093</v>
      </c>
      <c r="I541" s="304">
        <f t="shared" ca="1" si="245"/>
        <v>28.502642870317693</v>
      </c>
      <c r="J541" s="306">
        <f t="shared" ca="1" si="246"/>
        <v>525.75592038341267</v>
      </c>
      <c r="K541" s="307">
        <f t="shared" ca="1" si="247"/>
        <v>1365.016447578719</v>
      </c>
      <c r="L541" s="304">
        <f t="shared" ca="1" si="232"/>
        <v>1462.7676472969433</v>
      </c>
      <c r="M541" s="306">
        <f t="shared" ca="1" si="248"/>
        <v>-0.45554352021637995</v>
      </c>
      <c r="N541" s="304">
        <f t="shared" ca="1" si="249"/>
        <v>-26.100721092931064</v>
      </c>
      <c r="P541" s="310">
        <f t="shared" ca="1" si="250"/>
        <v>23</v>
      </c>
      <c r="Q541" s="304">
        <f t="shared" ca="1" si="251"/>
        <v>0</v>
      </c>
      <c r="R541" s="306">
        <f t="shared" ca="1" si="252"/>
        <v>0</v>
      </c>
      <c r="S541" s="307">
        <f t="shared" ca="1" si="253"/>
        <v>7.8079999999999892</v>
      </c>
      <c r="T541" s="304">
        <f t="shared" ca="1" si="233"/>
        <v>76.5964799999999</v>
      </c>
      <c r="U541" s="311">
        <f t="shared" ca="1" si="234"/>
        <v>0</v>
      </c>
      <c r="V541" s="306">
        <f t="shared" ca="1" si="235"/>
        <v>1.0684688639358915</v>
      </c>
      <c r="W541" s="304">
        <f t="shared" ca="1" si="236"/>
        <v>2.8280926853050214</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3.6849479070327664</v>
      </c>
      <c r="AH541" s="304">
        <f t="shared" ca="1" si="260"/>
        <v>-0.35250507476654946</v>
      </c>
    </row>
    <row r="542" spans="1:34" x14ac:dyDescent="0.2">
      <c r="A542" s="347">
        <f t="shared" ca="1" si="238"/>
        <v>0.1</v>
      </c>
      <c r="B542" s="304">
        <f t="shared" ca="1" si="239"/>
        <v>17.79999999999994</v>
      </c>
      <c r="D542" s="306">
        <f t="shared" ca="1" si="240"/>
        <v>-0.32526761774328061</v>
      </c>
      <c r="E542" s="307">
        <f t="shared" ca="1" si="241"/>
        <v>-9.6506479621577022</v>
      </c>
      <c r="F542" s="304">
        <f t="shared" ca="1" si="242"/>
        <v>9.6561278529569492</v>
      </c>
      <c r="G542" s="306">
        <f t="shared" ca="1" si="243"/>
        <v>25.563474701495203</v>
      </c>
      <c r="H542" s="307">
        <f t="shared" ca="1" si="244"/>
        <v>-13.5048159773667</v>
      </c>
      <c r="I542" s="304">
        <f t="shared" ca="1" si="245"/>
        <v>28.911438798450071</v>
      </c>
      <c r="J542" s="306">
        <f t="shared" ca="1" si="246"/>
        <v>528.31389419165089</v>
      </c>
      <c r="K542" s="307">
        <f t="shared" ca="1" si="247"/>
        <v>1363.714219220793</v>
      </c>
      <c r="L542" s="304">
        <f t="shared" ca="1" si="232"/>
        <v>1462.4746296947937</v>
      </c>
      <c r="M542" s="306">
        <f t="shared" ca="1" si="248"/>
        <v>-0.48601920870878262</v>
      </c>
      <c r="N542" s="304">
        <f t="shared" ca="1" si="249"/>
        <v>-27.846849421301147</v>
      </c>
      <c r="P542" s="310">
        <f t="shared" ca="1" si="250"/>
        <v>23</v>
      </c>
      <c r="Q542" s="304">
        <f t="shared" ca="1" si="251"/>
        <v>0</v>
      </c>
      <c r="R542" s="306">
        <f t="shared" ca="1" si="252"/>
        <v>0</v>
      </c>
      <c r="S542" s="307">
        <f t="shared" ca="1" si="253"/>
        <v>7.8079999999999892</v>
      </c>
      <c r="T542" s="304">
        <f t="shared" ca="1" si="233"/>
        <v>76.5964799999999</v>
      </c>
      <c r="U542" s="311">
        <f t="shared" ca="1" si="234"/>
        <v>0</v>
      </c>
      <c r="V542" s="306">
        <f t="shared" ca="1" si="235"/>
        <v>1.068608662669482</v>
      </c>
      <c r="W542" s="304">
        <f t="shared" ca="1" si="236"/>
        <v>2.9101783523503055</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3.9537096358170656</v>
      </c>
      <c r="AH542" s="304">
        <f t="shared" ca="1" si="260"/>
        <v>-0.36220449350730344</v>
      </c>
    </row>
    <row r="543" spans="1:34" x14ac:dyDescent="0.2">
      <c r="A543" s="347">
        <f t="shared" ca="1" si="238"/>
        <v>0.1</v>
      </c>
      <c r="B543" s="304">
        <f t="shared" ca="1" si="239"/>
        <v>17.899999999999942</v>
      </c>
      <c r="D543" s="306">
        <f t="shared" ca="1" si="240"/>
        <v>-0.32955657503982233</v>
      </c>
      <c r="E543" s="307">
        <f t="shared" ca="1" si="241"/>
        <v>-9.6359000017793477</v>
      </c>
      <c r="F543" s="304">
        <f t="shared" ca="1" si="242"/>
        <v>9.6415339225894545</v>
      </c>
      <c r="G543" s="306">
        <f t="shared" ca="1" si="243"/>
        <v>25.53051904399122</v>
      </c>
      <c r="H543" s="307">
        <f t="shared" ca="1" si="244"/>
        <v>-14.468405977544634</v>
      </c>
      <c r="I543" s="304">
        <f t="shared" ca="1" si="245"/>
        <v>29.345224043899336</v>
      </c>
      <c r="J543" s="306">
        <f t="shared" ca="1" si="246"/>
        <v>530.86859387892525</v>
      </c>
      <c r="K543" s="307">
        <f t="shared" ca="1" si="247"/>
        <v>1362.3155581230474</v>
      </c>
      <c r="L543" s="304">
        <f t="shared" ca="1" si="232"/>
        <v>1462.0961472731872</v>
      </c>
      <c r="M543" s="306">
        <f t="shared" ca="1" si="248"/>
        <v>-0.51558197147527973</v>
      </c>
      <c r="N543" s="304">
        <f t="shared" ca="1" si="249"/>
        <v>-29.540670958567926</v>
      </c>
      <c r="P543" s="310">
        <f t="shared" ca="1" si="250"/>
        <v>23</v>
      </c>
      <c r="Q543" s="304">
        <f t="shared" ca="1" si="251"/>
        <v>0</v>
      </c>
      <c r="R543" s="306">
        <f t="shared" ca="1" si="252"/>
        <v>0</v>
      </c>
      <c r="S543" s="307">
        <f t="shared" ca="1" si="253"/>
        <v>7.8079999999999892</v>
      </c>
      <c r="T543" s="304">
        <f t="shared" ca="1" si="233"/>
        <v>76.5964799999999</v>
      </c>
      <c r="U543" s="311">
        <f t="shared" ca="1" si="234"/>
        <v>0</v>
      </c>
      <c r="V543" s="306">
        <f t="shared" ca="1" si="235"/>
        <v>1.0687588327763324</v>
      </c>
      <c r="W543" s="304">
        <f t="shared" ca="1" si="236"/>
        <v>2.9985830462367637</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4.2096294819516302</v>
      </c>
      <c r="AH543" s="304">
        <f t="shared" ca="1" si="260"/>
        <v>-0.37271751438912776</v>
      </c>
    </row>
    <row r="544" spans="1:34" x14ac:dyDescent="0.2">
      <c r="A544" s="347">
        <f t="shared" ca="1" si="238"/>
        <v>0.1</v>
      </c>
      <c r="B544" s="304">
        <f t="shared" ca="1" si="239"/>
        <v>17.999999999999943</v>
      </c>
      <c r="D544" s="306">
        <f t="shared" ca="1" si="240"/>
        <v>-0.33411693684971722</v>
      </c>
      <c r="E544" s="307">
        <f t="shared" ca="1" si="241"/>
        <v>-9.6206525183453682</v>
      </c>
      <c r="F544" s="304">
        <f t="shared" ca="1" si="242"/>
        <v>9.6264525660408733</v>
      </c>
      <c r="G544" s="306">
        <f t="shared" ca="1" si="243"/>
        <v>25.497107350306248</v>
      </c>
      <c r="H544" s="307">
        <f t="shared" ca="1" si="244"/>
        <v>-15.430471229379171</v>
      </c>
      <c r="I544" s="304">
        <f t="shared" ca="1" si="245"/>
        <v>29.802716748540547</v>
      </c>
      <c r="J544" s="306">
        <f t="shared" ca="1" si="246"/>
        <v>533.41997519864015</v>
      </c>
      <c r="K544" s="307">
        <f t="shared" ca="1" si="247"/>
        <v>1360.8206142627012</v>
      </c>
      <c r="L544" s="304">
        <f t="shared" ca="1" si="232"/>
        <v>1461.6325167918349</v>
      </c>
      <c r="M544" s="306">
        <f t="shared" ca="1" si="248"/>
        <v>-0.54422340467782782</v>
      </c>
      <c r="N544" s="304">
        <f t="shared" ca="1" si="249"/>
        <v>-31.181704200279796</v>
      </c>
      <c r="P544" s="310">
        <f t="shared" ca="1" si="250"/>
        <v>23</v>
      </c>
      <c r="Q544" s="304">
        <f t="shared" ca="1" si="251"/>
        <v>0</v>
      </c>
      <c r="R544" s="306">
        <f t="shared" ca="1" si="252"/>
        <v>0</v>
      </c>
      <c r="S544" s="307">
        <f t="shared" ca="1" si="253"/>
        <v>7.8079999999999892</v>
      </c>
      <c r="T544" s="304">
        <f t="shared" ca="1" si="233"/>
        <v>76.5964799999999</v>
      </c>
      <c r="U544" s="311">
        <f t="shared" ca="1" si="234"/>
        <v>0</v>
      </c>
      <c r="V544" s="306">
        <f t="shared" ca="1" si="235"/>
        <v>1.0689193622216233</v>
      </c>
      <c r="W544" s="304">
        <f t="shared" ca="1" si="236"/>
        <v>3.0932723480272357</v>
      </c>
      <c r="Y544" s="314" t="str">
        <f t="shared" ca="1" si="254"/>
        <v/>
      </c>
      <c r="Z544" s="315" t="str">
        <f t="shared" ca="1" si="255"/>
        <v/>
      </c>
      <c r="AA544" s="316" t="str">
        <f t="shared" ca="1" si="256"/>
        <v/>
      </c>
      <c r="AC544" s="310">
        <f t="shared" ca="1" si="257"/>
        <v>17.999999999999943</v>
      </c>
      <c r="AD544" s="323">
        <f t="shared" ca="1" si="258"/>
        <v>533.41997519864015</v>
      </c>
      <c r="AE544" s="324" t="e">
        <f t="shared" ca="1" si="237"/>
        <v>#N/A</v>
      </c>
      <c r="AG544" s="306">
        <f t="shared" ca="1" si="259"/>
        <v>4.4526948368046506</v>
      </c>
      <c r="AH544" s="304">
        <f t="shared" ca="1" si="260"/>
        <v>-0.38403983686434018</v>
      </c>
    </row>
    <row r="545" spans="1:34" x14ac:dyDescent="0.2">
      <c r="A545" s="347">
        <f t="shared" ca="1" si="238"/>
        <v>0.1</v>
      </c>
      <c r="B545" s="304">
        <f t="shared" ca="1" si="239"/>
        <v>18.099999999999945</v>
      </c>
      <c r="D545" s="306">
        <f t="shared" ca="1" si="240"/>
        <v>-0.3389326536354369</v>
      </c>
      <c r="E545" s="307">
        <f t="shared" ca="1" si="241"/>
        <v>-9.6048829846160597</v>
      </c>
      <c r="F545" s="304">
        <f t="shared" ca="1" si="242"/>
        <v>9.6108611732699298</v>
      </c>
      <c r="G545" s="306">
        <f t="shared" ca="1" si="243"/>
        <v>25.463214084942702</v>
      </c>
      <c r="H545" s="307">
        <f t="shared" ca="1" si="244"/>
        <v>-16.390959527840778</v>
      </c>
      <c r="I545" s="304">
        <f t="shared" ca="1" si="245"/>
        <v>30.282648922756721</v>
      </c>
      <c r="J545" s="306">
        <f t="shared" ca="1" si="246"/>
        <v>535.96799127040265</v>
      </c>
      <c r="K545" s="307">
        <f t="shared" ca="1" si="247"/>
        <v>1359.2295427248403</v>
      </c>
      <c r="L545" s="304">
        <f t="shared" ca="1" si="232"/>
        <v>1461.0840624284453</v>
      </c>
      <c r="M545" s="306">
        <f t="shared" ca="1" si="248"/>
        <v>-0.57194165521716378</v>
      </c>
      <c r="N545" s="304">
        <f t="shared" ca="1" si="249"/>
        <v>-32.769842971669966</v>
      </c>
      <c r="P545" s="310">
        <f t="shared" ca="1" si="250"/>
        <v>23</v>
      </c>
      <c r="Q545" s="304">
        <f t="shared" ca="1" si="251"/>
        <v>0</v>
      </c>
      <c r="R545" s="306">
        <f t="shared" ca="1" si="252"/>
        <v>0</v>
      </c>
      <c r="S545" s="307">
        <f t="shared" ca="1" si="253"/>
        <v>7.8079999999999892</v>
      </c>
      <c r="T545" s="304">
        <f t="shared" ca="1" si="233"/>
        <v>76.5964799999999</v>
      </c>
      <c r="U545" s="311">
        <f t="shared" ca="1" si="234"/>
        <v>0</v>
      </c>
      <c r="V545" s="306">
        <f t="shared" ca="1" si="235"/>
        <v>1.0690902386944887</v>
      </c>
      <c r="W545" s="304">
        <f t="shared" ca="1" si="236"/>
        <v>3.1942109384252175</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4.6829981802997667</v>
      </c>
      <c r="AH545" s="304">
        <f t="shared" ca="1" si="260"/>
        <v>-0.39616705276988218</v>
      </c>
    </row>
    <row r="546" spans="1:34" x14ac:dyDescent="0.2">
      <c r="A546" s="347">
        <f t="shared" ca="1" si="238"/>
        <v>0.1</v>
      </c>
      <c r="B546" s="304">
        <f t="shared" ca="1" si="239"/>
        <v>18.199999999999946</v>
      </c>
      <c r="D546" s="306">
        <f t="shared" ca="1" si="240"/>
        <v>-0.34398788530738605</v>
      </c>
      <c r="E546" s="307">
        <f t="shared" ca="1" si="241"/>
        <v>-9.5885710991812694</v>
      </c>
      <c r="F546" s="304">
        <f t="shared" ca="1" si="242"/>
        <v>9.5947393601542164</v>
      </c>
      <c r="G546" s="306">
        <f t="shared" ca="1" si="243"/>
        <v>25.428815296411965</v>
      </c>
      <c r="H546" s="307">
        <f t="shared" ca="1" si="244"/>
        <v>-17.349816637758906</v>
      </c>
      <c r="I546" s="304">
        <f t="shared" ca="1" si="245"/>
        <v>30.783774699391412</v>
      </c>
      <c r="J546" s="306">
        <f t="shared" ca="1" si="246"/>
        <v>538.51259273947039</v>
      </c>
      <c r="K546" s="307">
        <f t="shared" ca="1" si="247"/>
        <v>1357.5425039165602</v>
      </c>
      <c r="L546" s="304">
        <f t="shared" ca="1" si="232"/>
        <v>1460.4511160867489</v>
      </c>
      <c r="M546" s="306">
        <f t="shared" ca="1" si="248"/>
        <v>-0.59874064854610698</v>
      </c>
      <c r="N546" s="304">
        <f t="shared" ca="1" si="249"/>
        <v>-34.305312184617662</v>
      </c>
      <c r="P546" s="310">
        <f t="shared" ca="1" si="250"/>
        <v>23</v>
      </c>
      <c r="Q546" s="304">
        <f t="shared" ca="1" si="251"/>
        <v>0</v>
      </c>
      <c r="R546" s="306">
        <f t="shared" ca="1" si="252"/>
        <v>0</v>
      </c>
      <c r="S546" s="307">
        <f t="shared" ca="1" si="253"/>
        <v>7.8079999999999892</v>
      </c>
      <c r="T546" s="304">
        <f t="shared" ca="1" si="233"/>
        <v>76.5964799999999</v>
      </c>
      <c r="U546" s="311">
        <f t="shared" ca="1" si="234"/>
        <v>0</v>
      </c>
      <c r="V546" s="306">
        <f t="shared" ca="1" si="235"/>
        <v>1.069271449583413</v>
      </c>
      <c r="W546" s="304">
        <f t="shared" ca="1" si="236"/>
        <v>3.3013625442844772</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4.9007219952535559</v>
      </c>
      <c r="AH546" s="304">
        <f t="shared" ca="1" si="260"/>
        <v>-0.40909463863027945</v>
      </c>
    </row>
    <row r="547" spans="1:34" x14ac:dyDescent="0.2">
      <c r="A547" s="347">
        <f t="shared" ca="1" si="238"/>
        <v>0.1</v>
      </c>
      <c r="B547" s="304">
        <f t="shared" ca="1" si="239"/>
        <v>18.299999999999947</v>
      </c>
      <c r="D547" s="306">
        <f t="shared" ca="1" si="240"/>
        <v>-0.34926709376000153</v>
      </c>
      <c r="E547" s="307">
        <f t="shared" ca="1" si="241"/>
        <v>-9.571698688527027</v>
      </c>
      <c r="F547" s="304">
        <f t="shared" ca="1" si="242"/>
        <v>9.5780688704317409</v>
      </c>
      <c r="G547" s="306">
        <f t="shared" ca="1" si="243"/>
        <v>25.393888587035967</v>
      </c>
      <c r="H547" s="307">
        <f t="shared" ca="1" si="244"/>
        <v>-18.306986506611608</v>
      </c>
      <c r="I547" s="304">
        <f t="shared" ca="1" si="245"/>
        <v>31.304877136383318</v>
      </c>
      <c r="J547" s="306">
        <f t="shared" ca="1" si="246"/>
        <v>541.05372793364279</v>
      </c>
      <c r="K547" s="307">
        <f t="shared" ca="1" si="247"/>
        <v>1355.7596637593417</v>
      </c>
      <c r="L547" s="304">
        <f t="shared" ca="1" si="232"/>
        <v>1459.7340176853234</v>
      </c>
      <c r="M547" s="306">
        <f t="shared" ca="1" si="248"/>
        <v>-0.62462932051443054</v>
      </c>
      <c r="N547" s="304">
        <f t="shared" ca="1" si="249"/>
        <v>-35.788623825601242</v>
      </c>
      <c r="P547" s="310">
        <f t="shared" ca="1" si="250"/>
        <v>23</v>
      </c>
      <c r="Q547" s="304">
        <f t="shared" ca="1" si="251"/>
        <v>0</v>
      </c>
      <c r="R547" s="306">
        <f t="shared" ca="1" si="252"/>
        <v>0</v>
      </c>
      <c r="S547" s="307">
        <f t="shared" ca="1" si="253"/>
        <v>7.8079999999999892</v>
      </c>
      <c r="T547" s="304">
        <f t="shared" ca="1" si="233"/>
        <v>76.5964799999999</v>
      </c>
      <c r="U547" s="311">
        <f t="shared" ca="1" si="234"/>
        <v>0</v>
      </c>
      <c r="V547" s="306">
        <f t="shared" ca="1" si="235"/>
        <v>1.0694629819538966</v>
      </c>
      <c r="W547" s="304">
        <f t="shared" ca="1" si="236"/>
        <v>3.4146898914491208</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5.1061239330273285</v>
      </c>
      <c r="AH547" s="304">
        <f t="shared" ca="1" si="260"/>
        <v>-0.42281794880692647</v>
      </c>
    </row>
    <row r="548" spans="1:34" x14ac:dyDescent="0.2">
      <c r="A548" s="347">
        <f t="shared" ca="1" si="238"/>
        <v>0.1</v>
      </c>
      <c r="B548" s="304">
        <f t="shared" ca="1" si="239"/>
        <v>18.399999999999949</v>
      </c>
      <c r="D548" s="306">
        <f t="shared" ca="1" si="240"/>
        <v>-0.35475511863916609</v>
      </c>
      <c r="E548" s="307">
        <f t="shared" ca="1" si="241"/>
        <v>-9.5542495997484149</v>
      </c>
      <c r="F548" s="304">
        <f t="shared" ca="1" si="242"/>
        <v>9.5608334682962361</v>
      </c>
      <c r="G548" s="306">
        <f t="shared" ca="1" si="243"/>
        <v>25.358413075172049</v>
      </c>
      <c r="H548" s="307">
        <f t="shared" ca="1" si="244"/>
        <v>-19.26241146658645</v>
      </c>
      <c r="I548" s="304">
        <f t="shared" ca="1" si="245"/>
        <v>31.844773655957077</v>
      </c>
      <c r="J548" s="306">
        <f t="shared" ca="1" si="246"/>
        <v>543.59134301675317</v>
      </c>
      <c r="K548" s="307">
        <f t="shared" ca="1" si="247"/>
        <v>1353.8811938606818</v>
      </c>
      <c r="L548" s="304">
        <f t="shared" ca="1" si="232"/>
        <v>1458.9331154279769</v>
      </c>
      <c r="M548" s="306">
        <f t="shared" ca="1" si="248"/>
        <v>-0.6496208742125853</v>
      </c>
      <c r="N548" s="304">
        <f t="shared" ca="1" si="249"/>
        <v>-37.220534375980073</v>
      </c>
      <c r="P548" s="310">
        <f t="shared" ca="1" si="250"/>
        <v>23</v>
      </c>
      <c r="Q548" s="304">
        <f t="shared" ca="1" si="251"/>
        <v>0</v>
      </c>
      <c r="R548" s="306">
        <f t="shared" ca="1" si="252"/>
        <v>0</v>
      </c>
      <c r="S548" s="307">
        <f t="shared" ca="1" si="253"/>
        <v>7.8079999999999892</v>
      </c>
      <c r="T548" s="304">
        <f t="shared" ca="1" si="233"/>
        <v>76.5964799999999</v>
      </c>
      <c r="U548" s="311">
        <f t="shared" ca="1" si="234"/>
        <v>0</v>
      </c>
      <c r="V548" s="306">
        <f t="shared" ca="1" si="235"/>
        <v>1.0696648225282661</v>
      </c>
      <c r="W548" s="304">
        <f t="shared" ca="1" si="236"/>
        <v>3.5341546636181098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5.2995226853062984</v>
      </c>
      <c r="AH548" s="304">
        <f t="shared" ca="1" si="260"/>
        <v>-0.43733220945813595</v>
      </c>
    </row>
    <row r="549" spans="1:34" x14ac:dyDescent="0.2">
      <c r="A549" s="347">
        <f t="shared" ca="1" si="238"/>
        <v>0.1</v>
      </c>
      <c r="B549" s="304">
        <f t="shared" ca="1" si="239"/>
        <v>18.49999999999995</v>
      </c>
      <c r="D549" s="306">
        <f t="shared" ca="1" si="240"/>
        <v>-0.36043723741858474</v>
      </c>
      <c r="E549" s="307">
        <f t="shared" ca="1" si="241"/>
        <v>-9.5362095875457555</v>
      </c>
      <c r="F549" s="304">
        <f t="shared" ca="1" si="242"/>
        <v>9.5430188252836174</v>
      </c>
      <c r="G549" s="306">
        <f t="shared" ca="1" si="243"/>
        <v>25.32236935143019</v>
      </c>
      <c r="H549" s="307">
        <f t="shared" ca="1" si="244"/>
        <v>-20.216032425341027</v>
      </c>
      <c r="I549" s="304">
        <f t="shared" ca="1" si="245"/>
        <v>32.402320234709904</v>
      </c>
      <c r="J549" s="306">
        <f t="shared" ca="1" si="246"/>
        <v>546.1253821380833</v>
      </c>
      <c r="K549" s="307">
        <f t="shared" ca="1" si="247"/>
        <v>1351.9072716660855</v>
      </c>
      <c r="L549" s="304">
        <f t="shared" ca="1" si="232"/>
        <v>1458.0487660565771</v>
      </c>
      <c r="M549" s="306">
        <f t="shared" ca="1" si="248"/>
        <v>-0.67373207743075003</v>
      </c>
      <c r="N549" s="304">
        <f t="shared" ca="1" si="249"/>
        <v>-38.602004559363159</v>
      </c>
      <c r="P549" s="310">
        <f t="shared" ca="1" si="250"/>
        <v>23</v>
      </c>
      <c r="Q549" s="304">
        <f t="shared" ca="1" si="251"/>
        <v>0</v>
      </c>
      <c r="R549" s="306">
        <f t="shared" ca="1" si="252"/>
        <v>0</v>
      </c>
      <c r="S549" s="307">
        <f t="shared" ca="1" si="253"/>
        <v>7.8079999999999892</v>
      </c>
      <c r="T549" s="304">
        <f t="shared" ca="1" si="233"/>
        <v>76.5964799999999</v>
      </c>
      <c r="U549" s="311">
        <f t="shared" ca="1" si="234"/>
        <v>0</v>
      </c>
      <c r="V549" s="306">
        <f t="shared" ca="1" si="235"/>
        <v>1.0698769576675171</v>
      </c>
      <c r="W549" s="304">
        <f t="shared" ca="1" si="236"/>
        <v>3.659717466910327</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5.481284886448746</v>
      </c>
      <c r="AH549" s="304">
        <f t="shared" ca="1" si="260"/>
        <v>-0.45263251327076265</v>
      </c>
    </row>
    <row r="550" spans="1:34" x14ac:dyDescent="0.2">
      <c r="A550" s="347">
        <f t="shared" ca="1" si="238"/>
        <v>0.1</v>
      </c>
      <c r="B550" s="304">
        <f t="shared" ca="1" si="239"/>
        <v>18.599999999999952</v>
      </c>
      <c r="D550" s="306">
        <f t="shared" ca="1" si="240"/>
        <v>-0.36629921115514674</v>
      </c>
      <c r="E550" s="307">
        <f t="shared" ca="1" si="241"/>
        <v>-9.5175661985922719</v>
      </c>
      <c r="F550" s="304">
        <f t="shared" ca="1" si="242"/>
        <v>9.5246124045379936</v>
      </c>
      <c r="G550" s="306">
        <f t="shared" ca="1" si="243"/>
        <v>25.285739430314674</v>
      </c>
      <c r="H550" s="307">
        <f t="shared" ca="1" si="244"/>
        <v>-21.167789045200255</v>
      </c>
      <c r="I550" s="304">
        <f t="shared" ca="1" si="245"/>
        <v>32.976414474588807</v>
      </c>
      <c r="J550" s="306">
        <f t="shared" ca="1" si="246"/>
        <v>548.65578757717049</v>
      </c>
      <c r="K550" s="307">
        <f t="shared" ca="1" si="247"/>
        <v>1349.8380805925585</v>
      </c>
      <c r="L550" s="304">
        <f t="shared" ca="1" si="232"/>
        <v>1457.0813350872793</v>
      </c>
      <c r="M550" s="306">
        <f t="shared" ca="1" si="248"/>
        <v>-0.69698261150706919</v>
      </c>
      <c r="N550" s="304">
        <f t="shared" ca="1" si="249"/>
        <v>-39.934162033361353</v>
      </c>
      <c r="P550" s="310">
        <f t="shared" ca="1" si="250"/>
        <v>23</v>
      </c>
      <c r="Q550" s="304">
        <f t="shared" ca="1" si="251"/>
        <v>0</v>
      </c>
      <c r="R550" s="306">
        <f t="shared" ca="1" si="252"/>
        <v>0</v>
      </c>
      <c r="S550" s="307">
        <f t="shared" ca="1" si="253"/>
        <v>7.8079999999999892</v>
      </c>
      <c r="T550" s="304">
        <f t="shared" ca="1" si="233"/>
        <v>76.5964799999999</v>
      </c>
      <c r="U550" s="311">
        <f t="shared" ca="1" si="234"/>
        <v>0</v>
      </c>
      <c r="V550" s="306">
        <f t="shared" ca="1" si="235"/>
        <v>1.070099373355061</v>
      </c>
      <c r="W550" s="304">
        <f t="shared" ca="1" si="236"/>
        <v>3.791337799797073</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5.651813254005468</v>
      </c>
      <c r="AH550" s="304">
        <f t="shared" ca="1" si="260"/>
        <v>-0.46871381492191755</v>
      </c>
    </row>
    <row r="551" spans="1:34" x14ac:dyDescent="0.2">
      <c r="A551" s="347">
        <f t="shared" ca="1" si="238"/>
        <v>0.1</v>
      </c>
      <c r="B551" s="304">
        <f t="shared" ca="1" si="239"/>
        <v>18.699999999999953</v>
      </c>
      <c r="D551" s="306">
        <f t="shared" ca="1" si="240"/>
        <v>-0.37232731746162229</v>
      </c>
      <c r="E551" s="307">
        <f t="shared" ca="1" si="241"/>
        <v>-9.4983086558131617</v>
      </c>
      <c r="F551" s="304">
        <f t="shared" ca="1" si="242"/>
        <v>9.5056033449972759</v>
      </c>
      <c r="G551" s="306">
        <f t="shared" ca="1" si="243"/>
        <v>25.248506698568512</v>
      </c>
      <c r="H551" s="307">
        <f t="shared" ca="1" si="244"/>
        <v>-22.117619910781571</v>
      </c>
      <c r="I551" s="304">
        <f t="shared" ca="1" si="245"/>
        <v>33.565997691495191</v>
      </c>
      <c r="J551" s="306">
        <f t="shared" ca="1" si="246"/>
        <v>551.1824998836147</v>
      </c>
      <c r="K551" s="307">
        <f t="shared" ca="1" si="247"/>
        <v>1347.6738101447595</v>
      </c>
      <c r="L551" s="304">
        <f t="shared" ca="1" si="232"/>
        <v>1456.0311970311777</v>
      </c>
      <c r="M551" s="306">
        <f t="shared" ca="1" si="248"/>
        <v>-0.71939447816365598</v>
      </c>
      <c r="N551" s="304">
        <f t="shared" ca="1" si="249"/>
        <v>-41.218267403793746</v>
      </c>
      <c r="P551" s="310">
        <f t="shared" ca="1" si="250"/>
        <v>23</v>
      </c>
      <c r="Q551" s="304">
        <f t="shared" ca="1" si="251"/>
        <v>0</v>
      </c>
      <c r="R551" s="306">
        <f t="shared" ca="1" si="252"/>
        <v>0</v>
      </c>
      <c r="S551" s="307">
        <f t="shared" ca="1" si="253"/>
        <v>7.8079999999999892</v>
      </c>
      <c r="T551" s="304">
        <f t="shared" ca="1" si="233"/>
        <v>76.5964799999999</v>
      </c>
      <c r="U551" s="311">
        <f t="shared" ca="1" si="234"/>
        <v>0</v>
      </c>
      <c r="V551" s="306">
        <f t="shared" ca="1" si="235"/>
        <v>1.0703320551822564</v>
      </c>
      <c r="W551" s="304">
        <f t="shared" ca="1" si="236"/>
        <v>3.9289740280671088</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5.8115360761251971</v>
      </c>
      <c r="AH551" s="304">
        <f t="shared" ca="1" si="260"/>
        <v>-0.48557092722810941</v>
      </c>
    </row>
    <row r="552" spans="1:34" x14ac:dyDescent="0.2">
      <c r="A552" s="347">
        <f t="shared" ca="1" si="238"/>
        <v>0.1</v>
      </c>
      <c r="B552" s="304">
        <f t="shared" ca="1" si="239"/>
        <v>18.799999999999955</v>
      </c>
      <c r="D552" s="306">
        <f t="shared" ca="1" si="240"/>
        <v>-0.37850837230170575</v>
      </c>
      <c r="E552" s="307">
        <f t="shared" ca="1" si="241"/>
        <v>-9.4784277445963827</v>
      </c>
      <c r="F552" s="304">
        <f t="shared" ca="1" si="242"/>
        <v>9.4859823475187302</v>
      </c>
      <c r="G552" s="306">
        <f t="shared" ca="1" si="243"/>
        <v>25.210655861338342</v>
      </c>
      <c r="H552" s="307">
        <f t="shared" ca="1" si="244"/>
        <v>-23.065462685241208</v>
      </c>
      <c r="I552" s="304">
        <f t="shared" ca="1" si="245"/>
        <v>34.170056158032402</v>
      </c>
      <c r="J552" s="306">
        <f t="shared" ca="1" si="246"/>
        <v>553.70545801161006</v>
      </c>
      <c r="K552" s="307">
        <f t="shared" ca="1" si="247"/>
        <v>1345.4146560149584</v>
      </c>
      <c r="L552" s="304">
        <f t="shared" ca="1" si="232"/>
        <v>1454.8987356004181</v>
      </c>
      <c r="M552" s="306">
        <f t="shared" ca="1" si="248"/>
        <v>-0.74099146748478451</v>
      </c>
      <c r="N552" s="304">
        <f t="shared" ca="1" si="249"/>
        <v>-42.455683742083522</v>
      </c>
      <c r="P552" s="310">
        <f t="shared" ca="1" si="250"/>
        <v>23</v>
      </c>
      <c r="Q552" s="304">
        <f t="shared" ca="1" si="251"/>
        <v>0</v>
      </c>
      <c r="R552" s="306">
        <f t="shared" ca="1" si="252"/>
        <v>0</v>
      </c>
      <c r="S552" s="307">
        <f t="shared" ca="1" si="253"/>
        <v>7.8079999999999892</v>
      </c>
      <c r="T552" s="304">
        <f t="shared" ca="1" si="233"/>
        <v>76.5964799999999</v>
      </c>
      <c r="U552" s="311">
        <f t="shared" ca="1" si="234"/>
        <v>0</v>
      </c>
      <c r="V552" s="306">
        <f t="shared" ca="1" si="235"/>
        <v>1.0705749883355959</v>
      </c>
      <c r="W552" s="304">
        <f t="shared" ca="1" si="236"/>
        <v>4.0725833644933394</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5.9608980752555389</v>
      </c>
      <c r="AH552" s="304">
        <f t="shared" ca="1" si="260"/>
        <v>-0.50319851793892345</v>
      </c>
    </row>
    <row r="553" spans="1:34" x14ac:dyDescent="0.2">
      <c r="A553" s="347">
        <f t="shared" ca="1" si="238"/>
        <v>0.1</v>
      </c>
      <c r="B553" s="304">
        <f t="shared" ca="1" si="239"/>
        <v>18.899999999999956</v>
      </c>
      <c r="D553" s="306">
        <f t="shared" ca="1" si="240"/>
        <v>-0.38482974220016913</v>
      </c>
      <c r="E553" s="307">
        <f t="shared" ca="1" si="241"/>
        <v>-9.4579157024827296</v>
      </c>
      <c r="F553" s="304">
        <f t="shared" ca="1" si="242"/>
        <v>9.4657415644919887</v>
      </c>
      <c r="G553" s="306">
        <f t="shared" ca="1" si="243"/>
        <v>25.172172887118325</v>
      </c>
      <c r="H553" s="307">
        <f t="shared" ca="1" si="244"/>
        <v>-24.011254255489479</v>
      </c>
      <c r="I553" s="304">
        <f t="shared" ca="1" si="245"/>
        <v>34.787621631562232</v>
      </c>
      <c r="J553" s="306">
        <f t="shared" ca="1" si="246"/>
        <v>556.22459944903289</v>
      </c>
      <c r="K553" s="307">
        <f t="shared" ca="1" si="247"/>
        <v>1343.0608201679217</v>
      </c>
      <c r="L553" s="304">
        <f t="shared" ca="1" si="232"/>
        <v>1453.6843439008235</v>
      </c>
      <c r="M553" s="306">
        <f t="shared" ca="1" si="248"/>
        <v>-0.76179868747196156</v>
      </c>
      <c r="N553" s="304">
        <f t="shared" ca="1" si="249"/>
        <v>-43.647849630749015</v>
      </c>
      <c r="P553" s="310">
        <f t="shared" ca="1" si="250"/>
        <v>23</v>
      </c>
      <c r="Q553" s="304">
        <f t="shared" ca="1" si="251"/>
        <v>0</v>
      </c>
      <c r="R553" s="306">
        <f t="shared" ca="1" si="252"/>
        <v>0</v>
      </c>
      <c r="S553" s="307">
        <f t="shared" ca="1" si="253"/>
        <v>7.8079999999999892</v>
      </c>
      <c r="T553" s="304">
        <f t="shared" ca="1" si="233"/>
        <v>76.5964799999999</v>
      </c>
      <c r="U553" s="311">
        <f t="shared" ca="1" si="234"/>
        <v>0</v>
      </c>
      <c r="V553" s="306">
        <f t="shared" ca="1" si="235"/>
        <v>1.070828157585435</v>
      </c>
      <c r="W553" s="304">
        <f t="shared" ca="1" si="236"/>
        <v>4.2221218528789679</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6.1003526173882445</v>
      </c>
      <c r="AH553" s="304">
        <f t="shared" ca="1" si="260"/>
        <v>-0.52159110713285672</v>
      </c>
    </row>
    <row r="554" spans="1:34" x14ac:dyDescent="0.2">
      <c r="A554" s="347">
        <f t="shared" ca="1" si="238"/>
        <v>0.1</v>
      </c>
      <c r="B554" s="304">
        <f t="shared" ca="1" si="239"/>
        <v>18.999999999999957</v>
      </c>
      <c r="D554" s="306">
        <f t="shared" ca="1" si="240"/>
        <v>-0.39127934839103229</v>
      </c>
      <c r="E554" s="307">
        <f t="shared" ca="1" si="241"/>
        <v>-9.4367661134670193</v>
      </c>
      <c r="F554" s="304">
        <f t="shared" ca="1" si="242"/>
        <v>9.4448744940712022</v>
      </c>
      <c r="G554" s="306">
        <f t="shared" ca="1" si="243"/>
        <v>25.133044952279221</v>
      </c>
      <c r="H554" s="307">
        <f t="shared" ca="1" si="244"/>
        <v>-24.954930866836182</v>
      </c>
      <c r="I554" s="304">
        <f t="shared" ca="1" si="245"/>
        <v>35.417771289874544</v>
      </c>
      <c r="J554" s="306">
        <f t="shared" ca="1" si="246"/>
        <v>558.73986034100278</v>
      </c>
      <c r="K554" s="307">
        <f t="shared" ca="1" si="247"/>
        <v>1340.6125109118054</v>
      </c>
      <c r="L554" s="304">
        <f t="shared" ca="1" si="232"/>
        <v>1452.3884246120729</v>
      </c>
      <c r="M554" s="306">
        <f t="shared" ca="1" si="248"/>
        <v>-0.78184215356142428</v>
      </c>
      <c r="N554" s="304">
        <f t="shared" ca="1" si="249"/>
        <v>-44.796255644488816</v>
      </c>
      <c r="P554" s="310">
        <f t="shared" ca="1" si="250"/>
        <v>23</v>
      </c>
      <c r="Q554" s="304">
        <f t="shared" ca="1" si="251"/>
        <v>0</v>
      </c>
      <c r="R554" s="306">
        <f t="shared" ca="1" si="252"/>
        <v>0</v>
      </c>
      <c r="S554" s="307">
        <f t="shared" ca="1" si="253"/>
        <v>7.8079999999999892</v>
      </c>
      <c r="T554" s="304">
        <f t="shared" ca="1" si="233"/>
        <v>76.5964799999999</v>
      </c>
      <c r="U554" s="311">
        <f t="shared" ca="1" si="234"/>
        <v>0</v>
      </c>
      <c r="V554" s="306">
        <f t="shared" ca="1" si="235"/>
        <v>1.0710915472761384</v>
      </c>
      <c r="W554" s="304">
        <f t="shared" ca="1" si="236"/>
        <v>4.3775443561728569</v>
      </c>
      <c r="Y554" s="314" t="str">
        <f t="shared" ca="1" si="254"/>
        <v/>
      </c>
      <c r="Z554" s="315" t="str">
        <f t="shared" ca="1" si="255"/>
        <v/>
      </c>
      <c r="AA554" s="316" t="str">
        <f t="shared" ca="1" si="256"/>
        <v/>
      </c>
      <c r="AC554" s="310">
        <f t="shared" ca="1" si="257"/>
        <v>18.999999999999957</v>
      </c>
      <c r="AD554" s="323">
        <f t="shared" ca="1" si="258"/>
        <v>558.73986034100278</v>
      </c>
      <c r="AE554" s="324" t="e">
        <f t="shared" ca="1" si="237"/>
        <v>#N/A</v>
      </c>
      <c r="AG554" s="306">
        <f t="shared" ca="1" si="259"/>
        <v>6.2303551933122634</v>
      </c>
      <c r="AH554" s="304">
        <f t="shared" ca="1" si="260"/>
        <v>-0.54074306517404891</v>
      </c>
    </row>
    <row r="555" spans="1:34" x14ac:dyDescent="0.2">
      <c r="A555" s="347">
        <f t="shared" ca="1" si="238"/>
        <v>0.1</v>
      </c>
      <c r="B555" s="304">
        <f t="shared" ca="1" si="239"/>
        <v>19.099999999999959</v>
      </c>
      <c r="D555" s="306">
        <f t="shared" ca="1" si="240"/>
        <v>-0.3978456643177849</v>
      </c>
      <c r="E555" s="307">
        <f t="shared" ca="1" si="241"/>
        <v>-9.4149738076873781</v>
      </c>
      <c r="F555" s="304">
        <f t="shared" ca="1" si="242"/>
        <v>9.4233758798031513</v>
      </c>
      <c r="G555" s="306">
        <f t="shared" ca="1" si="243"/>
        <v>25.093260385847444</v>
      </c>
      <c r="H555" s="307">
        <f t="shared" ca="1" si="244"/>
        <v>-25.89642824760492</v>
      </c>
      <c r="I555" s="304">
        <f t="shared" ca="1" si="245"/>
        <v>36.059627185750138</v>
      </c>
      <c r="J555" s="306">
        <f t="shared" ca="1" si="246"/>
        <v>561.25117560790909</v>
      </c>
      <c r="K555" s="307">
        <f t="shared" ca="1" si="247"/>
        <v>1338.0699429560834</v>
      </c>
      <c r="L555" s="304">
        <f t="shared" ca="1" si="232"/>
        <v>1451.0113901564509</v>
      </c>
      <c r="M555" s="306">
        <f t="shared" ca="1" si="248"/>
        <v>-0.80114843502979693</v>
      </c>
      <c r="N555" s="304">
        <f t="shared" ca="1" si="249"/>
        <v>-45.902424090718206</v>
      </c>
      <c r="P555" s="310">
        <f t="shared" ca="1" si="250"/>
        <v>23</v>
      </c>
      <c r="Q555" s="304">
        <f t="shared" ca="1" si="251"/>
        <v>0</v>
      </c>
      <c r="R555" s="306">
        <f t="shared" ca="1" si="252"/>
        <v>0</v>
      </c>
      <c r="S555" s="307">
        <f t="shared" ca="1" si="253"/>
        <v>7.8079999999999892</v>
      </c>
      <c r="T555" s="304">
        <f t="shared" ca="1" si="233"/>
        <v>76.5964799999999</v>
      </c>
      <c r="U555" s="311">
        <f t="shared" ca="1" si="234"/>
        <v>0</v>
      </c>
      <c r="V555" s="306">
        <f t="shared" ca="1" si="235"/>
        <v>1.0713651413175447</v>
      </c>
      <c r="W555" s="304">
        <f t="shared" ca="1" si="236"/>
        <v>4.5388045483583079</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6.3513580704287307</v>
      </c>
      <c r="AH555" s="304">
        <f t="shared" ca="1" si="260"/>
        <v>-0.56064861119017195</v>
      </c>
    </row>
    <row r="556" spans="1:34" x14ac:dyDescent="0.2">
      <c r="A556" s="347">
        <f t="shared" ca="1" si="238"/>
        <v>0.1</v>
      </c>
      <c r="B556" s="304">
        <f t="shared" ca="1" si="239"/>
        <v>19.19999999999996</v>
      </c>
      <c r="D556" s="306">
        <f t="shared" ca="1" si="240"/>
        <v>-0.40451770776732487</v>
      </c>
      <c r="E556" s="307">
        <f t="shared" ca="1" si="241"/>
        <v>-9.3925347669850687</v>
      </c>
      <c r="F556" s="304">
        <f t="shared" ca="1" si="242"/>
        <v>9.4012416161335093</v>
      </c>
      <c r="G556" s="306">
        <f t="shared" ca="1" si="243"/>
        <v>25.05280861507071</v>
      </c>
      <c r="H556" s="307">
        <f t="shared" ca="1" si="244"/>
        <v>-26.835681724303427</v>
      </c>
      <c r="I556" s="304">
        <f t="shared" ca="1" si="245"/>
        <v>36.712355319585178</v>
      </c>
      <c r="J556" s="306">
        <f t="shared" ca="1" si="246"/>
        <v>563.75847905795501</v>
      </c>
      <c r="K556" s="307">
        <f t="shared" ca="1" si="247"/>
        <v>1335.4333374574881</v>
      </c>
      <c r="L556" s="304">
        <f t="shared" ca="1" si="232"/>
        <v>1449.5536628571513</v>
      </c>
      <c r="M556" s="306">
        <f t="shared" ca="1" si="248"/>
        <v>-0.81974435424981318</v>
      </c>
      <c r="N556" s="304">
        <f t="shared" ca="1" si="249"/>
        <v>-46.967891778191344</v>
      </c>
      <c r="P556" s="310">
        <f t="shared" ca="1" si="250"/>
        <v>23</v>
      </c>
      <c r="Q556" s="304">
        <f t="shared" ca="1" si="251"/>
        <v>0</v>
      </c>
      <c r="R556" s="306">
        <f t="shared" ca="1" si="252"/>
        <v>0</v>
      </c>
      <c r="S556" s="307">
        <f t="shared" ca="1" si="253"/>
        <v>7.8079999999999892</v>
      </c>
      <c r="T556" s="304">
        <f t="shared" ca="1" si="233"/>
        <v>76.5964799999999</v>
      </c>
      <c r="U556" s="311">
        <f t="shared" ca="1" si="234"/>
        <v>0</v>
      </c>
      <c r="V556" s="306">
        <f t="shared" ca="1" si="235"/>
        <v>1.0716489231776372</v>
      </c>
      <c r="W556" s="304">
        <f t="shared" ca="1" si="236"/>
        <v>4.7058549098353666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6.4638059978828668</v>
      </c>
      <c r="AH556" s="304">
        <f t="shared" ca="1" si="260"/>
        <v>-0.58130181203359554</v>
      </c>
    </row>
    <row r="557" spans="1:34" x14ac:dyDescent="0.2">
      <c r="A557" s="347">
        <f t="shared" ca="1" si="238"/>
        <v>0.1</v>
      </c>
      <c r="B557" s="304">
        <f t="shared" ca="1" si="239"/>
        <v>19.299999999999962</v>
      </c>
      <c r="D557" s="306">
        <f t="shared" ca="1" si="240"/>
        <v>-0.41128502877562145</v>
      </c>
      <c r="E557" s="307">
        <f t="shared" ca="1" si="241"/>
        <v>-9.369446036579145</v>
      </c>
      <c r="F557" s="304">
        <f t="shared" ca="1" si="242"/>
        <v>9.3784686600352618</v>
      </c>
      <c r="G557" s="306">
        <f t="shared" ca="1" si="243"/>
        <v>25.011680112193147</v>
      </c>
      <c r="H557" s="307">
        <f t="shared" ca="1" si="244"/>
        <v>-27.772626327961341</v>
      </c>
      <c r="I557" s="304">
        <f t="shared" ca="1" si="245"/>
        <v>37.375164416859086</v>
      </c>
      <c r="J557" s="306">
        <f t="shared" ca="1" si="246"/>
        <v>566.26170349431823</v>
      </c>
      <c r="K557" s="307">
        <f t="shared" ca="1" si="247"/>
        <v>1332.7029220548748</v>
      </c>
      <c r="L557" s="304">
        <f t="shared" ca="1" si="232"/>
        <v>1448.0156750870788</v>
      </c>
      <c r="M557" s="306">
        <f t="shared" ca="1" si="248"/>
        <v>-0.83765673419566311</v>
      </c>
      <c r="N557" s="304">
        <f t="shared" ca="1" si="249"/>
        <v>-47.994195550123322</v>
      </c>
      <c r="P557" s="310">
        <f t="shared" ca="1" si="250"/>
        <v>23</v>
      </c>
      <c r="Q557" s="304">
        <f t="shared" ca="1" si="251"/>
        <v>0</v>
      </c>
      <c r="R557" s="306">
        <f t="shared" ca="1" si="252"/>
        <v>0</v>
      </c>
      <c r="S557" s="307">
        <f t="shared" ca="1" si="253"/>
        <v>7.8079999999999892</v>
      </c>
      <c r="T557" s="304">
        <f t="shared" ca="1" si="233"/>
        <v>76.5964799999999</v>
      </c>
      <c r="U557" s="311">
        <f t="shared" ca="1" si="234"/>
        <v>0</v>
      </c>
      <c r="V557" s="306">
        <f t="shared" ca="1" si="235"/>
        <v>1.0719428758763248</v>
      </c>
      <c r="W557" s="304">
        <f t="shared" ca="1" si="236"/>
        <v>4.8786467260334261</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6.5681328413673468</v>
      </c>
      <c r="AH557" s="304">
        <f t="shared" ca="1" si="260"/>
        <v>-0.60269658168998119</v>
      </c>
    </row>
    <row r="558" spans="1:34" x14ac:dyDescent="0.2">
      <c r="A558" s="347">
        <f t="shared" ca="1" si="238"/>
        <v>0.1</v>
      </c>
      <c r="B558" s="304">
        <f t="shared" ca="1" si="239"/>
        <v>19.399999999999963</v>
      </c>
      <c r="D558" s="306">
        <f t="shared" ca="1" si="240"/>
        <v>-0.41813769429739128</v>
      </c>
      <c r="E558" s="307">
        <f t="shared" ca="1" si="241"/>
        <v>-9.3457056429129857</v>
      </c>
      <c r="F558" s="304">
        <f t="shared" ca="1" si="242"/>
        <v>9.3550549488160648</v>
      </c>
      <c r="G558" s="306">
        <f t="shared" ca="1" si="243"/>
        <v>24.969866342763407</v>
      </c>
      <c r="H558" s="307">
        <f t="shared" ca="1" si="244"/>
        <v>-28.707196892252639</v>
      </c>
      <c r="I558" s="304">
        <f t="shared" ca="1" si="245"/>
        <v>38.047304485154115</v>
      </c>
      <c r="J558" s="306">
        <f t="shared" ca="1" si="246"/>
        <v>568.76078081706601</v>
      </c>
      <c r="K558" s="307">
        <f t="shared" ca="1" si="247"/>
        <v>1329.878930893864</v>
      </c>
      <c r="L558" s="304">
        <f t="shared" ca="1" si="232"/>
        <v>1446.397869409052</v>
      </c>
      <c r="M558" s="306">
        <f t="shared" ca="1" si="248"/>
        <v>-0.85491218934812008</v>
      </c>
      <c r="N558" s="304">
        <f t="shared" ca="1" si="249"/>
        <v>-48.982860303936377</v>
      </c>
      <c r="P558" s="310">
        <f t="shared" ca="1" si="250"/>
        <v>23</v>
      </c>
      <c r="Q558" s="304">
        <f t="shared" ca="1" si="251"/>
        <v>0</v>
      </c>
      <c r="R558" s="306">
        <f t="shared" ca="1" si="252"/>
        <v>0</v>
      </c>
      <c r="S558" s="307">
        <f t="shared" ca="1" si="253"/>
        <v>7.8079999999999892</v>
      </c>
      <c r="T558" s="304">
        <f t="shared" ca="1" si="233"/>
        <v>76.5964799999999</v>
      </c>
      <c r="U558" s="311">
        <f t="shared" ca="1" si="234"/>
        <v>0</v>
      </c>
      <c r="V558" s="306">
        <f t="shared" ca="1" si="235"/>
        <v>1.0722469819802476</v>
      </c>
      <c r="W558" s="304">
        <f t="shared" ca="1" si="236"/>
        <v>5.0571300890080533</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6.6647590244917811</v>
      </c>
      <c r="AH558" s="304">
        <f t="shared" ca="1" si="260"/>
        <v>-0.62482668110059336</v>
      </c>
    </row>
    <row r="559" spans="1:34" x14ac:dyDescent="0.2">
      <c r="A559" s="347">
        <f t="shared" ca="1" si="238"/>
        <v>0.1</v>
      </c>
      <c r="B559" s="304">
        <f t="shared" ca="1" si="239"/>
        <v>19.499999999999964</v>
      </c>
      <c r="D559" s="306">
        <f t="shared" ca="1" si="240"/>
        <v>-0.42506627049089524</v>
      </c>
      <c r="E559" s="307">
        <f t="shared" ca="1" si="241"/>
        <v>-9.3213125175868612</v>
      </c>
      <c r="F559" s="304">
        <f t="shared" ca="1" si="242"/>
        <v>9.3309993240183307</v>
      </c>
      <c r="G559" s="306">
        <f t="shared" ca="1" si="243"/>
        <v>24.927359715714317</v>
      </c>
      <c r="H559" s="307">
        <f t="shared" ca="1" si="244"/>
        <v>-29.639328144011326</v>
      </c>
      <c r="I559" s="304">
        <f t="shared" ca="1" si="245"/>
        <v>38.728065214066646</v>
      </c>
      <c r="J559" s="306">
        <f t="shared" ca="1" si="246"/>
        <v>571.25564211998994</v>
      </c>
      <c r="K559" s="307">
        <f t="shared" ca="1" si="247"/>
        <v>1326.9616046420508</v>
      </c>
      <c r="L559" s="304">
        <f t="shared" ca="1" si="232"/>
        <v>1444.700698708258</v>
      </c>
      <c r="M559" s="306">
        <f t="shared" ca="1" si="248"/>
        <v>-0.87153695513466811</v>
      </c>
      <c r="N559" s="304">
        <f t="shared" ca="1" si="249"/>
        <v>-49.935389218899061</v>
      </c>
      <c r="P559" s="310">
        <f t="shared" ca="1" si="250"/>
        <v>23</v>
      </c>
      <c r="Q559" s="304">
        <f t="shared" ca="1" si="251"/>
        <v>0</v>
      </c>
      <c r="R559" s="306">
        <f t="shared" ca="1" si="252"/>
        <v>0</v>
      </c>
      <c r="S559" s="307">
        <f t="shared" ca="1" si="253"/>
        <v>7.8079999999999892</v>
      </c>
      <c r="T559" s="304">
        <f t="shared" ca="1" si="233"/>
        <v>76.5964799999999</v>
      </c>
      <c r="U559" s="311">
        <f t="shared" ca="1" si="234"/>
        <v>0</v>
      </c>
      <c r="V559" s="306">
        <f t="shared" ca="1" si="235"/>
        <v>1.0725612235985178</v>
      </c>
      <c r="W559" s="304">
        <f t="shared" ca="1" si="236"/>
        <v>5.2412539017927076</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6.7540896589896668</v>
      </c>
      <c r="AH559" s="304">
        <f t="shared" ca="1" si="260"/>
        <v>-0.64768571836681099</v>
      </c>
    </row>
    <row r="560" spans="1:34" x14ac:dyDescent="0.2">
      <c r="A560" s="347">
        <f t="shared" ca="1" si="238"/>
        <v>0.1</v>
      </c>
      <c r="B560" s="304">
        <f t="shared" ca="1" si="239"/>
        <v>19.599999999999966</v>
      </c>
      <c r="D560" s="306">
        <f t="shared" ca="1" si="240"/>
        <v>-0.43206180333665939</v>
      </c>
      <c r="E560" s="307">
        <f t="shared" ca="1" si="241"/>
        <v>-9.2962664271854045</v>
      </c>
      <c r="F560" s="304">
        <f t="shared" ca="1" si="242"/>
        <v>9.3063014612206185</v>
      </c>
      <c r="G560" s="306">
        <f t="shared" ca="1" si="243"/>
        <v>24.884153535380651</v>
      </c>
      <c r="H560" s="307">
        <f t="shared" ca="1" si="244"/>
        <v>-30.568954786729869</v>
      </c>
      <c r="I560" s="304">
        <f t="shared" ca="1" si="245"/>
        <v>39.41677427093105</v>
      </c>
      <c r="J560" s="306">
        <f t="shared" ca="1" si="246"/>
        <v>573.7462177825447</v>
      </c>
      <c r="K560" s="307">
        <f t="shared" ca="1" si="247"/>
        <v>1323.9511904955139</v>
      </c>
      <c r="L560" s="304">
        <f t="shared" ca="1" si="232"/>
        <v>1442.9246263177656</v>
      </c>
      <c r="M560" s="306">
        <f t="shared" ca="1" si="248"/>
        <v>-0.88755675119273925</v>
      </c>
      <c r="N560" s="304">
        <f t="shared" ca="1" si="249"/>
        <v>-50.853255921686852</v>
      </c>
      <c r="P560" s="310">
        <f t="shared" ca="1" si="250"/>
        <v>23</v>
      </c>
      <c r="Q560" s="304">
        <f t="shared" ca="1" si="251"/>
        <v>0</v>
      </c>
      <c r="R560" s="306">
        <f t="shared" ca="1" si="252"/>
        <v>0</v>
      </c>
      <c r="S560" s="307">
        <f t="shared" ca="1" si="253"/>
        <v>7.8079999999999892</v>
      </c>
      <c r="T560" s="304">
        <f t="shared" ca="1" si="233"/>
        <v>76.5964799999999</v>
      </c>
      <c r="U560" s="311">
        <f t="shared" ca="1" si="234"/>
        <v>0</v>
      </c>
      <c r="V560" s="306">
        <f t="shared" ca="1" si="235"/>
        <v>1.0728855823793211</v>
      </c>
      <c r="W560" s="304">
        <f t="shared" ca="1" si="236"/>
        <v>5.4309658852924887</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6.8365132545310843</v>
      </c>
      <c r="AH560" s="304">
        <f t="shared" ca="1" si="260"/>
        <v>-0.67126714930746856</v>
      </c>
    </row>
    <row r="561" spans="1:34" x14ac:dyDescent="0.2">
      <c r="A561" s="347">
        <f t="shared" ca="1" si="238"/>
        <v>0.1</v>
      </c>
      <c r="B561" s="304">
        <f t="shared" ca="1" si="239"/>
        <v>19.699999999999967</v>
      </c>
      <c r="D561" s="306">
        <f t="shared" ca="1" si="240"/>
        <v>-0.43911579818816737</v>
      </c>
      <c r="E561" s="307">
        <f t="shared" ca="1" si="241"/>
        <v>-9.2705679087348738</v>
      </c>
      <c r="F561" s="304">
        <f t="shared" ca="1" si="242"/>
        <v>9.2809618054748686</v>
      </c>
      <c r="G561" s="306">
        <f t="shared" ca="1" si="243"/>
        <v>24.840241955561833</v>
      </c>
      <c r="H561" s="307">
        <f t="shared" ca="1" si="244"/>
        <v>-31.496011577603355</v>
      </c>
      <c r="I561" s="304">
        <f t="shared" ca="1" si="245"/>
        <v>40.112795535930665</v>
      </c>
      <c r="J561" s="306">
        <f t="shared" ca="1" si="246"/>
        <v>576.23243755709188</v>
      </c>
      <c r="K561" s="307">
        <f t="shared" ca="1" si="247"/>
        <v>1320.8479421772972</v>
      </c>
      <c r="L561" s="304">
        <f t="shared" ca="1" si="232"/>
        <v>1441.0701261378604</v>
      </c>
      <c r="M561" s="306">
        <f t="shared" ca="1" si="248"/>
        <v>-0.90299667401035211</v>
      </c>
      <c r="N561" s="304">
        <f t="shared" ca="1" si="249"/>
        <v>-51.737898335143811</v>
      </c>
      <c r="P561" s="310">
        <f t="shared" ca="1" si="250"/>
        <v>23</v>
      </c>
      <c r="Q561" s="304">
        <f t="shared" ca="1" si="251"/>
        <v>0</v>
      </c>
      <c r="R561" s="306">
        <f t="shared" ca="1" si="252"/>
        <v>0</v>
      </c>
      <c r="S561" s="307">
        <f t="shared" ca="1" si="253"/>
        <v>7.8079999999999892</v>
      </c>
      <c r="T561" s="304">
        <f t="shared" ca="1" si="233"/>
        <v>76.5964799999999</v>
      </c>
      <c r="U561" s="311">
        <f t="shared" ca="1" si="234"/>
        <v>0</v>
      </c>
      <c r="V561" s="306">
        <f t="shared" ca="1" si="235"/>
        <v>1.0732200395073075</v>
      </c>
      <c r="W561" s="304">
        <f t="shared" ca="1" si="236"/>
        <v>5.6262125875227955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6.9124009091843899</v>
      </c>
      <c r="AH561" s="304">
        <f t="shared" ca="1" si="260"/>
        <v>-0.69556427834176437</v>
      </c>
    </row>
    <row r="562" spans="1:34" x14ac:dyDescent="0.2">
      <c r="A562" s="347">
        <f t="shared" ca="1" si="238"/>
        <v>0.1</v>
      </c>
      <c r="B562" s="304">
        <f t="shared" ca="1" si="239"/>
        <v>19.799999999999969</v>
      </c>
      <c r="D562" s="306">
        <f t="shared" ca="1" si="240"/>
        <v>-0.44622019874465474</v>
      </c>
      <c r="E562" s="307">
        <f t="shared" ca="1" si="241"/>
        <v>-9.2442182104761947</v>
      </c>
      <c r="F562" s="304">
        <f t="shared" ca="1" si="242"/>
        <v>9.2549815120651342</v>
      </c>
      <c r="G562" s="306">
        <f t="shared" ca="1" si="243"/>
        <v>24.795619935687366</v>
      </c>
      <c r="H562" s="307">
        <f t="shared" ca="1" si="244"/>
        <v>-32.420433398650971</v>
      </c>
      <c r="I562" s="304">
        <f t="shared" ca="1" si="245"/>
        <v>40.815527311936329</v>
      </c>
      <c r="J562" s="306">
        <f t="shared" ca="1" si="246"/>
        <v>578.71423065165436</v>
      </c>
      <c r="K562" s="307">
        <f t="shared" ca="1" si="247"/>
        <v>1317.6521199284846</v>
      </c>
      <c r="L562" s="304">
        <f t="shared" ca="1" si="232"/>
        <v>1439.1376827499048</v>
      </c>
      <c r="M562" s="306">
        <f t="shared" ca="1" si="248"/>
        <v>-0.9178811148347551</v>
      </c>
      <c r="N562" s="304">
        <f t="shared" ca="1" si="249"/>
        <v>-52.590713974794326</v>
      </c>
      <c r="P562" s="310">
        <f t="shared" ca="1" si="250"/>
        <v>23</v>
      </c>
      <c r="Q562" s="304">
        <f t="shared" ca="1" si="251"/>
        <v>0</v>
      </c>
      <c r="R562" s="306">
        <f t="shared" ca="1" si="252"/>
        <v>0</v>
      </c>
      <c r="S562" s="307">
        <f t="shared" ca="1" si="253"/>
        <v>7.8079999999999892</v>
      </c>
      <c r="T562" s="304">
        <f t="shared" ca="1" si="233"/>
        <v>76.5964799999999</v>
      </c>
      <c r="U562" s="311">
        <f t="shared" ca="1" si="234"/>
        <v>0</v>
      </c>
      <c r="V562" s="306">
        <f t="shared" ca="1" si="235"/>
        <v>1.0735645757017067</v>
      </c>
      <c r="W562" s="304">
        <f t="shared" ca="1" si="236"/>
        <v>5.8269393950105801</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6.9821058926172856</v>
      </c>
      <c r="AH562" s="304">
        <f t="shared" ca="1" si="260"/>
        <v>-0.72057025967249022</v>
      </c>
    </row>
    <row r="563" spans="1:34" x14ac:dyDescent="0.2">
      <c r="A563" s="347">
        <f t="shared" ca="1" si="238"/>
        <v>0.1</v>
      </c>
      <c r="B563" s="304">
        <f t="shared" ca="1" si="239"/>
        <v>19.89999999999997</v>
      </c>
      <c r="D563" s="306">
        <f t="shared" ca="1" si="240"/>
        <v>-0.45336736584136744</v>
      </c>
      <c r="E563" s="307">
        <f t="shared" ca="1" si="241"/>
        <v>-9.2172192376111113</v>
      </c>
      <c r="F563" s="304">
        <f t="shared" ca="1" si="242"/>
        <v>9.2283623922448079</v>
      </c>
      <c r="G563" s="306">
        <f t="shared" ca="1" si="243"/>
        <v>24.750283199103229</v>
      </c>
      <c r="H563" s="307">
        <f t="shared" ca="1" si="244"/>
        <v>-33.342155322412083</v>
      </c>
      <c r="I563" s="304">
        <f t="shared" ca="1" si="245"/>
        <v>41.524400537270417</v>
      </c>
      <c r="J563" s="306">
        <f t="shared" ca="1" si="246"/>
        <v>581.19152580839386</v>
      </c>
      <c r="K563" s="307">
        <f t="shared" ca="1" si="247"/>
        <v>1314.3639904924314</v>
      </c>
      <c r="L563" s="304">
        <f t="shared" ca="1" si="232"/>
        <v>1437.1277915254013</v>
      </c>
      <c r="M563" s="306">
        <f t="shared" ca="1" si="248"/>
        <v>-0.93223369911299758</v>
      </c>
      <c r="N563" s="304">
        <f t="shared" ca="1" si="249"/>
        <v>-53.413056479043441</v>
      </c>
      <c r="P563" s="310">
        <f t="shared" ca="1" si="250"/>
        <v>23</v>
      </c>
      <c r="Q563" s="304">
        <f t="shared" ca="1" si="251"/>
        <v>0</v>
      </c>
      <c r="R563" s="306">
        <f t="shared" ca="1" si="252"/>
        <v>0</v>
      </c>
      <c r="S563" s="307">
        <f t="shared" ca="1" si="253"/>
        <v>7.8079999999999892</v>
      </c>
      <c r="T563" s="304">
        <f t="shared" ca="1" si="233"/>
        <v>76.5964799999999</v>
      </c>
      <c r="U563" s="311">
        <f t="shared" ca="1" si="234"/>
        <v>0</v>
      </c>
      <c r="V563" s="306">
        <f t="shared" ca="1" si="235"/>
        <v>1.0739191712151079</v>
      </c>
      <c r="W563" s="304">
        <f t="shared" ca="1" si="236"/>
        <v>6.033090546189972</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7.0459635452262397</v>
      </c>
      <c r="AH563" s="304">
        <f t="shared" ca="1" si="260"/>
        <v>-0.74627809874623308</v>
      </c>
    </row>
    <row r="564" spans="1:34" x14ac:dyDescent="0.2">
      <c r="A564" s="347">
        <f t="shared" ca="1" si="238"/>
        <v>0.1</v>
      </c>
      <c r="B564" s="304">
        <f t="shared" ca="1" si="239"/>
        <v>19.999999999999972</v>
      </c>
      <c r="D564" s="306">
        <f t="shared" ca="1" si="240"/>
        <v>-0.46055005637074115</v>
      </c>
      <c r="E564" s="307">
        <f t="shared" ca="1" si="241"/>
        <v>-9.1895735026654055</v>
      </c>
      <c r="F564" s="304">
        <f t="shared" ca="1" si="242"/>
        <v>9.2011068635959887</v>
      </c>
      <c r="G564" s="306">
        <f t="shared" ca="1" si="243"/>
        <v>24.704228193466154</v>
      </c>
      <c r="H564" s="307">
        <f t="shared" ca="1" si="244"/>
        <v>-34.261112672678621</v>
      </c>
      <c r="I564" s="304">
        <f t="shared" ca="1" si="245"/>
        <v>42.238877023481905</v>
      </c>
      <c r="J564" s="306">
        <f t="shared" ca="1" si="246"/>
        <v>583.6642513780223</v>
      </c>
      <c r="K564" s="307">
        <f t="shared" ca="1" si="247"/>
        <v>1310.9838270926768</v>
      </c>
      <c r="L564" s="304">
        <f t="shared" ca="1" si="232"/>
        <v>1435.040958730875</v>
      </c>
      <c r="M564" s="306">
        <f t="shared" ca="1" si="248"/>
        <v>-0.94607724411420813</v>
      </c>
      <c r="N564" s="304">
        <f t="shared" ca="1" si="249"/>
        <v>-54.206233181112232</v>
      </c>
      <c r="P564" s="310">
        <f t="shared" ca="1" si="250"/>
        <v>23</v>
      </c>
      <c r="Q564" s="304">
        <f t="shared" ca="1" si="251"/>
        <v>0</v>
      </c>
      <c r="R564" s="306">
        <f t="shared" ca="1" si="252"/>
        <v>0</v>
      </c>
      <c r="S564" s="307">
        <f t="shared" ca="1" si="253"/>
        <v>7.8079999999999892</v>
      </c>
      <c r="T564" s="304">
        <f t="shared" ca="1" si="233"/>
        <v>76.5964799999999</v>
      </c>
      <c r="U564" s="311">
        <f t="shared" ca="1" si="234"/>
        <v>0</v>
      </c>
      <c r="V564" s="306">
        <f t="shared" ca="1" si="235"/>
        <v>1.0742838058328517</v>
      </c>
      <c r="W564" s="304">
        <f t="shared" ca="1" si="236"/>
        <v>6.2446091466369023</v>
      </c>
      <c r="Y564" s="314" t="str">
        <f t="shared" ca="1" si="254"/>
        <v/>
      </c>
      <c r="Z564" s="315" t="str">
        <f t="shared" ca="1" si="255"/>
        <v/>
      </c>
      <c r="AA564" s="316" t="str">
        <f t="shared" ca="1" si="256"/>
        <v/>
      </c>
      <c r="AC564" s="310">
        <f t="shared" ca="1" si="257"/>
        <v>19.999999999999972</v>
      </c>
      <c r="AD564" s="323">
        <f t="shared" ca="1" si="258"/>
        <v>583.6642513780223</v>
      </c>
      <c r="AE564" s="324" t="e">
        <f t="shared" ca="1" si="237"/>
        <v>#N/A</v>
      </c>
      <c r="AG564" s="306">
        <f t="shared" ca="1" si="259"/>
        <v>7.1042914270435684</v>
      </c>
      <c r="AH564" s="304">
        <f t="shared" ca="1" si="260"/>
        <v>-0.77268065396900365</v>
      </c>
    </row>
    <row r="565" spans="1:34" x14ac:dyDescent="0.2">
      <c r="A565" s="347">
        <f t="shared" ca="1" si="238"/>
        <v>0.1</v>
      </c>
      <c r="B565" s="304">
        <f t="shared" ca="1" si="239"/>
        <v>20.099999999999973</v>
      </c>
      <c r="D565" s="306">
        <f t="shared" ca="1" si="240"/>
        <v>-0.46776140257806642</v>
      </c>
      <c r="E565" s="307">
        <f t="shared" ca="1" si="241"/>
        <v>-9.1612840801116011</v>
      </c>
      <c r="F565" s="304">
        <f t="shared" ca="1" si="242"/>
        <v>9.1732179046530931</v>
      </c>
      <c r="G565" s="306">
        <f t="shared" ca="1" si="243"/>
        <v>24.657452053208345</v>
      </c>
      <c r="H565" s="307">
        <f t="shared" ca="1" si="244"/>
        <v>-35.177241080689782</v>
      </c>
      <c r="I565" s="304">
        <f t="shared" ca="1" si="245"/>
        <v>42.958447735052502</v>
      </c>
      <c r="J565" s="306">
        <f t="shared" ca="1" si="246"/>
        <v>586.13233539035605</v>
      </c>
      <c r="K565" s="307">
        <f t="shared" ca="1" si="247"/>
        <v>1307.5119094050085</v>
      </c>
      <c r="L565" s="304">
        <f t="shared" ca="1" si="232"/>
        <v>1432.8777016291669</v>
      </c>
      <c r="M565" s="306">
        <f t="shared" ca="1" si="248"/>
        <v>-0.95943373176424218</v>
      </c>
      <c r="N565" s="304">
        <f t="shared" ca="1" si="249"/>
        <v>-54.971503552577786</v>
      </c>
      <c r="P565" s="310">
        <f t="shared" ca="1" si="250"/>
        <v>23</v>
      </c>
      <c r="Q565" s="304">
        <f t="shared" ca="1" si="251"/>
        <v>0</v>
      </c>
      <c r="R565" s="306">
        <f t="shared" ca="1" si="252"/>
        <v>0</v>
      </c>
      <c r="S565" s="307">
        <f t="shared" ca="1" si="253"/>
        <v>7.8079999999999892</v>
      </c>
      <c r="T565" s="304">
        <f t="shared" ca="1" si="233"/>
        <v>76.5964799999999</v>
      </c>
      <c r="U565" s="311">
        <f t="shared" ca="1" si="234"/>
        <v>0</v>
      </c>
      <c r="V565" s="306">
        <f t="shared" ca="1" si="235"/>
        <v>1.0746584588729804</v>
      </c>
      <c r="W565" s="304">
        <f t="shared" ca="1" si="236"/>
        <v>6.4614371859994204</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7.157389660185971</v>
      </c>
      <c r="AH565" s="304">
        <f t="shared" ca="1" si="260"/>
        <v>-0.79977063865739129</v>
      </c>
    </row>
    <row r="566" spans="1:34" x14ac:dyDescent="0.2">
      <c r="A566" s="347">
        <f t="shared" ca="1" si="238"/>
        <v>0.1</v>
      </c>
      <c r="B566" s="304">
        <f t="shared" ca="1" si="239"/>
        <v>20.199999999999974</v>
      </c>
      <c r="D566" s="306">
        <f t="shared" ca="1" si="240"/>
        <v>-0.47499489191636662</v>
      </c>
      <c r="E566" s="307">
        <f t="shared" ca="1" si="241"/>
        <v>-9.1323545649006306</v>
      </c>
      <c r="F566" s="304">
        <f t="shared" ca="1" si="242"/>
        <v>9.1446990134398636</v>
      </c>
      <c r="G566" s="306">
        <f t="shared" ca="1" si="243"/>
        <v>24.609952564016709</v>
      </c>
      <c r="H566" s="307">
        <f t="shared" ca="1" si="244"/>
        <v>-36.090476537179846</v>
      </c>
      <c r="I566" s="304">
        <f t="shared" ca="1" si="245"/>
        <v>43.682631123638622</v>
      </c>
      <c r="J566" s="306">
        <f t="shared" ca="1" si="246"/>
        <v>588.59570562121735</v>
      </c>
      <c r="K566" s="307">
        <f t="shared" ca="1" si="247"/>
        <v>1303.948523524115</v>
      </c>
      <c r="L566" s="304">
        <f t="shared" ca="1" si="232"/>
        <v>1430.6385485776825</v>
      </c>
      <c r="M566" s="306">
        <f t="shared" ca="1" si="248"/>
        <v>-0.9723242940874508</v>
      </c>
      <c r="N566" s="304">
        <f t="shared" ca="1" si="249"/>
        <v>-55.710078369247995</v>
      </c>
      <c r="P566" s="310">
        <f t="shared" ca="1" si="250"/>
        <v>23</v>
      </c>
      <c r="Q566" s="304">
        <f t="shared" ca="1" si="251"/>
        <v>0</v>
      </c>
      <c r="R566" s="306">
        <f t="shared" ca="1" si="252"/>
        <v>0</v>
      </c>
      <c r="S566" s="307">
        <f t="shared" ca="1" si="253"/>
        <v>7.8079999999999892</v>
      </c>
      <c r="T566" s="304">
        <f t="shared" ca="1" si="233"/>
        <v>76.5964799999999</v>
      </c>
      <c r="U566" s="311">
        <f t="shared" ca="1" si="234"/>
        <v>0</v>
      </c>
      <c r="V566" s="306">
        <f t="shared" ca="1" si="235"/>
        <v>1.0750431091867088</v>
      </c>
      <c r="W566" s="304">
        <f t="shared" ca="1" si="236"/>
        <v>6.6835155564914537</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7.2055414176040715</v>
      </c>
      <c r="AH566" s="304">
        <f t="shared" ca="1" si="260"/>
        <v>-0.82754062320689414</v>
      </c>
    </row>
    <row r="567" spans="1:34" x14ac:dyDescent="0.2">
      <c r="A567" s="347">
        <f t="shared" ca="1" si="238"/>
        <v>0.1</v>
      </c>
      <c r="B567" s="304">
        <f t="shared" ca="1" si="239"/>
        <v>20.299999999999976</v>
      </c>
      <c r="D567" s="306">
        <f t="shared" ca="1" si="240"/>
        <v>-0.48224434759622048</v>
      </c>
      <c r="E567" s="307">
        <f t="shared" ca="1" si="241"/>
        <v>-9.1027890345649531</v>
      </c>
      <c r="F567" s="304">
        <f t="shared" ca="1" si="242"/>
        <v>9.1155541695820368</v>
      </c>
      <c r="G567" s="306">
        <f t="shared" ca="1" si="243"/>
        <v>24.561728129257087</v>
      </c>
      <c r="H567" s="307">
        <f t="shared" ca="1" si="244"/>
        <v>-37.00075544063634</v>
      </c>
      <c r="I567" s="304">
        <f t="shared" ca="1" si="245"/>
        <v>44.410971525888947</v>
      </c>
      <c r="J567" s="306">
        <f t="shared" ca="1" si="246"/>
        <v>591.05428965588101</v>
      </c>
      <c r="K567" s="307">
        <f t="shared" ca="1" si="247"/>
        <v>1300.2939619252243</v>
      </c>
      <c r="L567" s="304">
        <f t="shared" ca="1" si="232"/>
        <v>1428.3240391241109</v>
      </c>
      <c r="M567" s="306">
        <f t="shared" ca="1" si="248"/>
        <v>-0.98476920899010079</v>
      </c>
      <c r="N567" s="304">
        <f t="shared" ca="1" si="249"/>
        <v>-56.423119469569301</v>
      </c>
      <c r="P567" s="310">
        <f t="shared" ca="1" si="250"/>
        <v>23</v>
      </c>
      <c r="Q567" s="304">
        <f t="shared" ca="1" si="251"/>
        <v>0</v>
      </c>
      <c r="R567" s="306">
        <f t="shared" ca="1" si="252"/>
        <v>0</v>
      </c>
      <c r="S567" s="307">
        <f t="shared" ca="1" si="253"/>
        <v>7.8079999999999892</v>
      </c>
      <c r="T567" s="304">
        <f t="shared" ca="1" si="233"/>
        <v>76.5964799999999</v>
      </c>
      <c r="U567" s="311">
        <f t="shared" ca="1" si="234"/>
        <v>0</v>
      </c>
      <c r="V567" s="306">
        <f t="shared" ca="1" si="235"/>
        <v>1.0754377351593669</v>
      </c>
      <c r="W567" s="304">
        <f t="shared" ca="1" si="236"/>
        <v>6.9107840728278038</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7.2490135188972076</v>
      </c>
      <c r="AH567" s="304">
        <f t="shared" ca="1" si="260"/>
        <v>-0.85598303746048454</v>
      </c>
    </row>
    <row r="568" spans="1:34" x14ac:dyDescent="0.2">
      <c r="A568" s="347">
        <f t="shared" ca="1" si="238"/>
        <v>0.1</v>
      </c>
      <c r="B568" s="304">
        <f t="shared" ca="1" si="239"/>
        <v>20.399999999999977</v>
      </c>
      <c r="D568" s="306">
        <f t="shared" ca="1" si="240"/>
        <v>-0.48950390992594317</v>
      </c>
      <c r="E568" s="307">
        <f t="shared" ca="1" si="241"/>
        <v>-9.0725920145728391</v>
      </c>
      <c r="F568" s="304">
        <f t="shared" ca="1" si="242"/>
        <v>9.08578779967503</v>
      </c>
      <c r="G568" s="306">
        <f t="shared" ca="1" si="243"/>
        <v>24.512777738264493</v>
      </c>
      <c r="H568" s="307">
        <f t="shared" ca="1" si="244"/>
        <v>-37.908014642093626</v>
      </c>
      <c r="I568" s="304">
        <f t="shared" ca="1" si="245"/>
        <v>45.143037630965196</v>
      </c>
      <c r="J568" s="306">
        <f t="shared" ca="1" si="246"/>
        <v>593.50801494925713</v>
      </c>
      <c r="K568" s="307">
        <f t="shared" ca="1" si="247"/>
        <v>1296.5485234210878</v>
      </c>
      <c r="L568" s="304">
        <f t="shared" ca="1" si="232"/>
        <v>1425.9347241000939</v>
      </c>
      <c r="M568" s="306">
        <f t="shared" ca="1" si="248"/>
        <v>-0.996787904431226</v>
      </c>
      <c r="N568" s="304">
        <f t="shared" ca="1" si="249"/>
        <v>-57.111739993598896</v>
      </c>
      <c r="P568" s="310">
        <f t="shared" ca="1" si="250"/>
        <v>23</v>
      </c>
      <c r="Q568" s="304">
        <f t="shared" ca="1" si="251"/>
        <v>0</v>
      </c>
      <c r="R568" s="306">
        <f t="shared" ca="1" si="252"/>
        <v>0</v>
      </c>
      <c r="S568" s="307">
        <f t="shared" ca="1" si="253"/>
        <v>7.8079999999999892</v>
      </c>
      <c r="T568" s="304">
        <f t="shared" ca="1" si="233"/>
        <v>76.5964799999999</v>
      </c>
      <c r="U568" s="311">
        <f t="shared" ca="1" si="234"/>
        <v>0</v>
      </c>
      <c r="V568" s="306">
        <f t="shared" ca="1" si="235"/>
        <v>1.0758423147117842</v>
      </c>
      <c r="W568" s="304">
        <f t="shared" ca="1" si="236"/>
        <v>7.1431814934874005</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7.2880571009663768</v>
      </c>
      <c r="AH568" s="304">
        <f t="shared" ca="1" si="260"/>
        <v>-0.88509017326175887</v>
      </c>
    </row>
    <row r="569" spans="1:34" x14ac:dyDescent="0.2">
      <c r="A569" s="347">
        <f t="shared" ca="1" si="238"/>
        <v>0.1</v>
      </c>
      <c r="B569" s="304">
        <f t="shared" ca="1" si="239"/>
        <v>20.499999999999979</v>
      </c>
      <c r="D569" s="306">
        <f t="shared" ca="1" si="240"/>
        <v>-0.49676801850474933</v>
      </c>
      <c r="E569" s="307">
        <f t="shared" ca="1" si="241"/>
        <v>-9.041768446633208</v>
      </c>
      <c r="F569" s="304">
        <f t="shared" ca="1" si="242"/>
        <v>9.0554047456058537</v>
      </c>
      <c r="G569" s="306">
        <f t="shared" ca="1" si="243"/>
        <v>24.463100936414019</v>
      </c>
      <c r="H569" s="307">
        <f t="shared" ca="1" si="244"/>
        <v>-38.812191486756944</v>
      </c>
      <c r="I569" s="304">
        <f t="shared" ca="1" si="245"/>
        <v>45.878421021542025</v>
      </c>
      <c r="J569" s="306">
        <f t="shared" ca="1" si="246"/>
        <v>595.95680888299103</v>
      </c>
      <c r="K569" s="307">
        <f t="shared" ca="1" si="247"/>
        <v>1292.7125131146452</v>
      </c>
      <c r="L569" s="304">
        <f t="shared" ca="1" si="232"/>
        <v>1423.4711657132993</v>
      </c>
      <c r="M569" s="306">
        <f t="shared" ca="1" si="248"/>
        <v>-1.0083989693076021</v>
      </c>
      <c r="N569" s="304">
        <f t="shared" ca="1" si="249"/>
        <v>-57.777005006667835</v>
      </c>
      <c r="P569" s="310">
        <f t="shared" ca="1" si="250"/>
        <v>23</v>
      </c>
      <c r="Q569" s="304">
        <f t="shared" ca="1" si="251"/>
        <v>0</v>
      </c>
      <c r="R569" s="306">
        <f t="shared" ca="1" si="252"/>
        <v>0</v>
      </c>
      <c r="S569" s="307">
        <f t="shared" ca="1" si="253"/>
        <v>7.8079999999999892</v>
      </c>
      <c r="T569" s="304">
        <f t="shared" ca="1" si="233"/>
        <v>76.5964799999999</v>
      </c>
      <c r="U569" s="311">
        <f t="shared" ca="1" si="234"/>
        <v>0</v>
      </c>
      <c r="V569" s="306">
        <f t="shared" ca="1" si="235"/>
        <v>1.0762568253020761</v>
      </c>
      <c r="W569" s="304">
        <f t="shared" ca="1" si="236"/>
        <v>7.3806455432002158</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7.3229083373324304</v>
      </c>
      <c r="AH569" s="304">
        <f t="shared" ca="1" si="260"/>
        <v>-0.91485418717820322</v>
      </c>
    </row>
    <row r="570" spans="1:34" x14ac:dyDescent="0.2">
      <c r="A570" s="347">
        <f t="shared" ca="1" si="238"/>
        <v>0.1</v>
      </c>
      <c r="B570" s="304">
        <f t="shared" ca="1" si="239"/>
        <v>20.59999999999998</v>
      </c>
      <c r="D570" s="306">
        <f t="shared" ca="1" si="240"/>
        <v>-0.50403139530516039</v>
      </c>
      <c r="E570" s="307">
        <f t="shared" ca="1" si="241"/>
        <v>-9.010323659671382</v>
      </c>
      <c r="F570" s="304">
        <f t="shared" ca="1" si="242"/>
        <v>9.0244102355493094</v>
      </c>
      <c r="G570" s="306">
        <f t="shared" ca="1" si="243"/>
        <v>24.412697796883503</v>
      </c>
      <c r="H570" s="307">
        <f t="shared" ca="1" si="244"/>
        <v>-39.713223852724084</v>
      </c>
      <c r="I570" s="304">
        <f t="shared" ca="1" si="245"/>
        <v>46.616734790185959</v>
      </c>
      <c r="J570" s="306">
        <f t="shared" ca="1" si="246"/>
        <v>598.4005988196559</v>
      </c>
      <c r="K570" s="307">
        <f t="shared" ca="1" si="247"/>
        <v>1288.7862423476711</v>
      </c>
      <c r="L570" s="304">
        <f t="shared" ca="1" si="232"/>
        <v>1420.9339376383241</v>
      </c>
      <c r="M570" s="306">
        <f t="shared" ca="1" si="248"/>
        <v>-1.0196201696299669</v>
      </c>
      <c r="N570" s="304">
        <f t="shared" ca="1" si="249"/>
        <v>-58.419932426210181</v>
      </c>
      <c r="P570" s="310">
        <f t="shared" ca="1" si="250"/>
        <v>23</v>
      </c>
      <c r="Q570" s="304">
        <f t="shared" ca="1" si="251"/>
        <v>0</v>
      </c>
      <c r="R570" s="306">
        <f t="shared" ca="1" si="252"/>
        <v>0</v>
      </c>
      <c r="S570" s="307">
        <f t="shared" ca="1" si="253"/>
        <v>7.8079999999999892</v>
      </c>
      <c r="T570" s="304">
        <f t="shared" ca="1" si="233"/>
        <v>76.5964799999999</v>
      </c>
      <c r="U570" s="311">
        <f t="shared" ca="1" si="234"/>
        <v>0</v>
      </c>
      <c r="V570" s="306">
        <f t="shared" ca="1" si="235"/>
        <v>1.0766812439278082</v>
      </c>
      <c r="W570" s="304">
        <f t="shared" ca="1" si="236"/>
        <v>7.6231129365608252</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7.3537891851146124</v>
      </c>
      <c r="AH570" s="304">
        <f t="shared" ca="1" si="260"/>
        <v>-0.94526710338117648</v>
      </c>
    </row>
    <row r="571" spans="1:34" x14ac:dyDescent="0.2">
      <c r="A571" s="347">
        <f t="shared" ca="1" si="238"/>
        <v>0.1</v>
      </c>
      <c r="B571" s="304">
        <f t="shared" ca="1" si="239"/>
        <v>20.699999999999982</v>
      </c>
      <c r="D571" s="306">
        <f t="shared" ca="1" si="240"/>
        <v>-0.51128902866001757</v>
      </c>
      <c r="E571" s="307">
        <f t="shared" ca="1" si="241"/>
        <v>-8.9782633432176748</v>
      </c>
      <c r="F571" s="304">
        <f t="shared" ca="1" si="242"/>
        <v>8.9928098573801911</v>
      </c>
      <c r="G571" s="306">
        <f t="shared" ca="1" si="243"/>
        <v>24.361568894017502</v>
      </c>
      <c r="H571" s="307">
        <f t="shared" ca="1" si="244"/>
        <v>-40.611050187045855</v>
      </c>
      <c r="I571" s="304">
        <f t="shared" ca="1" si="245"/>
        <v>47.357612231538006</v>
      </c>
      <c r="J571" s="306">
        <f t="shared" ca="1" si="246"/>
        <v>600.83931215420091</v>
      </c>
      <c r="K571" s="307">
        <f t="shared" ca="1" si="247"/>
        <v>1284.7700286456825</v>
      </c>
      <c r="L571" s="304">
        <f t="shared" ca="1" si="232"/>
        <v>1418.3236251068236</v>
      </c>
      <c r="M571" s="306">
        <f t="shared" ca="1" si="248"/>
        <v>-1.0304684687886105</v>
      </c>
      <c r="N571" s="304">
        <f t="shared" ca="1" si="249"/>
        <v>-59.041494182895782</v>
      </c>
      <c r="P571" s="310">
        <f t="shared" ca="1" si="250"/>
        <v>23</v>
      </c>
      <c r="Q571" s="304">
        <f t="shared" ca="1" si="251"/>
        <v>0</v>
      </c>
      <c r="R571" s="306">
        <f t="shared" ca="1" si="252"/>
        <v>0</v>
      </c>
      <c r="S571" s="307">
        <f t="shared" ca="1" si="253"/>
        <v>7.8079999999999892</v>
      </c>
      <c r="T571" s="304">
        <f t="shared" ca="1" si="233"/>
        <v>76.5964799999999</v>
      </c>
      <c r="U571" s="311">
        <f t="shared" ca="1" si="234"/>
        <v>0</v>
      </c>
      <c r="V571" s="306">
        <f t="shared" ca="1" si="235"/>
        <v>1.0771155471285023</v>
      </c>
      <c r="W571" s="304">
        <f t="shared" ca="1" si="236"/>
        <v>7.8705194026784566</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7.3809081430303838</v>
      </c>
      <c r="AH571" s="304">
        <f t="shared" ca="1" si="260"/>
        <v>-0.976320816670189</v>
      </c>
    </row>
    <row r="572" spans="1:34" x14ac:dyDescent="0.2">
      <c r="A572" s="347">
        <f t="shared" ca="1" si="238"/>
        <v>0.1</v>
      </c>
      <c r="B572" s="304">
        <f t="shared" ca="1" si="239"/>
        <v>20.799999999999983</v>
      </c>
      <c r="D572" s="306">
        <f t="shared" ca="1" si="240"/>
        <v>-0.5185361581531206</v>
      </c>
      <c r="E572" s="307">
        <f t="shared" ca="1" si="241"/>
        <v>-8.9455935229719294</v>
      </c>
      <c r="F572" s="304">
        <f t="shared" ca="1" si="242"/>
        <v>8.9606095342643695</v>
      </c>
      <c r="G572" s="306">
        <f t="shared" ca="1" si="243"/>
        <v>24.309715278202191</v>
      </c>
      <c r="H572" s="307">
        <f t="shared" ca="1" si="244"/>
        <v>-41.505609539343048</v>
      </c>
      <c r="I572" s="304">
        <f t="shared" ca="1" si="245"/>
        <v>48.10070560958188</v>
      </c>
      <c r="J572" s="306">
        <f t="shared" ca="1" si="246"/>
        <v>603.27287636281187</v>
      </c>
      <c r="K572" s="307">
        <f t="shared" ca="1" si="247"/>
        <v>1280.664195659363</v>
      </c>
      <c r="L572" s="304">
        <f t="shared" ca="1" si="232"/>
        <v>1415.6408249972533</v>
      </c>
      <c r="M572" s="306">
        <f t="shared" ca="1" si="248"/>
        <v>-1.0409600508997654</v>
      </c>
      <c r="N572" s="304">
        <f t="shared" ca="1" si="249"/>
        <v>-59.642617558279909</v>
      </c>
      <c r="P572" s="310">
        <f t="shared" ca="1" si="250"/>
        <v>23</v>
      </c>
      <c r="Q572" s="304">
        <f t="shared" ca="1" si="251"/>
        <v>0</v>
      </c>
      <c r="R572" s="306">
        <f t="shared" ca="1" si="252"/>
        <v>0</v>
      </c>
      <c r="S572" s="307">
        <f t="shared" ca="1" si="253"/>
        <v>7.8079999999999892</v>
      </c>
      <c r="T572" s="304">
        <f t="shared" ca="1" si="233"/>
        <v>76.5964799999999</v>
      </c>
      <c r="U572" s="311">
        <f t="shared" ca="1" si="234"/>
        <v>0</v>
      </c>
      <c r="V572" s="306">
        <f t="shared" ca="1" si="235"/>
        <v>1.0775597109884651</v>
      </c>
      <c r="W572" s="304">
        <f t="shared" ca="1" si="236"/>
        <v>8.1227997107796277</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7.4044610074305428</v>
      </c>
      <c r="AH572" s="304">
        <f t="shared" ca="1" si="260"/>
        <v>-1.0080070956299267</v>
      </c>
    </row>
    <row r="573" spans="1:34" x14ac:dyDescent="0.2">
      <c r="A573" s="347">
        <f t="shared" ca="1" si="238"/>
        <v>0.1</v>
      </c>
      <c r="B573" s="304">
        <f t="shared" ca="1" si="239"/>
        <v>20.899999999999984</v>
      </c>
      <c r="D573" s="306">
        <f t="shared" ca="1" si="240"/>
        <v>-0.52576826039997493</v>
      </c>
      <c r="E573" s="307">
        <f t="shared" ca="1" si="241"/>
        <v>-8.9123205383278012</v>
      </c>
      <c r="F573" s="304">
        <f t="shared" ca="1" si="242"/>
        <v>8.9278155022123737</v>
      </c>
      <c r="G573" s="306">
        <f t="shared" ca="1" si="243"/>
        <v>24.257138452162192</v>
      </c>
      <c r="H573" s="307">
        <f t="shared" ca="1" si="244"/>
        <v>-42.396841593175829</v>
      </c>
      <c r="I573" s="304">
        <f t="shared" ca="1" si="245"/>
        <v>48.845684998413212</v>
      </c>
      <c r="J573" s="306">
        <f t="shared" ca="1" si="246"/>
        <v>605.70121904933012</v>
      </c>
      <c r="K573" s="307">
        <f t="shared" ca="1" si="247"/>
        <v>1276.4690731027372</v>
      </c>
      <c r="L573" s="304">
        <f t="shared" ca="1" si="232"/>
        <v>1412.8861459245772</v>
      </c>
      <c r="M573" s="306">
        <f t="shared" ca="1" si="248"/>
        <v>-1.0511103463920481</v>
      </c>
      <c r="N573" s="304">
        <f t="shared" ca="1" si="249"/>
        <v>-60.224186650798373</v>
      </c>
      <c r="P573" s="310">
        <f t="shared" ca="1" si="250"/>
        <v>23</v>
      </c>
      <c r="Q573" s="304">
        <f t="shared" ca="1" si="251"/>
        <v>0</v>
      </c>
      <c r="R573" s="306">
        <f t="shared" ca="1" si="252"/>
        <v>0</v>
      </c>
      <c r="S573" s="307">
        <f t="shared" ca="1" si="253"/>
        <v>7.8079999999999892</v>
      </c>
      <c r="T573" s="304">
        <f t="shared" ca="1" si="233"/>
        <v>76.5964799999999</v>
      </c>
      <c r="U573" s="311">
        <f t="shared" ca="1" si="234"/>
        <v>0</v>
      </c>
      <c r="V573" s="306">
        <f t="shared" ca="1" si="235"/>
        <v>1.0780137111399168</v>
      </c>
      <c r="W573" s="304">
        <f t="shared" ca="1" si="236"/>
        <v>8.3798876966850795</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7.4246316164127206</v>
      </c>
      <c r="AH573" s="304">
        <f t="shared" ca="1" si="260"/>
        <v>-1.0403175859092775</v>
      </c>
    </row>
    <row r="574" spans="1:34" x14ac:dyDescent="0.2">
      <c r="A574" s="347">
        <f t="shared" ca="1" si="238"/>
        <v>0.1</v>
      </c>
      <c r="B574" s="304">
        <f t="shared" ca="1" si="239"/>
        <v>20.999999999999986</v>
      </c>
      <c r="D574" s="306">
        <f t="shared" ca="1" si="240"/>
        <v>-0.53298103569571442</v>
      </c>
      <c r="E574" s="307">
        <f t="shared" ca="1" si="241"/>
        <v>-8.8784510216602328</v>
      </c>
      <c r="F574" s="304">
        <f t="shared" ca="1" si="242"/>
        <v>8.8944342893986743</v>
      </c>
      <c r="G574" s="306">
        <f t="shared" ca="1" si="243"/>
        <v>24.203840348592621</v>
      </c>
      <c r="H574" s="307">
        <f t="shared" ca="1" si="244"/>
        <v>-43.284686695341854</v>
      </c>
      <c r="I574" s="304">
        <f t="shared" ca="1" si="245"/>
        <v>49.592237194283385</v>
      </c>
      <c r="J574" s="306">
        <f t="shared" ca="1" si="246"/>
        <v>608.12426798936781</v>
      </c>
      <c r="K574" s="307">
        <f t="shared" ca="1" si="247"/>
        <v>1272.1849966883112</v>
      </c>
      <c r="L574" s="304">
        <f t="shared" ca="1" si="232"/>
        <v>1410.0602083302838</v>
      </c>
      <c r="M574" s="306">
        <f t="shared" ca="1" si="248"/>
        <v>-1.0609340591369001</v>
      </c>
      <c r="N574" s="304">
        <f t="shared" ca="1" si="249"/>
        <v>-60.78704393022727</v>
      </c>
      <c r="P574" s="310">
        <f t="shared" ca="1" si="250"/>
        <v>23</v>
      </c>
      <c r="Q574" s="304">
        <f t="shared" ca="1" si="251"/>
        <v>0</v>
      </c>
      <c r="R574" s="306">
        <f t="shared" ca="1" si="252"/>
        <v>0</v>
      </c>
      <c r="S574" s="307">
        <f t="shared" ca="1" si="253"/>
        <v>7.8079999999999892</v>
      </c>
      <c r="T574" s="304">
        <f t="shared" ca="1" si="233"/>
        <v>76.5964799999999</v>
      </c>
      <c r="U574" s="311">
        <f t="shared" ca="1" si="234"/>
        <v>0</v>
      </c>
      <c r="V574" s="306">
        <f t="shared" ca="1" si="235"/>
        <v>1.0784775227663919</v>
      </c>
      <c r="W574" s="304">
        <f t="shared" ca="1" si="236"/>
        <v>8.6417162900877429</v>
      </c>
      <c r="Y574" s="314" t="str">
        <f t="shared" ca="1" si="254"/>
        <v/>
      </c>
      <c r="Z574" s="315" t="str">
        <f t="shared" ca="1" si="255"/>
        <v/>
      </c>
      <c r="AA574" s="316" t="str">
        <f t="shared" ca="1" si="256"/>
        <v/>
      </c>
      <c r="AC574" s="310">
        <f t="shared" ca="1" si="257"/>
        <v>20.999999999999986</v>
      </c>
      <c r="AD574" s="323">
        <f t="shared" ca="1" si="258"/>
        <v>608.12426798936781</v>
      </c>
      <c r="AE574" s="324" t="e">
        <f t="shared" ca="1" si="237"/>
        <v>#N/A</v>
      </c>
      <c r="AG574" s="306">
        <f t="shared" ca="1" si="259"/>
        <v>7.4415925745469522</v>
      </c>
      <c r="AH574" s="304">
        <f t="shared" ca="1" si="260"/>
        <v>-1.0732438136123323</v>
      </c>
    </row>
    <row r="575" spans="1:34" x14ac:dyDescent="0.2">
      <c r="A575" s="347">
        <f t="shared" ca="1" si="238"/>
        <v>0.1</v>
      </c>
      <c r="B575" s="304">
        <f t="shared" ca="1" si="239"/>
        <v>21.099999999999987</v>
      </c>
      <c r="D575" s="306">
        <f t="shared" ca="1" si="240"/>
        <v>-0.54017039550038914</v>
      </c>
      <c r="E575" s="307">
        <f t="shared" ca="1" si="241"/>
        <v>-8.8439918791980965</v>
      </c>
      <c r="F575" s="304">
        <f t="shared" ca="1" si="242"/>
        <v>8.8604726970685324</v>
      </c>
      <c r="G575" s="306">
        <f t="shared" ca="1" si="243"/>
        <v>24.149823309042581</v>
      </c>
      <c r="H575" s="307">
        <f t="shared" ca="1" si="244"/>
        <v>-44.169085883261666</v>
      </c>
      <c r="I575" s="304">
        <f t="shared" ca="1" si="245"/>
        <v>50.340064696232972</v>
      </c>
      <c r="J575" s="306">
        <f t="shared" ca="1" si="246"/>
        <v>610.54195117224958</v>
      </c>
      <c r="K575" s="307">
        <f t="shared" ca="1" si="247"/>
        <v>1267.8123080593812</v>
      </c>
      <c r="L575" s="304">
        <f t="shared" ca="1" si="232"/>
        <v>1407.1636445730371</v>
      </c>
      <c r="M575" s="306">
        <f t="shared" ca="1" si="248"/>
        <v>-1.0704451945510012</v>
      </c>
      <c r="N575" s="304">
        <f t="shared" ca="1" si="249"/>
        <v>-61.331991847832676</v>
      </c>
      <c r="P575" s="310">
        <f t="shared" ca="1" si="250"/>
        <v>23</v>
      </c>
      <c r="Q575" s="304">
        <f t="shared" ca="1" si="251"/>
        <v>0</v>
      </c>
      <c r="R575" s="306">
        <f t="shared" ca="1" si="252"/>
        <v>0</v>
      </c>
      <c r="S575" s="307">
        <f t="shared" ca="1" si="253"/>
        <v>7.8079999999999892</v>
      </c>
      <c r="T575" s="304">
        <f t="shared" ca="1" si="233"/>
        <v>76.5964799999999</v>
      </c>
      <c r="U575" s="311">
        <f t="shared" ca="1" si="234"/>
        <v>0</v>
      </c>
      <c r="V575" s="306">
        <f t="shared" ca="1" si="235"/>
        <v>1.0789511206064004</v>
      </c>
      <c r="W575" s="304">
        <f t="shared" ca="1" si="236"/>
        <v>8.9082175425631434</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7.4555059527770204</v>
      </c>
      <c r="AH575" s="304">
        <f t="shared" ca="1" si="260"/>
        <v>-1.1067771887919768</v>
      </c>
    </row>
    <row r="576" spans="1:34" x14ac:dyDescent="0.2">
      <c r="A576" s="347">
        <f t="shared" ca="1" si="238"/>
        <v>0.1</v>
      </c>
      <c r="B576" s="304">
        <f t="shared" ca="1" si="239"/>
        <v>21.199999999999989</v>
      </c>
      <c r="D576" s="306">
        <f t="shared" ca="1" si="240"/>
        <v>-0.54733245072700953</v>
      </c>
      <c r="E576" s="307">
        <f t="shared" ca="1" si="241"/>
        <v>-8.8089502733212424</v>
      </c>
      <c r="F576" s="304">
        <f t="shared" ca="1" si="242"/>
        <v>8.82593778187141</v>
      </c>
      <c r="G576" s="306">
        <f t="shared" ca="1" si="243"/>
        <v>24.095090063969881</v>
      </c>
      <c r="H576" s="307">
        <f t="shared" ca="1" si="244"/>
        <v>-45.049980910593789</v>
      </c>
      <c r="I576" s="304">
        <f t="shared" ca="1" si="245"/>
        <v>51.088884752318528</v>
      </c>
      <c r="J576" s="306">
        <f t="shared" ca="1" si="246"/>
        <v>612.95419684090018</v>
      </c>
      <c r="K576" s="307">
        <f t="shared" ca="1" si="247"/>
        <v>1263.3513547196883</v>
      </c>
      <c r="L576" s="304">
        <f t="shared" ca="1" si="232"/>
        <v>1404.197099020271</v>
      </c>
      <c r="M576" s="306">
        <f t="shared" ca="1" si="248"/>
        <v>-1.0796570882043315</v>
      </c>
      <c r="N576" s="304">
        <f t="shared" ca="1" si="249"/>
        <v>-61.859794475491853</v>
      </c>
      <c r="P576" s="310">
        <f t="shared" ca="1" si="250"/>
        <v>23</v>
      </c>
      <c r="Q576" s="304">
        <f t="shared" ca="1" si="251"/>
        <v>0</v>
      </c>
      <c r="R576" s="306">
        <f t="shared" ca="1" si="252"/>
        <v>0</v>
      </c>
      <c r="S576" s="307">
        <f t="shared" ca="1" si="253"/>
        <v>7.8079999999999892</v>
      </c>
      <c r="T576" s="304">
        <f t="shared" ca="1" si="233"/>
        <v>76.5964799999999</v>
      </c>
      <c r="U576" s="311">
        <f t="shared" ca="1" si="234"/>
        <v>0</v>
      </c>
      <c r="V576" s="306">
        <f t="shared" ca="1" si="235"/>
        <v>1.0794344789573251</v>
      </c>
      <c r="W576" s="304">
        <f t="shared" ca="1" si="236"/>
        <v>9.1793226562476988</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7.4665239597014548</v>
      </c>
      <c r="AH576" s="304">
        <f t="shared" ca="1" si="260"/>
        <v>-1.1409090090372893</v>
      </c>
    </row>
    <row r="577" spans="1:34" x14ac:dyDescent="0.2">
      <c r="A577" s="347">
        <f t="shared" ca="1" si="238"/>
        <v>0.1</v>
      </c>
      <c r="B577" s="304">
        <f t="shared" ca="1" si="239"/>
        <v>21.29999999999999</v>
      </c>
      <c r="D577" s="306">
        <f t="shared" ca="1" si="240"/>
        <v>-0.55446350079457363</v>
      </c>
      <c r="E577" s="307">
        <f t="shared" ca="1" si="241"/>
        <v>-8.7733336061371379</v>
      </c>
      <c r="F577" s="304">
        <f t="shared" ca="1" si="242"/>
        <v>8.7908368394760146</v>
      </c>
      <c r="G577" s="306">
        <f t="shared" ca="1" si="243"/>
        <v>24.039643713890424</v>
      </c>
      <c r="H577" s="307">
        <f t="shared" ca="1" si="244"/>
        <v>-45.9273142712075</v>
      </c>
      <c r="I577" s="304">
        <f t="shared" ca="1" si="245"/>
        <v>51.838428468242086</v>
      </c>
      <c r="J577" s="306">
        <f t="shared" ca="1" si="246"/>
        <v>615.36093352979321</v>
      </c>
      <c r="K577" s="307">
        <f t="shared" ca="1" si="247"/>
        <v>1258.8024899605982</v>
      </c>
      <c r="L577" s="304">
        <f t="shared" ca="1" si="232"/>
        <v>1401.1612281410232</v>
      </c>
      <c r="M577" s="306">
        <f t="shared" ca="1" si="248"/>
        <v>-1.0885824345571917</v>
      </c>
      <c r="N577" s="304">
        <f t="shared" ca="1" si="249"/>
        <v>-62.371179152203226</v>
      </c>
      <c r="P577" s="310">
        <f t="shared" ca="1" si="250"/>
        <v>23</v>
      </c>
      <c r="Q577" s="304">
        <f t="shared" ca="1" si="251"/>
        <v>0</v>
      </c>
      <c r="R577" s="306">
        <f t="shared" ca="1" si="252"/>
        <v>0</v>
      </c>
      <c r="S577" s="307">
        <f t="shared" ca="1" si="253"/>
        <v>7.8079999999999892</v>
      </c>
      <c r="T577" s="304">
        <f t="shared" ca="1" si="233"/>
        <v>76.5964799999999</v>
      </c>
      <c r="U577" s="311">
        <f t="shared" ca="1" si="234"/>
        <v>0</v>
      </c>
      <c r="V577" s="306">
        <f t="shared" ca="1" si="235"/>
        <v>1.0799275716795476</v>
      </c>
      <c r="W577" s="304">
        <f t="shared" ca="1" si="236"/>
        <v>9.4549620131242467</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7.474789581751228</v>
      </c>
      <c r="AH577" s="304">
        <f t="shared" ca="1" si="260"/>
        <v>-1.1756304631464793</v>
      </c>
    </row>
    <row r="578" spans="1:34" x14ac:dyDescent="0.2">
      <c r="A578" s="347">
        <f t="shared" ca="1" si="238"/>
        <v>0.1</v>
      </c>
      <c r="B578" s="304">
        <f t="shared" ca="1" si="239"/>
        <v>21.399999999999991</v>
      </c>
      <c r="D578" s="306">
        <f t="shared" ca="1" si="240"/>
        <v>-0.56156002340645628</v>
      </c>
      <c r="E578" s="307">
        <f t="shared" ca="1" si="241"/>
        <v>-8.7371495042069771</v>
      </c>
      <c r="F578" s="304">
        <f t="shared" ca="1" si="242"/>
        <v>8.7551773893366942</v>
      </c>
      <c r="G578" s="306">
        <f t="shared" ca="1" si="243"/>
        <v>23.983487711549778</v>
      </c>
      <c r="H578" s="307">
        <f t="shared" ca="1" si="244"/>
        <v>-46.801029221628198</v>
      </c>
      <c r="I578" s="304">
        <f t="shared" ca="1" si="245"/>
        <v>52.588439975091063</v>
      </c>
      <c r="J578" s="306">
        <f t="shared" ca="1" si="246"/>
        <v>617.76209010106527</v>
      </c>
      <c r="K578" s="307">
        <f t="shared" ca="1" si="247"/>
        <v>1254.1660727859564</v>
      </c>
      <c r="L578" s="304">
        <f t="shared" ca="1" si="232"/>
        <v>1398.0567006002959</v>
      </c>
      <c r="M578" s="306">
        <f t="shared" ca="1" si="248"/>
        <v>-1.097233315525115</v>
      </c>
      <c r="N578" s="304">
        <f t="shared" ca="1" si="249"/>
        <v>-62.866838120735281</v>
      </c>
      <c r="P578" s="310">
        <f t="shared" ca="1" si="250"/>
        <v>23</v>
      </c>
      <c r="Q578" s="304">
        <f t="shared" ca="1" si="251"/>
        <v>0</v>
      </c>
      <c r="R578" s="306">
        <f t="shared" ca="1" si="252"/>
        <v>0</v>
      </c>
      <c r="S578" s="307">
        <f t="shared" ca="1" si="253"/>
        <v>7.8079999999999892</v>
      </c>
      <c r="T578" s="304">
        <f t="shared" ca="1" si="233"/>
        <v>76.5964799999999</v>
      </c>
      <c r="U578" s="311">
        <f t="shared" ca="1" si="234"/>
        <v>0</v>
      </c>
      <c r="V578" s="306">
        <f t="shared" ca="1" si="235"/>
        <v>1.0804303722007746</v>
      </c>
      <c r="W578" s="304">
        <f t="shared" ca="1" si="236"/>
        <v>9.7350652048573227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7.480437190821605</v>
      </c>
      <c r="AH578" s="304">
        <f t="shared" ca="1" si="260"/>
        <v>-1.2109326348775948</v>
      </c>
    </row>
    <row r="579" spans="1:34" x14ac:dyDescent="0.2">
      <c r="A579" s="347">
        <f t="shared" ca="1" si="238"/>
        <v>0.1</v>
      </c>
      <c r="B579" s="304">
        <f t="shared" ca="1" si="239"/>
        <v>21.499999999999993</v>
      </c>
      <c r="D579" s="306">
        <f t="shared" ca="1" si="240"/>
        <v>-0.5686186650137105</v>
      </c>
      <c r="E579" s="307">
        <f t="shared" ca="1" si="241"/>
        <v>-8.7004058043045056</v>
      </c>
      <c r="F579" s="304">
        <f t="shared" ca="1" si="242"/>
        <v>8.7189671604942696</v>
      </c>
      <c r="G579" s="306">
        <f t="shared" ca="1" si="243"/>
        <v>23.926625845048406</v>
      </c>
      <c r="H579" s="307">
        <f t="shared" ca="1" si="244"/>
        <v>-47.671069802058646</v>
      </c>
      <c r="I579" s="304">
        <f t="shared" ca="1" si="245"/>
        <v>53.338675652866435</v>
      </c>
      <c r="J579" s="306">
        <f t="shared" ca="1" si="246"/>
        <v>620.15759577889514</v>
      </c>
      <c r="K579" s="307">
        <f t="shared" ca="1" si="247"/>
        <v>1249.4424678347721</v>
      </c>
      <c r="L579" s="304">
        <f t="shared" ca="1" si="232"/>
        <v>1394.884197355216</v>
      </c>
      <c r="M579" s="306">
        <f t="shared" ca="1" si="248"/>
        <v>-1.1056212286341105</v>
      </c>
      <c r="N579" s="304">
        <f t="shared" ca="1" si="249"/>
        <v>-63.347430140803176</v>
      </c>
      <c r="P579" s="310">
        <f t="shared" ca="1" si="250"/>
        <v>23</v>
      </c>
      <c r="Q579" s="304">
        <f t="shared" ca="1" si="251"/>
        <v>0</v>
      </c>
      <c r="R579" s="306">
        <f t="shared" ca="1" si="252"/>
        <v>0</v>
      </c>
      <c r="S579" s="307">
        <f t="shared" ca="1" si="253"/>
        <v>7.8079999999999892</v>
      </c>
      <c r="T579" s="304">
        <f t="shared" ca="1" si="233"/>
        <v>76.5964799999999</v>
      </c>
      <c r="U579" s="311">
        <f t="shared" ca="1" si="234"/>
        <v>0</v>
      </c>
      <c r="V579" s="306">
        <f t="shared" ca="1" si="235"/>
        <v>1.0809428535205656</v>
      </c>
      <c r="W579" s="304">
        <f t="shared" ca="1" si="236"/>
        <v>10.019561063124032</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7.4835931187305222</v>
      </c>
      <c r="AH579" s="304">
        <f t="shared" ca="1" si="260"/>
        <v>-1.2468065067696383</v>
      </c>
    </row>
    <row r="580" spans="1:34" x14ac:dyDescent="0.2">
      <c r="A580" s="347">
        <f t="shared" ca="1" si="238"/>
        <v>0.1</v>
      </c>
      <c r="B580" s="304">
        <f t="shared" ca="1" si="239"/>
        <v>21.599999999999994</v>
      </c>
      <c r="D580" s="306">
        <f t="shared" ca="1" si="240"/>
        <v>-0.57563623192280511</v>
      </c>
      <c r="E580" s="307">
        <f t="shared" ca="1" si="241"/>
        <v>-8.6631105401029629</v>
      </c>
      <c r="F580" s="304">
        <f t="shared" ca="1" si="242"/>
        <v>8.6822140783066004</v>
      </c>
      <c r="G580" s="306">
        <f t="shared" ca="1" si="243"/>
        <v>23.869062221856126</v>
      </c>
      <c r="H580" s="307">
        <f t="shared" ca="1" si="244"/>
        <v>-48.537380856068943</v>
      </c>
      <c r="I580" s="304">
        <f t="shared" ca="1" si="245"/>
        <v>54.088903406502219</v>
      </c>
      <c r="J580" s="306">
        <f t="shared" ca="1" si="246"/>
        <v>622.54738018224032</v>
      </c>
      <c r="K580" s="307">
        <f t="shared" ca="1" si="247"/>
        <v>1244.6320453018657</v>
      </c>
      <c r="L580" s="304">
        <f t="shared" ref="L580:L643" ca="1" si="261">SQRT(pos_x^2+pos_z^2)</f>
        <v>1391.6444117532596</v>
      </c>
      <c r="M580" s="306">
        <f t="shared" ca="1" si="248"/>
        <v>-1.1137571145817422</v>
      </c>
      <c r="N580" s="304">
        <f t="shared" ca="1" si="249"/>
        <v>-63.813582068202265</v>
      </c>
      <c r="P580" s="310">
        <f t="shared" ca="1" si="250"/>
        <v>23</v>
      </c>
      <c r="Q580" s="304">
        <f t="shared" ca="1" si="251"/>
        <v>0</v>
      </c>
      <c r="R580" s="306">
        <f t="shared" ca="1" si="252"/>
        <v>0</v>
      </c>
      <c r="S580" s="307">
        <f t="shared" ca="1" si="253"/>
        <v>7.8079999999999892</v>
      </c>
      <c r="T580" s="304">
        <f t="shared" ref="T580:T643" ca="1" si="262">m*g</f>
        <v>76.5964799999999</v>
      </c>
      <c r="U580" s="311">
        <f t="shared" ref="U580:U643" ca="1" si="263">IF(pos_xz&lt;L_rampe,Poids*COS(Beta),0)</f>
        <v>0</v>
      </c>
      <c r="V580" s="306">
        <f t="shared" ref="V580:V643" ca="1" si="264">Rho_moyen*(20000-Alt_rampe-pos_z)/(20000+Alt_rampe+pos_z)</f>
        <v>1.0814649882150387</v>
      </c>
      <c r="W580" s="304">
        <f t="shared" ref="W580:W643" ca="1" si="265">1/2*Rho*Sref*Cx*vit_xz^2</f>
        <v>10.308377690388955</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7.4843761985056796</v>
      </c>
      <c r="AH580" s="304">
        <f t="shared" ca="1" si="260"/>
        <v>-1.2832429640271574</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-0.58260968200788743</v>
      </c>
      <c r="E581" s="307">
        <f t="shared" ref="E581:E644" ca="1" si="270">IF(AND(L580&lt;L_rampe,Poussee&lt;Poids*SIN(M580)),0,(-W580+Poussee)/m*SIN(M580)+U580/m*COS(M580)-Poids/m)</f>
        <v>-8.6252719296966571</v>
      </c>
      <c r="F581" s="304">
        <f t="shared" ref="F581:F644" ca="1" si="271">SQRT(acc_x^2+acc_z^2)</f>
        <v>8.6449262520152494</v>
      </c>
      <c r="G581" s="306">
        <f t="shared" ref="G581:G644" ca="1" si="272">G580+acc_x*pas</f>
        <v>23.810801253655338</v>
      </c>
      <c r="H581" s="307">
        <f t="shared" ref="H581:H644" ca="1" si="273">H580+acc_z*pas</f>
        <v>-49.399908049038608</v>
      </c>
      <c r="I581" s="304">
        <f t="shared" ref="I581:I644" ca="1" si="274">SQRT(vit_x^2+vit_z^2)</f>
        <v>54.838901991146251</v>
      </c>
      <c r="J581" s="306">
        <f t="shared" ref="J581:J644" ca="1" si="275">J580+0.5*(vit_x+G580)*pas*(K580&gt;=0)</f>
        <v>624.93137335601591</v>
      </c>
      <c r="K581" s="307">
        <f t="shared" ref="K581:K644" ca="1" si="276">K580+0.5*(vit_z+H580)*pas</f>
        <v>1239.7351808566102</v>
      </c>
      <c r="L581" s="304">
        <f t="shared" ca="1" si="261"/>
        <v>1388.3380496328004</v>
      </c>
      <c r="M581" s="306">
        <f t="shared" ref="M581:M644" ca="1" si="277">IF(AND(L580&gt;L_rampe,G581&gt;0),ATAN2(G581,H581),$M$4)</f>
        <v>-1.1216513840636881</v>
      </c>
      <c r="N581" s="304">
        <f t="shared" ref="N581:N644" ca="1" si="278">DEGREES(Beta)</f>
        <v>-64.265890391856701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7.8079999999999892</v>
      </c>
      <c r="T581" s="304">
        <f t="shared" ca="1" si="262"/>
        <v>76.5964799999999</v>
      </c>
      <c r="U581" s="311">
        <f t="shared" ca="1" si="263"/>
        <v>0</v>
      </c>
      <c r="V581" s="306">
        <f t="shared" ca="1" si="264"/>
        <v>1.0819967484417481</v>
      </c>
      <c r="W581" s="304">
        <f t="shared" ca="1" si="265"/>
        <v>10.601442491074227</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7.4828982729808837</v>
      </c>
      <c r="AH581" s="304">
        <f t="shared" ref="AH581:AH644" ca="1" si="289">IF(AND(L580&lt;L_rampe,Poussee&lt;Poids*SIN(M580)), g*SIN(M580), (-W580+Poussee)/m)</f>
        <v>-1.3202327984617019</v>
      </c>
    </row>
    <row r="582" spans="1:34" x14ac:dyDescent="0.2">
      <c r="A582" s="347">
        <f t="shared" ca="1" si="267"/>
        <v>0.1</v>
      </c>
      <c r="B582" s="304">
        <f t="shared" ca="1" si="268"/>
        <v>21.799999999999997</v>
      </c>
      <c r="D582" s="306">
        <f t="shared" ca="1" si="269"/>
        <v>-0.58953611698867692</v>
      </c>
      <c r="E582" s="307">
        <f t="shared" ca="1" si="270"/>
        <v>-8.5868983638735372</v>
      </c>
      <c r="F582" s="304">
        <f t="shared" ca="1" si="271"/>
        <v>8.6071119630645043</v>
      </c>
      <c r="G582" s="306">
        <f t="shared" ca="1" si="272"/>
        <v>23.75184764195647</v>
      </c>
      <c r="H582" s="307">
        <f t="shared" ca="1" si="273"/>
        <v>-50.258597885425964</v>
      </c>
      <c r="I582" s="304">
        <f t="shared" ca="1" si="274"/>
        <v>55.588460383569327</v>
      </c>
      <c r="J582" s="306">
        <f t="shared" ca="1" si="275"/>
        <v>627.3095058007965</v>
      </c>
      <c r="K582" s="307">
        <f t="shared" ca="1" si="276"/>
        <v>1234.7522555598871</v>
      </c>
      <c r="L582" s="304">
        <f t="shared" ca="1" si="261"/>
        <v>1384.9658294262238</v>
      </c>
      <c r="M582" s="306">
        <f t="shared" ca="1" si="277"/>
        <v>-1.129313943761928</v>
      </c>
      <c r="N582" s="304">
        <f t="shared" ca="1" si="278"/>
        <v>-64.704922722832876</v>
      </c>
      <c r="P582" s="310">
        <f t="shared" ca="1" si="279"/>
        <v>23</v>
      </c>
      <c r="Q582" s="304">
        <f t="shared" ca="1" si="280"/>
        <v>0</v>
      </c>
      <c r="R582" s="306">
        <f t="shared" ca="1" si="281"/>
        <v>0</v>
      </c>
      <c r="S582" s="307">
        <f t="shared" ca="1" si="282"/>
        <v>7.8079999999999892</v>
      </c>
      <c r="T582" s="304">
        <f t="shared" ca="1" si="262"/>
        <v>76.5964799999999</v>
      </c>
      <c r="U582" s="311">
        <f t="shared" ca="1" si="263"/>
        <v>0</v>
      </c>
      <c r="V582" s="306">
        <f t="shared" ca="1" si="264"/>
        <v>1.0825381059447183</v>
      </c>
      <c r="W582" s="304">
        <f t="shared" ca="1" si="265"/>
        <v>10.898682203078042</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7.4792646715381572</v>
      </c>
      <c r="AH582" s="304">
        <f t="shared" ca="1" si="289"/>
        <v>-1.3577667124838937</v>
      </c>
    </row>
    <row r="583" spans="1:34" x14ac:dyDescent="0.2">
      <c r="A583" s="347">
        <f t="shared" ca="1" si="267"/>
        <v>0.1</v>
      </c>
      <c r="B583" s="304">
        <f t="shared" ca="1" si="268"/>
        <v>21.9</v>
      </c>
      <c r="D583" s="306">
        <f t="shared" ca="1" si="269"/>
        <v>-0.59641277523643521</v>
      </c>
      <c r="E583" s="307">
        <f t="shared" ca="1" si="270"/>
        <v>-8.5479983950642318</v>
      </c>
      <c r="F583" s="304">
        <f t="shared" ca="1" si="271"/>
        <v>8.5687796540981207</v>
      </c>
      <c r="G583" s="306">
        <f t="shared" ca="1" si="272"/>
        <v>23.692206364432828</v>
      </c>
      <c r="H583" s="307">
        <f t="shared" ca="1" si="273"/>
        <v>-51.113397724932383</v>
      </c>
      <c r="I583" s="304">
        <f t="shared" ca="1" si="274"/>
        <v>56.337377196688827</v>
      </c>
      <c r="J583" s="306">
        <f t="shared" ca="1" si="275"/>
        <v>629.68170850111596</v>
      </c>
      <c r="K583" s="307">
        <f t="shared" ca="1" si="276"/>
        <v>1229.6836557793692</v>
      </c>
      <c r="L583" s="304">
        <f t="shared" ca="1" si="261"/>
        <v>1381.5284822658557</v>
      </c>
      <c r="M583" s="306">
        <f t="shared" ca="1" si="277"/>
        <v>-1.1367542214207575</v>
      </c>
      <c r="N583" s="304">
        <f t="shared" ca="1" si="278"/>
        <v>-65.13121923108929</v>
      </c>
      <c r="P583" s="310">
        <f t="shared" ca="1" si="279"/>
        <v>23</v>
      </c>
      <c r="Q583" s="304">
        <f t="shared" ca="1" si="280"/>
        <v>0</v>
      </c>
      <c r="R583" s="306">
        <f t="shared" ca="1" si="281"/>
        <v>0</v>
      </c>
      <c r="S583" s="307">
        <f t="shared" ca="1" si="282"/>
        <v>7.8079999999999892</v>
      </c>
      <c r="T583" s="304">
        <f t="shared" ca="1" si="262"/>
        <v>76.5964799999999</v>
      </c>
      <c r="U583" s="311">
        <f t="shared" ca="1" si="263"/>
        <v>0</v>
      </c>
      <c r="V583" s="306">
        <f t="shared" ca="1" si="264"/>
        <v>1.0830890320596325</v>
      </c>
      <c r="W583" s="304">
        <f t="shared" ca="1" si="265"/>
        <v>11.200022929597285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7.4735746560892951</v>
      </c>
      <c r="AH583" s="304">
        <f t="shared" ca="1" si="289"/>
        <v>-1.3958353231401202</v>
      </c>
    </row>
    <row r="584" spans="1:34" x14ac:dyDescent="0.2">
      <c r="A584" s="347">
        <f t="shared" ca="1" si="267"/>
        <v>0.1</v>
      </c>
      <c r="B584" s="304">
        <f t="shared" ca="1" si="268"/>
        <v>22</v>
      </c>
      <c r="D584" s="306">
        <f t="shared" ca="1" si="269"/>
        <v>-0.60323702507203458</v>
      </c>
      <c r="E584" s="307">
        <f t="shared" ca="1" si="270"/>
        <v>-8.5085807269009912</v>
      </c>
      <c r="F584" s="304">
        <f t="shared" ca="1" si="271"/>
        <v>8.5299379185670965</v>
      </c>
      <c r="G584" s="306">
        <f t="shared" ca="1" si="272"/>
        <v>23.631882661925623</v>
      </c>
      <c r="H584" s="307">
        <f t="shared" ca="1" si="273"/>
        <v>-51.964255797622485</v>
      </c>
      <c r="I584" s="304">
        <f t="shared" ca="1" si="274"/>
        <v>57.085460134326347</v>
      </c>
      <c r="J584" s="306">
        <f t="shared" ca="1" si="275"/>
        <v>632.04791295243388</v>
      </c>
      <c r="K584" s="307">
        <f t="shared" ca="1" si="276"/>
        <v>1224.5297731032415</v>
      </c>
      <c r="L584" s="304">
        <f t="shared" ca="1" si="261"/>
        <v>1378.0267520929351</v>
      </c>
      <c r="M584" s="306">
        <f t="shared" ca="1" si="277"/>
        <v>-1.1439811899614019</v>
      </c>
      <c r="N584" s="304">
        <f t="shared" ca="1" si="278"/>
        <v>-65.54529402714202</v>
      </c>
      <c r="P584" s="310">
        <f t="shared" ca="1" si="279"/>
        <v>23</v>
      </c>
      <c r="Q584" s="304">
        <f t="shared" ca="1" si="280"/>
        <v>0</v>
      </c>
      <c r="R584" s="306">
        <f t="shared" ca="1" si="281"/>
        <v>0</v>
      </c>
      <c r="S584" s="307">
        <f t="shared" ca="1" si="282"/>
        <v>7.8079999999999892</v>
      </c>
      <c r="T584" s="304">
        <f t="shared" ca="1" si="262"/>
        <v>76.5964799999999</v>
      </c>
      <c r="U584" s="311">
        <f t="shared" ca="1" si="263"/>
        <v>0</v>
      </c>
      <c r="V584" s="306">
        <f t="shared" ca="1" si="264"/>
        <v>1.0836494977191529</v>
      </c>
      <c r="W584" s="304">
        <f t="shared" ca="1" si="265"/>
        <v>11.505390171211573</v>
      </c>
      <c r="Y584" s="314" t="str">
        <f t="shared" ca="1" si="283"/>
        <v/>
      </c>
      <c r="Z584" s="315" t="str">
        <f t="shared" ca="1" si="284"/>
        <v/>
      </c>
      <c r="AA584" s="316" t="str">
        <f t="shared" ca="1" si="285"/>
        <v/>
      </c>
      <c r="AC584" s="310">
        <f t="shared" ca="1" si="286"/>
        <v>22</v>
      </c>
      <c r="AD584" s="323">
        <f t="shared" ca="1" si="287"/>
        <v>632.04791295243388</v>
      </c>
      <c r="AE584" s="324" t="e">
        <f t="shared" ca="1" si="266"/>
        <v>#N/A</v>
      </c>
      <c r="AG584" s="306">
        <f t="shared" ca="1" si="288"/>
        <v>7.4659218375688319</v>
      </c>
      <c r="AH584" s="304">
        <f t="shared" ca="1" si="289"/>
        <v>-1.434429166188179</v>
      </c>
    </row>
    <row r="585" spans="1:34" x14ac:dyDescent="0.2">
      <c r="A585" s="347">
        <f t="shared" ca="1" si="267"/>
        <v>0.1</v>
      </c>
      <c r="B585" s="304">
        <f t="shared" ca="1" si="268"/>
        <v>22.1</v>
      </c>
      <c r="D585" s="306">
        <f t="shared" ca="1" si="269"/>
        <v>-0.61000635852184015</v>
      </c>
      <c r="E585" s="307">
        <f t="shared" ca="1" si="270"/>
        <v>-8.4686542043272741</v>
      </c>
      <c r="F585" s="304">
        <f t="shared" ca="1" si="271"/>
        <v>8.4905954908891452</v>
      </c>
      <c r="G585" s="306">
        <f t="shared" ca="1" si="272"/>
        <v>23.570882026073438</v>
      </c>
      <c r="H585" s="307">
        <f t="shared" ca="1" si="273"/>
        <v>-52.811121218055213</v>
      </c>
      <c r="I585" s="304">
        <f t="shared" ca="1" si="274"/>
        <v>57.832525483461239</v>
      </c>
      <c r="J585" s="306">
        <f t="shared" ca="1" si="275"/>
        <v>634.40805118683386</v>
      </c>
      <c r="K585" s="307">
        <f t="shared" ca="1" si="276"/>
        <v>1219.2910042524577</v>
      </c>
      <c r="L585" s="304">
        <f t="shared" ca="1" si="261"/>
        <v>1374.4613957698641</v>
      </c>
      <c r="M585" s="306">
        <f t="shared" ca="1" si="277"/>
        <v>-1.1510033906059565</v>
      </c>
      <c r="N585" s="304">
        <f t="shared" ca="1" si="278"/>
        <v>-65.947636486969046</v>
      </c>
      <c r="P585" s="310">
        <f t="shared" ca="1" si="279"/>
        <v>23</v>
      </c>
      <c r="Q585" s="304">
        <f t="shared" ca="1" si="280"/>
        <v>0</v>
      </c>
      <c r="R585" s="306">
        <f t="shared" ca="1" si="281"/>
        <v>0</v>
      </c>
      <c r="S585" s="307">
        <f t="shared" ca="1" si="282"/>
        <v>7.8079999999999892</v>
      </c>
      <c r="T585" s="304">
        <f t="shared" ca="1" si="262"/>
        <v>76.5964799999999</v>
      </c>
      <c r="U585" s="311">
        <f t="shared" ca="1" si="263"/>
        <v>0</v>
      </c>
      <c r="V585" s="306">
        <f t="shared" ca="1" si="264"/>
        <v>1.0842194734583803</v>
      </c>
      <c r="W585" s="304">
        <f t="shared" ca="1" si="265"/>
        <v>11.814708858188089</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7.4563945643263061</v>
      </c>
      <c r="AH585" s="304">
        <f t="shared" ca="1" si="289"/>
        <v>-1.4735387002064022</v>
      </c>
    </row>
    <row r="586" spans="1:34" x14ac:dyDescent="0.2">
      <c r="A586" s="347">
        <f t="shared" ca="1" si="267"/>
        <v>0.1</v>
      </c>
      <c r="B586" s="304">
        <f t="shared" ca="1" si="268"/>
        <v>22.200000000000003</v>
      </c>
      <c r="D586" s="306">
        <f t="shared" ca="1" si="269"/>
        <v>-0.61671838549893521</v>
      </c>
      <c r="E586" s="307">
        <f t="shared" ca="1" si="270"/>
        <v>-8.4282278042052052</v>
      </c>
      <c r="F586" s="304">
        <f t="shared" ca="1" si="271"/>
        <v>8.4507612371069918</v>
      </c>
      <c r="G586" s="306">
        <f t="shared" ca="1" si="272"/>
        <v>23.509210187523543</v>
      </c>
      <c r="H586" s="307">
        <f t="shared" ca="1" si="273"/>
        <v>-53.653943998475732</v>
      </c>
      <c r="I586" s="304">
        <f t="shared" ca="1" si="274"/>
        <v>58.578397641389365</v>
      </c>
      <c r="J586" s="306">
        <f t="shared" ca="1" si="275"/>
        <v>636.76205579751365</v>
      </c>
      <c r="K586" s="307">
        <f t="shared" ca="1" si="276"/>
        <v>1213.9677509916312</v>
      </c>
      <c r="L586" s="304">
        <f t="shared" ca="1" si="261"/>
        <v>1370.8331831959551</v>
      </c>
      <c r="M586" s="306">
        <f t="shared" ca="1" si="277"/>
        <v>-1.1578289549974814</v>
      </c>
      <c r="N586" s="304">
        <f t="shared" ca="1" si="278"/>
        <v>-66.338712519398214</v>
      </c>
      <c r="P586" s="310">
        <f t="shared" ca="1" si="279"/>
        <v>23</v>
      </c>
      <c r="Q586" s="304">
        <f t="shared" ca="1" si="280"/>
        <v>0</v>
      </c>
      <c r="R586" s="306">
        <f t="shared" ca="1" si="281"/>
        <v>0</v>
      </c>
      <c r="S586" s="307">
        <f t="shared" ca="1" si="282"/>
        <v>7.8079999999999892</v>
      </c>
      <c r="T586" s="304">
        <f t="shared" ca="1" si="262"/>
        <v>76.5964799999999</v>
      </c>
      <c r="U586" s="311">
        <f t="shared" ca="1" si="263"/>
        <v>0</v>
      </c>
      <c r="V586" s="306">
        <f t="shared" ca="1" si="264"/>
        <v>1.0847989294204301</v>
      </c>
      <c r="W586" s="304">
        <f t="shared" ca="1" si="265"/>
        <v>12.127903382968103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7.4450762838723143</v>
      </c>
      <c r="AH586" s="304">
        <f t="shared" ca="1" si="289"/>
        <v>-1.5131543107310585</v>
      </c>
    </row>
    <row r="587" spans="1:34" x14ac:dyDescent="0.2">
      <c r="A587" s="347">
        <f t="shared" ca="1" si="267"/>
        <v>0.1</v>
      </c>
      <c r="B587" s="304">
        <f t="shared" ca="1" si="268"/>
        <v>22.300000000000004</v>
      </c>
      <c r="D587" s="306">
        <f t="shared" ca="1" si="269"/>
        <v>-0.62337082837904256</v>
      </c>
      <c r="E587" s="307">
        <f t="shared" ca="1" si="270"/>
        <v>-8.3873106263738855</v>
      </c>
      <c r="F587" s="304">
        <f t="shared" ca="1" si="271"/>
        <v>8.4104441459983725</v>
      </c>
      <c r="G587" s="306">
        <f t="shared" ca="1" si="272"/>
        <v>23.44687310468564</v>
      </c>
      <c r="H587" s="307">
        <f t="shared" ca="1" si="273"/>
        <v>-54.492675061113118</v>
      </c>
      <c r="I587" s="304">
        <f t="shared" ca="1" si="274"/>
        <v>59.322908675344721</v>
      </c>
      <c r="J587" s="306">
        <f t="shared" ca="1" si="275"/>
        <v>639.10985996212412</v>
      </c>
      <c r="K587" s="307">
        <f t="shared" ca="1" si="276"/>
        <v>1208.5604200386517</v>
      </c>
      <c r="L587" s="304">
        <f t="shared" ca="1" si="261"/>
        <v>1367.1428974268958</v>
      </c>
      <c r="M587" s="306">
        <f t="shared" ca="1" si="277"/>
        <v>-1.1644656263159225</v>
      </c>
      <c r="N587" s="304">
        <f t="shared" ca="1" si="278"/>
        <v>-66.718965775960413</v>
      </c>
      <c r="P587" s="310">
        <f t="shared" ca="1" si="279"/>
        <v>23</v>
      </c>
      <c r="Q587" s="304">
        <f t="shared" ca="1" si="280"/>
        <v>0</v>
      </c>
      <c r="R587" s="306">
        <f t="shared" ca="1" si="281"/>
        <v>0</v>
      </c>
      <c r="S587" s="307">
        <f t="shared" ca="1" si="282"/>
        <v>7.8079999999999892</v>
      </c>
      <c r="T587" s="304">
        <f t="shared" ca="1" si="262"/>
        <v>76.5964799999999</v>
      </c>
      <c r="U587" s="311">
        <f t="shared" ca="1" si="263"/>
        <v>0</v>
      </c>
      <c r="V587" s="306">
        <f t="shared" ca="1" si="264"/>
        <v>1.085387835362128</v>
      </c>
      <c r="W587" s="304">
        <f t="shared" ca="1" si="265"/>
        <v>12.444897632797636</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7.4320458794616053</v>
      </c>
      <c r="AH587" s="304">
        <f t="shared" ca="1" si="289"/>
        <v>-1.5532663144170236</v>
      </c>
    </row>
    <row r="588" spans="1:34" x14ac:dyDescent="0.2">
      <c r="A588" s="347">
        <f t="shared" ca="1" si="267"/>
        <v>0.1</v>
      </c>
      <c r="B588" s="304">
        <f t="shared" ca="1" si="268"/>
        <v>22.400000000000006</v>
      </c>
      <c r="D588" s="306">
        <f t="shared" ca="1" si="269"/>
        <v>-0.6299615169423286</v>
      </c>
      <c r="E588" s="307">
        <f t="shared" ca="1" si="270"/>
        <v>-8.3459118851168252</v>
      </c>
      <c r="F588" s="304">
        <f t="shared" ca="1" si="271"/>
        <v>8.3696533205959351</v>
      </c>
      <c r="G588" s="306">
        <f t="shared" ca="1" si="272"/>
        <v>23.383876952991407</v>
      </c>
      <c r="H588" s="307">
        <f t="shared" ca="1" si="273"/>
        <v>-55.327266249624799</v>
      </c>
      <c r="I588" s="304">
        <f t="shared" ca="1" si="274"/>
        <v>60.065897912288918</v>
      </c>
      <c r="J588" s="306">
        <f t="shared" ca="1" si="275"/>
        <v>641.45139746500797</v>
      </c>
      <c r="K588" s="307">
        <f t="shared" ca="1" si="276"/>
        <v>1203.0694229731148</v>
      </c>
      <c r="L588" s="304">
        <f t="shared" ca="1" si="261"/>
        <v>1363.3913347981477</v>
      </c>
      <c r="M588" s="306">
        <f t="shared" ca="1" si="277"/>
        <v>-1.1709207793996845</v>
      </c>
      <c r="N588" s="304">
        <f t="shared" ca="1" si="278"/>
        <v>-67.088818803770835</v>
      </c>
      <c r="P588" s="310">
        <f t="shared" ca="1" si="279"/>
        <v>23</v>
      </c>
      <c r="Q588" s="304">
        <f t="shared" ca="1" si="280"/>
        <v>0</v>
      </c>
      <c r="R588" s="306">
        <f t="shared" ca="1" si="281"/>
        <v>0</v>
      </c>
      <c r="S588" s="307">
        <f t="shared" ca="1" si="282"/>
        <v>7.8079999999999892</v>
      </c>
      <c r="T588" s="304">
        <f t="shared" ca="1" si="262"/>
        <v>76.5964799999999</v>
      </c>
      <c r="U588" s="311">
        <f t="shared" ca="1" si="263"/>
        <v>0</v>
      </c>
      <c r="V588" s="306">
        <f t="shared" ca="1" si="264"/>
        <v>1.0859861606598076</v>
      </c>
      <c r="W588" s="304">
        <f t="shared" ca="1" si="265"/>
        <v>12.765615022466188</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7.4173779829957773</v>
      </c>
      <c r="AH588" s="304">
        <f t="shared" ca="1" si="289"/>
        <v>-1.5938649632169126</v>
      </c>
    </row>
    <row r="589" spans="1:34" x14ac:dyDescent="0.2">
      <c r="A589" s="347">
        <f t="shared" ca="1" si="267"/>
        <v>0.1</v>
      </c>
      <c r="B589" s="304">
        <f t="shared" ca="1" si="268"/>
        <v>22.500000000000007</v>
      </c>
      <c r="D589" s="306">
        <f t="shared" ca="1" si="269"/>
        <v>-0.636488383654088</v>
      </c>
      <c r="E589" s="307">
        <f t="shared" ca="1" si="270"/>
        <v>-8.304040901001315</v>
      </c>
      <c r="F589" s="304">
        <f t="shared" ca="1" si="271"/>
        <v>8.3283979700797985</v>
      </c>
      <c r="G589" s="306">
        <f t="shared" ca="1" si="272"/>
        <v>23.320228114625998</v>
      </c>
      <c r="H589" s="307">
        <f t="shared" ca="1" si="273"/>
        <v>-56.15767033972493</v>
      </c>
      <c r="I589" s="304">
        <f t="shared" ca="1" si="274"/>
        <v>60.807211556717633</v>
      </c>
      <c r="J589" s="306">
        <f t="shared" ca="1" si="275"/>
        <v>643.78660271838885</v>
      </c>
      <c r="K589" s="307">
        <f t="shared" ca="1" si="276"/>
        <v>1197.4951761436473</v>
      </c>
      <c r="L589" s="304">
        <f t="shared" ca="1" si="261"/>
        <v>1359.5793050524819</v>
      </c>
      <c r="M589" s="306">
        <f t="shared" ca="1" si="277"/>
        <v>-1.1772014398905919</v>
      </c>
      <c r="N589" s="304">
        <f t="shared" ca="1" si="278"/>
        <v>-67.448674142454394</v>
      </c>
      <c r="P589" s="310">
        <f t="shared" ca="1" si="279"/>
        <v>23</v>
      </c>
      <c r="Q589" s="304">
        <f t="shared" ca="1" si="280"/>
        <v>0</v>
      </c>
      <c r="R589" s="306">
        <f t="shared" ca="1" si="281"/>
        <v>0</v>
      </c>
      <c r="S589" s="307">
        <f t="shared" ca="1" si="282"/>
        <v>7.8079999999999892</v>
      </c>
      <c r="T589" s="304">
        <f t="shared" ca="1" si="262"/>
        <v>76.5964799999999</v>
      </c>
      <c r="U589" s="311">
        <f t="shared" ca="1" si="263"/>
        <v>0</v>
      </c>
      <c r="V589" s="306">
        <f t="shared" ca="1" si="264"/>
        <v>1.0865938743152166</v>
      </c>
      <c r="W589" s="304">
        <f t="shared" ca="1" si="265"/>
        <v>13.089978527118779</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7.4011432657056222</v>
      </c>
      <c r="AH589" s="304">
        <f t="shared" ca="1" si="289"/>
        <v>-1.6349404485740529</v>
      </c>
    </row>
    <row r="590" spans="1:34" x14ac:dyDescent="0.2">
      <c r="A590" s="347">
        <f t="shared" ca="1" si="267"/>
        <v>0.1</v>
      </c>
      <c r="B590" s="304">
        <f t="shared" ca="1" si="268"/>
        <v>22.600000000000009</v>
      </c>
      <c r="D590" s="306">
        <f t="shared" ca="1" si="269"/>
        <v>-0.64294945925905256</v>
      </c>
      <c r="E590" s="307">
        <f t="shared" ca="1" si="270"/>
        <v>-8.2617070930567387</v>
      </c>
      <c r="F590" s="304">
        <f t="shared" ca="1" si="271"/>
        <v>8.2866874020096564</v>
      </c>
      <c r="G590" s="306">
        <f t="shared" ca="1" si="272"/>
        <v>23.255933168700093</v>
      </c>
      <c r="H590" s="307">
        <f t="shared" ca="1" si="273"/>
        <v>-56.983841049030602</v>
      </c>
      <c r="I590" s="304">
        <f t="shared" ca="1" si="274"/>
        <v>61.546702334473046</v>
      </c>
      <c r="J590" s="306">
        <f t="shared" ca="1" si="275"/>
        <v>646.11541078255516</v>
      </c>
      <c r="K590" s="307">
        <f t="shared" ca="1" si="276"/>
        <v>1191.8381005742096</v>
      </c>
      <c r="L590" s="304">
        <f t="shared" ca="1" si="261"/>
        <v>1355.7076314718634</v>
      </c>
      <c r="M590" s="306">
        <f t="shared" ca="1" si="277"/>
        <v>-1.1833143024260204</v>
      </c>
      <c r="N590" s="304">
        <f t="shared" ca="1" si="278"/>
        <v>-67.798915366478084</v>
      </c>
      <c r="P590" s="310">
        <f t="shared" ca="1" si="279"/>
        <v>23</v>
      </c>
      <c r="Q590" s="304">
        <f t="shared" ca="1" si="280"/>
        <v>0</v>
      </c>
      <c r="R590" s="306">
        <f t="shared" ca="1" si="281"/>
        <v>0</v>
      </c>
      <c r="S590" s="307">
        <f t="shared" ca="1" si="282"/>
        <v>7.8079999999999892</v>
      </c>
      <c r="T590" s="304">
        <f t="shared" ca="1" si="262"/>
        <v>76.5964799999999</v>
      </c>
      <c r="U590" s="311">
        <f t="shared" ca="1" si="263"/>
        <v>0</v>
      </c>
      <c r="V590" s="306">
        <f t="shared" ca="1" si="264"/>
        <v>1.0872109449615091</v>
      </c>
      <c r="W590" s="304">
        <f t="shared" ca="1" si="265"/>
        <v>13.417910715107846</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7.3834087080342687</v>
      </c>
      <c r="AH590" s="304">
        <f t="shared" ca="1" si="289"/>
        <v>-1.676482905624846</v>
      </c>
    </row>
    <row r="591" spans="1:34" x14ac:dyDescent="0.2">
      <c r="A591" s="347">
        <f t="shared" ca="1" si="267"/>
        <v>0.1</v>
      </c>
      <c r="B591" s="304">
        <f t="shared" ca="1" si="268"/>
        <v>22.70000000000001</v>
      </c>
      <c r="D591" s="306">
        <f t="shared" ca="1" si="269"/>
        <v>-0.64934286866577906</v>
      </c>
      <c r="E591" s="307">
        <f t="shared" ca="1" si="270"/>
        <v>-8.2189199712625189</v>
      </c>
      <c r="F591" s="304">
        <f t="shared" ca="1" si="271"/>
        <v>8.2445310148670661</v>
      </c>
      <c r="G591" s="306">
        <f t="shared" ca="1" si="272"/>
        <v>23.190998881833515</v>
      </c>
      <c r="H591" s="307">
        <f t="shared" ca="1" si="273"/>
        <v>-57.805733046156853</v>
      </c>
      <c r="I591" s="304">
        <f t="shared" ca="1" si="274"/>
        <v>62.284229160685243</v>
      </c>
      <c r="J591" s="306">
        <f t="shared" ca="1" si="275"/>
        <v>648.4377573850818</v>
      </c>
      <c r="K591" s="307">
        <f t="shared" ca="1" si="276"/>
        <v>1186.0986218694502</v>
      </c>
      <c r="L591" s="304">
        <f t="shared" ca="1" si="261"/>
        <v>1351.7771510138805</v>
      </c>
      <c r="M591" s="306">
        <f t="shared" ca="1" si="277"/>
        <v>-1.1892657479065125</v>
      </c>
      <c r="N591" s="304">
        <f t="shared" ca="1" si="278"/>
        <v>-68.139908074512491</v>
      </c>
      <c r="P591" s="310">
        <f t="shared" ca="1" si="279"/>
        <v>23</v>
      </c>
      <c r="Q591" s="304">
        <f t="shared" ca="1" si="280"/>
        <v>0</v>
      </c>
      <c r="R591" s="306">
        <f t="shared" ca="1" si="281"/>
        <v>0</v>
      </c>
      <c r="S591" s="307">
        <f t="shared" ca="1" si="282"/>
        <v>7.8079999999999892</v>
      </c>
      <c r="T591" s="304">
        <f t="shared" ca="1" si="262"/>
        <v>76.5964799999999</v>
      </c>
      <c r="U591" s="311">
        <f t="shared" ca="1" si="263"/>
        <v>0</v>
      </c>
      <c r="V591" s="306">
        <f t="shared" ca="1" si="264"/>
        <v>1.0878373408693343</v>
      </c>
      <c r="W591" s="304">
        <f t="shared" ca="1" si="265"/>
        <v>13.749333780852753</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7.3642378500918539</v>
      </c>
      <c r="AH591" s="304">
        <f t="shared" ca="1" si="289"/>
        <v>-1.7184824174062325</v>
      </c>
    </row>
    <row r="592" spans="1:34" x14ac:dyDescent="0.2">
      <c r="A592" s="347">
        <f t="shared" ca="1" si="267"/>
        <v>0.1</v>
      </c>
      <c r="B592" s="304">
        <f t="shared" ca="1" si="268"/>
        <v>22.800000000000011</v>
      </c>
      <c r="D592" s="306">
        <f t="shared" ca="1" si="269"/>
        <v>-0.65566682709917756</v>
      </c>
      <c r="E592" s="307">
        <f t="shared" ca="1" si="270"/>
        <v>-8.175689129319677</v>
      </c>
      <c r="F592" s="304">
        <f t="shared" ca="1" si="271"/>
        <v>8.2019382908818717</v>
      </c>
      <c r="G592" s="306">
        <f t="shared" ca="1" si="272"/>
        <v>23.125432199123598</v>
      </c>
      <c r="H592" s="307">
        <f t="shared" ca="1" si="273"/>
        <v>-58.62330195908882</v>
      </c>
      <c r="I592" s="304">
        <f t="shared" ca="1" si="274"/>
        <v>63.019656830093652</v>
      </c>
      <c r="J592" s="306">
        <f t="shared" ca="1" si="275"/>
        <v>650.75357893912962</v>
      </c>
      <c r="K592" s="307">
        <f t="shared" ca="1" si="276"/>
        <v>1180.277170119188</v>
      </c>
      <c r="L592" s="304">
        <f t="shared" ca="1" si="261"/>
        <v>1347.7887144529163</v>
      </c>
      <c r="M592" s="306">
        <f t="shared" ca="1" si="277"/>
        <v>-1.195061859870447</v>
      </c>
      <c r="N592" s="304">
        <f t="shared" ca="1" si="278"/>
        <v>-68.47200082763122</v>
      </c>
      <c r="P592" s="310">
        <f t="shared" ca="1" si="279"/>
        <v>23</v>
      </c>
      <c r="Q592" s="304">
        <f t="shared" ca="1" si="280"/>
        <v>0</v>
      </c>
      <c r="R592" s="306">
        <f t="shared" ca="1" si="281"/>
        <v>0</v>
      </c>
      <c r="S592" s="307">
        <f t="shared" ca="1" si="282"/>
        <v>7.8079999999999892</v>
      </c>
      <c r="T592" s="304">
        <f t="shared" ca="1" si="262"/>
        <v>76.5964799999999</v>
      </c>
      <c r="U592" s="311">
        <f t="shared" ca="1" si="263"/>
        <v>0</v>
      </c>
      <c r="V592" s="306">
        <f t="shared" ca="1" si="264"/>
        <v>1.0884730299530005</v>
      </c>
      <c r="W592" s="304">
        <f t="shared" ca="1" si="265"/>
        <v>14.084169577675612</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7.3436910239939657</v>
      </c>
      <c r="AH592" s="304">
        <f t="shared" ca="1" si="289"/>
        <v>-1.7609290190641358</v>
      </c>
    </row>
    <row r="593" spans="1:34" x14ac:dyDescent="0.2">
      <c r="A593" s="347">
        <f t="shared" ca="1" si="267"/>
        <v>0.1</v>
      </c>
      <c r="B593" s="304">
        <f t="shared" ca="1" si="268"/>
        <v>22.900000000000013</v>
      </c>
      <c r="D593" s="306">
        <f t="shared" ca="1" si="269"/>
        <v>-0.66191963650079222</v>
      </c>
      <c r="E593" s="307">
        <f t="shared" ca="1" si="270"/>
        <v>-8.1320242376829253</v>
      </c>
      <c r="F593" s="304">
        <f t="shared" ca="1" si="271"/>
        <v>8.1589187891195429</v>
      </c>
      <c r="G593" s="306">
        <f t="shared" ca="1" si="272"/>
        <v>23.059240235473517</v>
      </c>
      <c r="H593" s="307">
        <f t="shared" ca="1" si="273"/>
        <v>-59.436504382857116</v>
      </c>
      <c r="I593" s="304">
        <f t="shared" ca="1" si="274"/>
        <v>63.752855728121496</v>
      </c>
      <c r="J593" s="306">
        <f t="shared" ca="1" si="275"/>
        <v>653.06281256085947</v>
      </c>
      <c r="K593" s="307">
        <f t="shared" ca="1" si="276"/>
        <v>1174.3741798020908</v>
      </c>
      <c r="L593" s="304">
        <f t="shared" ca="1" si="261"/>
        <v>1343.7431865262549</v>
      </c>
      <c r="M593" s="306">
        <f t="shared" ca="1" si="277"/>
        <v>-1.2007084400095929</v>
      </c>
      <c r="N593" s="304">
        <f t="shared" ca="1" si="278"/>
        <v>-68.795526038286667</v>
      </c>
      <c r="P593" s="310">
        <f t="shared" ca="1" si="279"/>
        <v>23</v>
      </c>
      <c r="Q593" s="304">
        <f t="shared" ca="1" si="280"/>
        <v>0</v>
      </c>
      <c r="R593" s="306">
        <f t="shared" ca="1" si="281"/>
        <v>0</v>
      </c>
      <c r="S593" s="307">
        <f t="shared" ca="1" si="282"/>
        <v>7.8079999999999892</v>
      </c>
      <c r="T593" s="304">
        <f t="shared" ca="1" si="262"/>
        <v>76.5964799999999</v>
      </c>
      <c r="U593" s="311">
        <f t="shared" ca="1" si="263"/>
        <v>0</v>
      </c>
      <c r="V593" s="306">
        <f t="shared" ca="1" si="264"/>
        <v>1.0891179797767223</v>
      </c>
      <c r="W593" s="304">
        <f t="shared" ca="1" si="265"/>
        <v>14.422339650583581</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7.3218255693326331</v>
      </c>
      <c r="AH593" s="304">
        <f t="shared" ca="1" si="289"/>
        <v>-1.8038127020588668</v>
      </c>
    </row>
    <row r="594" spans="1:34" x14ac:dyDescent="0.2">
      <c r="A594" s="347">
        <f t="shared" ca="1" si="267"/>
        <v>0.1</v>
      </c>
      <c r="B594" s="304">
        <f t="shared" ca="1" si="268"/>
        <v>23.000000000000014</v>
      </c>
      <c r="D594" s="306">
        <f t="shared" ca="1" si="269"/>
        <v>-0.66809968215791093</v>
      </c>
      <c r="E594" s="307">
        <f t="shared" ca="1" si="270"/>
        <v>-8.0879350368328105</v>
      </c>
      <c r="F594" s="304">
        <f t="shared" ca="1" si="271"/>
        <v>8.1154821388089609</v>
      </c>
      <c r="G594" s="306">
        <f t="shared" ca="1" si="272"/>
        <v>22.992430267257728</v>
      </c>
      <c r="H594" s="307">
        <f t="shared" ca="1" si="273"/>
        <v>-60.245297886540399</v>
      </c>
      <c r="I594" s="304">
        <f t="shared" ca="1" si="274"/>
        <v>64.483701561190628</v>
      </c>
      <c r="J594" s="306">
        <f t="shared" ca="1" si="275"/>
        <v>655.36539608599605</v>
      </c>
      <c r="K594" s="307">
        <f t="shared" ca="1" si="276"/>
        <v>1168.3900896886209</v>
      </c>
      <c r="L594" s="304">
        <f t="shared" ca="1" si="261"/>
        <v>1339.6414460853091</v>
      </c>
      <c r="M594" s="306">
        <f t="shared" ca="1" si="277"/>
        <v>-1.2062110228607821</v>
      </c>
      <c r="N594" s="304">
        <f t="shared" ca="1" si="278"/>
        <v>-69.110800812080868</v>
      </c>
      <c r="P594" s="310">
        <f t="shared" ca="1" si="279"/>
        <v>23</v>
      </c>
      <c r="Q594" s="304">
        <f t="shared" ca="1" si="280"/>
        <v>0</v>
      </c>
      <c r="R594" s="306">
        <f t="shared" ca="1" si="281"/>
        <v>0</v>
      </c>
      <c r="S594" s="307">
        <f t="shared" ca="1" si="282"/>
        <v>7.8079999999999892</v>
      </c>
      <c r="T594" s="304">
        <f t="shared" ca="1" si="262"/>
        <v>76.5964799999999</v>
      </c>
      <c r="U594" s="311">
        <f t="shared" ca="1" si="263"/>
        <v>0</v>
      </c>
      <c r="V594" s="306">
        <f t="shared" ca="1" si="264"/>
        <v>1.0897721575609327</v>
      </c>
      <c r="W594" s="304">
        <f t="shared" ca="1" si="265"/>
        <v>14.76376526896839</v>
      </c>
      <c r="Y594" s="314" t="str">
        <f t="shared" ca="1" si="283"/>
        <v/>
      </c>
      <c r="Z594" s="315" t="str">
        <f t="shared" ca="1" si="284"/>
        <v/>
      </c>
      <c r="AA594" s="316" t="str">
        <f t="shared" ca="1" si="285"/>
        <v/>
      </c>
      <c r="AC594" s="310">
        <f t="shared" ca="1" si="286"/>
        <v>23.000000000000014</v>
      </c>
      <c r="AD594" s="323">
        <f t="shared" ca="1" si="287"/>
        <v>655.36539608599605</v>
      </c>
      <c r="AE594" s="324" t="e">
        <f t="shared" ca="1" si="266"/>
        <v>#N/A</v>
      </c>
      <c r="AG594" s="306">
        <f t="shared" ca="1" si="288"/>
        <v>7.2986960329622361</v>
      </c>
      <c r="AH594" s="304">
        <f t="shared" ca="1" si="289"/>
        <v>-1.8471234183636784</v>
      </c>
    </row>
    <row r="595" spans="1:34" x14ac:dyDescent="0.2">
      <c r="A595" s="347">
        <f t="shared" ca="1" si="267"/>
        <v>0.1</v>
      </c>
      <c r="B595" s="304">
        <f t="shared" ca="1" si="268"/>
        <v>23.100000000000016</v>
      </c>
      <c r="D595" s="306">
        <f t="shared" ca="1" si="269"/>
        <v>-0.67420542954394702</v>
      </c>
      <c r="E595" s="307">
        <f t="shared" ca="1" si="270"/>
        <v>-8.0434313307697849</v>
      </c>
      <c r="F595" s="304">
        <f t="shared" ca="1" si="271"/>
        <v>8.0716380328924267</v>
      </c>
      <c r="G595" s="306">
        <f t="shared" ca="1" si="272"/>
        <v>22.925009724303333</v>
      </c>
      <c r="H595" s="307">
        <f t="shared" ca="1" si="273"/>
        <v>-61.049641019617376</v>
      </c>
      <c r="I595" s="304">
        <f t="shared" ca="1" si="274"/>
        <v>65.212075104872639</v>
      </c>
      <c r="J595" s="306">
        <f t="shared" ca="1" si="275"/>
        <v>657.66126808557408</v>
      </c>
      <c r="K595" s="307">
        <f t="shared" ca="1" si="276"/>
        <v>1162.3253427433131</v>
      </c>
      <c r="L595" s="304">
        <f t="shared" ca="1" si="261"/>
        <v>1335.4843862521514</v>
      </c>
      <c r="M595" s="306">
        <f t="shared" ca="1" si="277"/>
        <v>-1.2115748897096879</v>
      </c>
      <c r="N595" s="304">
        <f t="shared" ca="1" si="278"/>
        <v>-69.418127744393303</v>
      </c>
      <c r="P595" s="310">
        <f t="shared" ca="1" si="279"/>
        <v>23</v>
      </c>
      <c r="Q595" s="304">
        <f t="shared" ca="1" si="280"/>
        <v>0</v>
      </c>
      <c r="R595" s="306">
        <f t="shared" ca="1" si="281"/>
        <v>0</v>
      </c>
      <c r="S595" s="307">
        <f t="shared" ca="1" si="282"/>
        <v>7.8079999999999892</v>
      </c>
      <c r="T595" s="304">
        <f t="shared" ca="1" si="262"/>
        <v>76.5964799999999</v>
      </c>
      <c r="U595" s="311">
        <f t="shared" ca="1" si="263"/>
        <v>0</v>
      </c>
      <c r="V595" s="306">
        <f t="shared" ca="1" si="264"/>
        <v>1.0904355301886706</v>
      </c>
      <c r="W595" s="304">
        <f t="shared" ca="1" si="265"/>
        <v>15.108367459195216</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7.2743543542152231</v>
      </c>
      <c r="AH595" s="304">
        <f t="shared" ca="1" si="289"/>
        <v>-1.8908510846527165</v>
      </c>
    </row>
    <row r="596" spans="1:34" x14ac:dyDescent="0.2">
      <c r="A596" s="347">
        <f t="shared" ca="1" si="267"/>
        <v>0.1</v>
      </c>
      <c r="B596" s="304">
        <f t="shared" ca="1" si="268"/>
        <v>23.200000000000017</v>
      </c>
      <c r="D596" s="306">
        <f t="shared" ca="1" si="269"/>
        <v>-0.68023542135384407</v>
      </c>
      <c r="E596" s="307">
        <f t="shared" ca="1" si="270"/>
        <v>-7.9985229807141405</v>
      </c>
      <c r="F596" s="304">
        <f t="shared" ca="1" si="271"/>
        <v>8.027396221781796</v>
      </c>
      <c r="G596" s="306">
        <f t="shared" ca="1" si="272"/>
        <v>22.856986182167947</v>
      </c>
      <c r="H596" s="307">
        <f t="shared" ca="1" si="273"/>
        <v>-61.84949331768879</v>
      </c>
      <c r="I596" s="304">
        <f t="shared" ca="1" si="274"/>
        <v>65.937861968573458</v>
      </c>
      <c r="J596" s="306">
        <f t="shared" ca="1" si="275"/>
        <v>659.9503678808976</v>
      </c>
      <c r="K596" s="307">
        <f t="shared" ca="1" si="276"/>
        <v>1156.1803860264476</v>
      </c>
      <c r="L596" s="304">
        <f t="shared" ca="1" si="261"/>
        <v>1331.2729145815283</v>
      </c>
      <c r="M596" s="306">
        <f t="shared" ca="1" si="277"/>
        <v>-1.2168050817429112</v>
      </c>
      <c r="N596" s="304">
        <f t="shared" ca="1" si="278"/>
        <v>-69.71779567393996</v>
      </c>
      <c r="P596" s="310">
        <f t="shared" ca="1" si="279"/>
        <v>23</v>
      </c>
      <c r="Q596" s="304">
        <f t="shared" ca="1" si="280"/>
        <v>0</v>
      </c>
      <c r="R596" s="306">
        <f t="shared" ca="1" si="281"/>
        <v>0</v>
      </c>
      <c r="S596" s="307">
        <f t="shared" ca="1" si="282"/>
        <v>7.8079999999999892</v>
      </c>
      <c r="T596" s="304">
        <f t="shared" ca="1" si="262"/>
        <v>76.5964799999999</v>
      </c>
      <c r="U596" s="311">
        <f t="shared" ca="1" si="263"/>
        <v>0</v>
      </c>
      <c r="V596" s="306">
        <f t="shared" ca="1" si="264"/>
        <v>1.091108064212019</v>
      </c>
      <c r="W596" s="304">
        <f t="shared" ca="1" si="265"/>
        <v>15.4560670370537</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7.2488500365952122</v>
      </c>
      <c r="AH596" s="304">
        <f t="shared" ca="1" si="289"/>
        <v>-1.9349855864747998</v>
      </c>
    </row>
    <row r="597" spans="1:34" x14ac:dyDescent="0.2">
      <c r="A597" s="347">
        <f t="shared" ca="1" si="267"/>
        <v>0.1</v>
      </c>
      <c r="B597" s="304">
        <f t="shared" ca="1" si="268"/>
        <v>23.300000000000018</v>
      </c>
      <c r="D597" s="306">
        <f t="shared" ca="1" si="269"/>
        <v>-0.68618827471944766</v>
      </c>
      <c r="E597" s="307">
        <f t="shared" ca="1" si="270"/>
        <v>-7.953219898997574</v>
      </c>
      <c r="F597" s="304">
        <f t="shared" ca="1" si="271"/>
        <v>7.9827665073064384</v>
      </c>
      <c r="G597" s="306">
        <f t="shared" ca="1" si="272"/>
        <v>22.788367354696003</v>
      </c>
      <c r="H597" s="307">
        <f t="shared" ca="1" si="273"/>
        <v>-62.644815307588544</v>
      </c>
      <c r="I597" s="304">
        <f t="shared" ca="1" si="274"/>
        <v>66.660952375543317</v>
      </c>
      <c r="J597" s="306">
        <f t="shared" ca="1" si="275"/>
        <v>662.23263555774076</v>
      </c>
      <c r="K597" s="307">
        <f t="shared" ca="1" si="276"/>
        <v>1149.9556705951838</v>
      </c>
      <c r="L597" s="304">
        <f t="shared" ca="1" si="261"/>
        <v>1327.0079532285292</v>
      </c>
      <c r="M597" s="306">
        <f t="shared" ca="1" si="277"/>
        <v>-1.2219064124843659</v>
      </c>
      <c r="N597" s="304">
        <f t="shared" ca="1" si="278"/>
        <v>-70.010080395325659</v>
      </c>
      <c r="P597" s="310">
        <f t="shared" ca="1" si="279"/>
        <v>23</v>
      </c>
      <c r="Q597" s="304">
        <f t="shared" ca="1" si="280"/>
        <v>0</v>
      </c>
      <c r="R597" s="306">
        <f t="shared" ca="1" si="281"/>
        <v>0</v>
      </c>
      <c r="S597" s="307">
        <f t="shared" ca="1" si="282"/>
        <v>7.8079999999999892</v>
      </c>
      <c r="T597" s="304">
        <f t="shared" ca="1" si="262"/>
        <v>76.5964799999999</v>
      </c>
      <c r="U597" s="311">
        <f t="shared" ca="1" si="263"/>
        <v>0</v>
      </c>
      <c r="V597" s="306">
        <f t="shared" ca="1" si="264"/>
        <v>1.0917897258586116</v>
      </c>
      <c r="W597" s="304">
        <f t="shared" ca="1" si="265"/>
        <v>15.80678464004502</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7.2222303069289939</v>
      </c>
      <c r="AH597" s="304">
        <f t="shared" ca="1" si="289"/>
        <v>-1.9795167824095441</v>
      </c>
    </row>
    <row r="598" spans="1:34" x14ac:dyDescent="0.2">
      <c r="A598" s="347">
        <f t="shared" ca="1" si="267"/>
        <v>0.1</v>
      </c>
      <c r="B598" s="304">
        <f t="shared" ca="1" si="268"/>
        <v>23.40000000000002</v>
      </c>
      <c r="D598" s="306">
        <f t="shared" ca="1" si="269"/>
        <v>-0.69206267859094139</v>
      </c>
      <c r="E598" s="307">
        <f t="shared" ca="1" si="270"/>
        <v>-7.9075320431338172</v>
      </c>
      <c r="F598" s="304">
        <f t="shared" ca="1" si="271"/>
        <v>7.9377587368404283</v>
      </c>
      <c r="G598" s="306">
        <f t="shared" ca="1" si="272"/>
        <v>22.719161086836909</v>
      </c>
      <c r="H598" s="307">
        <f t="shared" ca="1" si="273"/>
        <v>-63.435568511901927</v>
      </c>
      <c r="I598" s="304">
        <f t="shared" ca="1" si="274"/>
        <v>67.381240957093155</v>
      </c>
      <c r="J598" s="306">
        <f t="shared" ca="1" si="275"/>
        <v>664.50801197981741</v>
      </c>
      <c r="K598" s="307">
        <f t="shared" ca="1" si="276"/>
        <v>1143.6516514042094</v>
      </c>
      <c r="L598" s="304">
        <f t="shared" ca="1" si="261"/>
        <v>1322.6904391220737</v>
      </c>
      <c r="M598" s="306">
        <f t="shared" ca="1" si="277"/>
        <v>-1.2268834795514174</v>
      </c>
      <c r="N598" s="304">
        <f t="shared" ca="1" si="278"/>
        <v>-70.295245332621263</v>
      </c>
      <c r="P598" s="310">
        <f t="shared" ca="1" si="279"/>
        <v>23</v>
      </c>
      <c r="Q598" s="304">
        <f t="shared" ca="1" si="280"/>
        <v>0</v>
      </c>
      <c r="R598" s="306">
        <f t="shared" ca="1" si="281"/>
        <v>0</v>
      </c>
      <c r="S598" s="307">
        <f t="shared" ca="1" si="282"/>
        <v>7.8079999999999892</v>
      </c>
      <c r="T598" s="304">
        <f t="shared" ca="1" si="262"/>
        <v>76.5964799999999</v>
      </c>
      <c r="U598" s="311">
        <f t="shared" ca="1" si="263"/>
        <v>0</v>
      </c>
      <c r="V598" s="306">
        <f t="shared" ca="1" si="264"/>
        <v>1.0924804810381832</v>
      </c>
      <c r="W598" s="304">
        <f t="shared" ca="1" si="265"/>
        <v>16.160440759479744</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7.1945402628946775</v>
      </c>
      <c r="AH598" s="304">
        <f t="shared" ca="1" si="289"/>
        <v>-2.0244345082024902</v>
      </c>
    </row>
    <row r="599" spans="1:34" x14ac:dyDescent="0.2">
      <c r="A599" s="347">
        <f t="shared" ca="1" si="267"/>
        <v>0.1</v>
      </c>
      <c r="B599" s="304">
        <f t="shared" ca="1" si="268"/>
        <v>23.500000000000021</v>
      </c>
      <c r="D599" s="306">
        <f t="shared" ca="1" si="269"/>
        <v>-0.69785739127148072</v>
      </c>
      <c r="E599" s="307">
        <f t="shared" ca="1" si="270"/>
        <v>-7.8614694100572295</v>
      </c>
      <c r="F599" s="304">
        <f t="shared" ca="1" si="271"/>
        <v>7.8923827975978078</v>
      </c>
      <c r="G599" s="306">
        <f t="shared" ca="1" si="272"/>
        <v>22.649375347709761</v>
      </c>
      <c r="H599" s="307">
        <f t="shared" ca="1" si="273"/>
        <v>-64.221715452907645</v>
      </c>
      <c r="I599" s="304">
        <f t="shared" ca="1" si="274"/>
        <v>68.098626559980474</v>
      </c>
      <c r="J599" s="306">
        <f t="shared" ca="1" si="275"/>
        <v>666.77643880154471</v>
      </c>
      <c r="K599" s="307">
        <f t="shared" ca="1" si="276"/>
        <v>1137.2687872059689</v>
      </c>
      <c r="L599" s="304">
        <f t="shared" ca="1" si="261"/>
        <v>1318.3213241443852</v>
      </c>
      <c r="M599" s="306">
        <f t="shared" ca="1" si="277"/>
        <v>-1.2317406757654392</v>
      </c>
      <c r="N599" s="304">
        <f t="shared" ca="1" si="278"/>
        <v>-70.57354217595163</v>
      </c>
      <c r="P599" s="310">
        <f t="shared" ca="1" si="279"/>
        <v>23</v>
      </c>
      <c r="Q599" s="304">
        <f t="shared" ca="1" si="280"/>
        <v>0</v>
      </c>
      <c r="R599" s="306">
        <f t="shared" ca="1" si="281"/>
        <v>0</v>
      </c>
      <c r="S599" s="307">
        <f t="shared" ca="1" si="282"/>
        <v>7.8079999999999892</v>
      </c>
      <c r="T599" s="304">
        <f t="shared" ca="1" si="262"/>
        <v>76.5964799999999</v>
      </c>
      <c r="U599" s="311">
        <f t="shared" ca="1" si="263"/>
        <v>0</v>
      </c>
      <c r="V599" s="306">
        <f t="shared" ca="1" si="264"/>
        <v>1.0931802953491736</v>
      </c>
      <c r="W599" s="304">
        <f t="shared" ca="1" si="265"/>
        <v>16.516955772362014</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7.1658230097815041</v>
      </c>
      <c r="AH599" s="304">
        <f t="shared" ca="1" si="289"/>
        <v>-2.0697285808759949</v>
      </c>
    </row>
    <row r="600" spans="1:34" x14ac:dyDescent="0.2">
      <c r="A600" s="347">
        <f t="shared" ca="1" si="267"/>
        <v>0.1</v>
      </c>
      <c r="B600" s="304">
        <f t="shared" ca="1" si="268"/>
        <v>23.600000000000023</v>
      </c>
      <c r="D600" s="306">
        <f t="shared" ca="1" si="269"/>
        <v>-0.70357123809315092</v>
      </c>
      <c r="E600" s="307">
        <f t="shared" ca="1" si="270"/>
        <v>-7.8150420305195212</v>
      </c>
      <c r="F600" s="304">
        <f t="shared" ca="1" si="271"/>
        <v>7.8466486110860485</v>
      </c>
      <c r="G600" s="306">
        <f t="shared" ca="1" si="272"/>
        <v>22.579018223900444</v>
      </c>
      <c r="H600" s="307">
        <f t="shared" ca="1" si="273"/>
        <v>-65.003219655959597</v>
      </c>
      <c r="I600" s="304">
        <f t="shared" ca="1" si="274"/>
        <v>68.813012066005072</v>
      </c>
      <c r="J600" s="306">
        <f t="shared" ca="1" si="275"/>
        <v>669.03785848012524</v>
      </c>
      <c r="K600" s="307">
        <f t="shared" ca="1" si="276"/>
        <v>1130.8075404505255</v>
      </c>
      <c r="L600" s="304">
        <f t="shared" ca="1" si="261"/>
        <v>1313.9015753165984</v>
      </c>
      <c r="M600" s="306">
        <f t="shared" ca="1" si="277"/>
        <v>-1.23648219965047</v>
      </c>
      <c r="N600" s="304">
        <f t="shared" ca="1" si="278"/>
        <v>-70.845211483024372</v>
      </c>
      <c r="P600" s="310">
        <f t="shared" ca="1" si="279"/>
        <v>23</v>
      </c>
      <c r="Q600" s="304">
        <f t="shared" ca="1" si="280"/>
        <v>0</v>
      </c>
      <c r="R600" s="306">
        <f t="shared" ca="1" si="281"/>
        <v>0</v>
      </c>
      <c r="S600" s="307">
        <f t="shared" ca="1" si="282"/>
        <v>7.8079999999999892</v>
      </c>
      <c r="T600" s="304">
        <f t="shared" ca="1" si="262"/>
        <v>76.5964799999999</v>
      </c>
      <c r="U600" s="311">
        <f t="shared" ca="1" si="263"/>
        <v>0</v>
      </c>
      <c r="V600" s="306">
        <f t="shared" ca="1" si="264"/>
        <v>1.0938891340853736</v>
      </c>
      <c r="W600" s="304">
        <f t="shared" ca="1" si="265"/>
        <v>16.876249973036682</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7.1361197872777336</v>
      </c>
      <c r="AH600" s="304">
        <f t="shared" ca="1" si="289"/>
        <v>-2.115388802812761</v>
      </c>
    </row>
    <row r="601" spans="1:34" x14ac:dyDescent="0.2">
      <c r="A601" s="347">
        <f t="shared" ca="1" si="267"/>
        <v>0.1</v>
      </c>
      <c r="B601" s="304">
        <f t="shared" ca="1" si="268"/>
        <v>23.700000000000024</v>
      </c>
      <c r="D601" s="306">
        <f t="shared" ca="1" si="269"/>
        <v>-0.709203109223288</v>
      </c>
      <c r="E601" s="307">
        <f t="shared" ca="1" si="270"/>
        <v>-7.7682599636359573</v>
      </c>
      <c r="F601" s="304">
        <f t="shared" ca="1" si="271"/>
        <v>7.800566127709021</v>
      </c>
      <c r="G601" s="306">
        <f t="shared" ca="1" si="272"/>
        <v>22.508097912978116</v>
      </c>
      <c r="H601" s="307">
        <f t="shared" ca="1" si="273"/>
        <v>-65.780045652323196</v>
      </c>
      <c r="I601" s="304">
        <f t="shared" ca="1" si="274"/>
        <v>69.524304222925764</v>
      </c>
      <c r="J601" s="306">
        <f t="shared" ca="1" si="275"/>
        <v>671.29221428696917</v>
      </c>
      <c r="K601" s="307">
        <f t="shared" ca="1" si="276"/>
        <v>1124.2683771851114</v>
      </c>
      <c r="L601" s="304">
        <f t="shared" ca="1" si="261"/>
        <v>1309.4321749906508</v>
      </c>
      <c r="M601" s="306">
        <f t="shared" ca="1" si="277"/>
        <v>-1.2411120653525329</v>
      </c>
      <c r="N601" s="304">
        <f t="shared" ca="1" si="278"/>
        <v>-71.110483247464941</v>
      </c>
      <c r="P601" s="310">
        <f t="shared" ca="1" si="279"/>
        <v>23</v>
      </c>
      <c r="Q601" s="304">
        <f t="shared" ca="1" si="280"/>
        <v>0</v>
      </c>
      <c r="R601" s="306">
        <f t="shared" ca="1" si="281"/>
        <v>0</v>
      </c>
      <c r="S601" s="307">
        <f t="shared" ca="1" si="282"/>
        <v>7.8079999999999892</v>
      </c>
      <c r="T601" s="304">
        <f t="shared" ca="1" si="262"/>
        <v>76.5964799999999</v>
      </c>
      <c r="U601" s="311">
        <f t="shared" ca="1" si="263"/>
        <v>0</v>
      </c>
      <c r="V601" s="306">
        <f t="shared" ca="1" si="264"/>
        <v>1.0946069622426107</v>
      </c>
      <c r="W601" s="304">
        <f t="shared" ca="1" si="265"/>
        <v>17.238243604576397</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7.1054700870269754</v>
      </c>
      <c r="AH601" s="304">
        <f t="shared" ca="1" si="289"/>
        <v>-2.1614049658090044</v>
      </c>
    </row>
    <row r="602" spans="1:34" x14ac:dyDescent="0.2">
      <c r="A602" s="347">
        <f t="shared" ca="1" si="267"/>
        <v>0.1</v>
      </c>
      <c r="B602" s="304">
        <f t="shared" ca="1" si="268"/>
        <v>23.800000000000026</v>
      </c>
      <c r="D602" s="306">
        <f t="shared" ca="1" si="269"/>
        <v>-0.71475195759103194</v>
      </c>
      <c r="E602" s="307">
        <f t="shared" ca="1" si="270"/>
        <v>-7.7211332915734348</v>
      </c>
      <c r="F602" s="304">
        <f t="shared" ca="1" si="271"/>
        <v>7.7541453215118317</v>
      </c>
      <c r="G602" s="306">
        <f t="shared" ca="1" si="272"/>
        <v>22.436622717219013</v>
      </c>
      <c r="H602" s="307">
        <f t="shared" ca="1" si="273"/>
        <v>-66.552158981480545</v>
      </c>
      <c r="I602" s="304">
        <f t="shared" ca="1" si="274"/>
        <v>70.232413485876236</v>
      </c>
      <c r="J602" s="306">
        <f t="shared" ca="1" si="275"/>
        <v>673.539450318479</v>
      </c>
      <c r="K602" s="307">
        <f t="shared" ca="1" si="276"/>
        <v>1117.6517669534212</v>
      </c>
      <c r="L602" s="304">
        <f t="shared" ca="1" si="261"/>
        <v>1304.9141210475973</v>
      </c>
      <c r="M602" s="306">
        <f t="shared" ca="1" si="277"/>
        <v>-1.2456341120109584</v>
      </c>
      <c r="N602" s="304">
        <f t="shared" ca="1" si="278"/>
        <v>-71.369577435753968</v>
      </c>
      <c r="P602" s="310">
        <f t="shared" ca="1" si="279"/>
        <v>23</v>
      </c>
      <c r="Q602" s="304">
        <f t="shared" ca="1" si="280"/>
        <v>0</v>
      </c>
      <c r="R602" s="306">
        <f t="shared" ca="1" si="281"/>
        <v>0</v>
      </c>
      <c r="S602" s="307">
        <f t="shared" ca="1" si="282"/>
        <v>7.8079999999999892</v>
      </c>
      <c r="T602" s="304">
        <f t="shared" ca="1" si="262"/>
        <v>76.5964799999999</v>
      </c>
      <c r="U602" s="311">
        <f t="shared" ca="1" si="263"/>
        <v>0</v>
      </c>
      <c r="V602" s="306">
        <f t="shared" ca="1" si="264"/>
        <v>1.0953337445254727</v>
      </c>
      <c r="W602" s="304">
        <f t="shared" ca="1" si="265"/>
        <v>17.60285688988715</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7.0739117616404208</v>
      </c>
      <c r="AH602" s="304">
        <f t="shared" ca="1" si="289"/>
        <v>-2.2077668550943161</v>
      </c>
    </row>
    <row r="603" spans="1:34" x14ac:dyDescent="0.2">
      <c r="A603" s="347">
        <f t="shared" ca="1" si="267"/>
        <v>0.1</v>
      </c>
      <c r="B603" s="304">
        <f t="shared" ca="1" si="268"/>
        <v>23.900000000000027</v>
      </c>
      <c r="D603" s="306">
        <f t="shared" ca="1" si="269"/>
        <v>-0.72021679692480201</v>
      </c>
      <c r="E603" s="307">
        <f t="shared" ca="1" si="270"/>
        <v>-7.6736721143736748</v>
      </c>
      <c r="F603" s="304">
        <f t="shared" ca="1" si="271"/>
        <v>7.707396185060734</v>
      </c>
      <c r="G603" s="306">
        <f t="shared" ca="1" si="272"/>
        <v>22.364601037526533</v>
      </c>
      <c r="H603" s="307">
        <f t="shared" ca="1" si="273"/>
        <v>-67.31952619291792</v>
      </c>
      <c r="I603" s="304">
        <f t="shared" ca="1" si="274"/>
        <v>70.937253868518866</v>
      </c>
      <c r="J603" s="306">
        <f t="shared" ca="1" si="275"/>
        <v>675.77951150621629</v>
      </c>
      <c r="K603" s="307">
        <f t="shared" ca="1" si="276"/>
        <v>1110.9581826947012</v>
      </c>
      <c r="L603" s="304">
        <f t="shared" ca="1" si="261"/>
        <v>1300.3484271024799</v>
      </c>
      <c r="M603" s="306">
        <f t="shared" ca="1" si="277"/>
        <v>-1.2500520126117778</v>
      </c>
      <c r="N603" s="304">
        <f t="shared" ca="1" si="278"/>
        <v>-71.622704494489227</v>
      </c>
      <c r="P603" s="310">
        <f t="shared" ca="1" si="279"/>
        <v>23</v>
      </c>
      <c r="Q603" s="304">
        <f t="shared" ca="1" si="280"/>
        <v>0</v>
      </c>
      <c r="R603" s="306">
        <f t="shared" ca="1" si="281"/>
        <v>0</v>
      </c>
      <c r="S603" s="307">
        <f t="shared" ca="1" si="282"/>
        <v>7.8079999999999892</v>
      </c>
      <c r="T603" s="304">
        <f t="shared" ca="1" si="262"/>
        <v>76.5964799999999</v>
      </c>
      <c r="U603" s="311">
        <f t="shared" ca="1" si="263"/>
        <v>0</v>
      </c>
      <c r="V603" s="306">
        <f t="shared" ca="1" si="264"/>
        <v>1.0960694453540629</v>
      </c>
      <c r="W603" s="304">
        <f t="shared" ca="1" si="265"/>
        <v>17.970010062510877</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7.0414811258023651</v>
      </c>
      <c r="AH603" s="304">
        <f t="shared" ca="1" si="289"/>
        <v>-2.2544642533154682</v>
      </c>
    </row>
    <row r="604" spans="1:34" x14ac:dyDescent="0.2">
      <c r="A604" s="347">
        <f t="shared" ca="1" si="267"/>
        <v>0.1</v>
      </c>
      <c r="B604" s="304">
        <f t="shared" ca="1" si="268"/>
        <v>24.000000000000028</v>
      </c>
      <c r="D604" s="306">
        <f t="shared" ca="1" si="269"/>
        <v>-0.72559669989206421</v>
      </c>
      <c r="E604" s="307">
        <f t="shared" ca="1" si="270"/>
        <v>-7.6258865449056561</v>
      </c>
      <c r="F604" s="304">
        <f t="shared" ca="1" si="271"/>
        <v>7.660328724452194</v>
      </c>
      <c r="G604" s="306">
        <f t="shared" ca="1" si="272"/>
        <v>22.292041367537326</v>
      </c>
      <c r="H604" s="307">
        <f t="shared" ca="1" si="273"/>
        <v>-68.082114847408491</v>
      </c>
      <c r="I604" s="304">
        <f t="shared" ca="1" si="274"/>
        <v>71.638742803232631</v>
      </c>
      <c r="J604" s="306">
        <f t="shared" ca="1" si="275"/>
        <v>678.01234362646949</v>
      </c>
      <c r="K604" s="307">
        <f t="shared" ca="1" si="276"/>
        <v>1104.188100642685</v>
      </c>
      <c r="L604" s="304">
        <f t="shared" ca="1" si="261"/>
        <v>1295.7361227158706</v>
      </c>
      <c r="M604" s="306">
        <f t="shared" ca="1" si="277"/>
        <v>-1.2543692823519272</v>
      </c>
      <c r="N604" s="304">
        <f t="shared" ca="1" si="278"/>
        <v>-71.870065829619335</v>
      </c>
      <c r="P604" s="310">
        <f t="shared" ca="1" si="279"/>
        <v>23</v>
      </c>
      <c r="Q604" s="304">
        <f t="shared" ca="1" si="280"/>
        <v>0</v>
      </c>
      <c r="R604" s="306">
        <f t="shared" ca="1" si="281"/>
        <v>0</v>
      </c>
      <c r="S604" s="307">
        <f t="shared" ca="1" si="282"/>
        <v>7.8079999999999892</v>
      </c>
      <c r="T604" s="304">
        <f t="shared" ca="1" si="262"/>
        <v>76.5964799999999</v>
      </c>
      <c r="U604" s="311">
        <f t="shared" ca="1" si="263"/>
        <v>0</v>
      </c>
      <c r="V604" s="306">
        <f t="shared" ca="1" si="264"/>
        <v>1.0968140288707817</v>
      </c>
      <c r="W604" s="304">
        <f t="shared" ca="1" si="265"/>
        <v>18.33962339710494</v>
      </c>
      <c r="Y604" s="314" t="str">
        <f t="shared" ca="1" si="283"/>
        <v/>
      </c>
      <c r="Z604" s="315" t="str">
        <f t="shared" ca="1" si="284"/>
        <v/>
      </c>
      <c r="AA604" s="316" t="str">
        <f t="shared" ca="1" si="285"/>
        <v/>
      </c>
      <c r="AC604" s="310">
        <f t="shared" ca="1" si="286"/>
        <v>24.000000000000028</v>
      </c>
      <c r="AD604" s="323">
        <f t="shared" ca="1" si="287"/>
        <v>678.01234362646949</v>
      </c>
      <c r="AE604" s="324" t="e">
        <f t="shared" ca="1" si="266"/>
        <v>#N/A</v>
      </c>
      <c r="AG604" s="306">
        <f t="shared" ca="1" si="288"/>
        <v>7.0082130500598829</v>
      </c>
      <c r="AH604" s="304">
        <f t="shared" ca="1" si="289"/>
        <v>-2.3014869444814168</v>
      </c>
    </row>
    <row r="605" spans="1:34" x14ac:dyDescent="0.2">
      <c r="A605" s="347">
        <f t="shared" ca="1" si="267"/>
        <v>0.1</v>
      </c>
      <c r="B605" s="304">
        <f t="shared" ca="1" si="268"/>
        <v>24.10000000000003</v>
      </c>
      <c r="D605" s="306">
        <f t="shared" ca="1" si="269"/>
        <v>-0.73089079633347553</v>
      </c>
      <c r="E605" s="307">
        <f t="shared" ca="1" si="270"/>
        <v>-7.5777867039421025</v>
      </c>
      <c r="F605" s="304">
        <f t="shared" ca="1" si="271"/>
        <v>7.6129529544459098</v>
      </c>
      <c r="G605" s="306">
        <f t="shared" ca="1" si="272"/>
        <v>22.218952287903978</v>
      </c>
      <c r="H605" s="307">
        <f t="shared" ca="1" si="273"/>
        <v>-68.839893517802707</v>
      </c>
      <c r="I605" s="304">
        <f t="shared" ca="1" si="274"/>
        <v>72.33680100968364</v>
      </c>
      <c r="J605" s="306">
        <f t="shared" ca="1" si="275"/>
        <v>680.2378933092416</v>
      </c>
      <c r="K605" s="307">
        <f t="shared" ca="1" si="276"/>
        <v>1097.3420002244245</v>
      </c>
      <c r="L605" s="304">
        <f t="shared" ca="1" si="261"/>
        <v>1291.0782536122031</v>
      </c>
      <c r="M605" s="306">
        <f t="shared" ca="1" si="277"/>
        <v>-1.2585892865416806</v>
      </c>
      <c r="N605" s="304">
        <f t="shared" ca="1" si="278"/>
        <v>-72.111854259219712</v>
      </c>
      <c r="P605" s="310">
        <f t="shared" ca="1" si="279"/>
        <v>23</v>
      </c>
      <c r="Q605" s="304">
        <f t="shared" ca="1" si="280"/>
        <v>0</v>
      </c>
      <c r="R605" s="306">
        <f t="shared" ca="1" si="281"/>
        <v>0</v>
      </c>
      <c r="S605" s="307">
        <f t="shared" ca="1" si="282"/>
        <v>7.8079999999999892</v>
      </c>
      <c r="T605" s="304">
        <f t="shared" ca="1" si="262"/>
        <v>76.5964799999999</v>
      </c>
      <c r="U605" s="311">
        <f t="shared" ca="1" si="263"/>
        <v>0</v>
      </c>
      <c r="V605" s="306">
        <f t="shared" ca="1" si="264"/>
        <v>1.0975674589471394</v>
      </c>
      <c r="W605" s="304">
        <f t="shared" ca="1" si="265"/>
        <v>18.711617239579159</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6.9741410478435739</v>
      </c>
      <c r="AH605" s="304">
        <f t="shared" ca="1" si="289"/>
        <v>-2.3488247178669268</v>
      </c>
    </row>
    <row r="606" spans="1:34" x14ac:dyDescent="0.2">
      <c r="A606" s="347">
        <f t="shared" ca="1" si="267"/>
        <v>0.1</v>
      </c>
      <c r="B606" s="304">
        <f t="shared" ca="1" si="268"/>
        <v>24.200000000000031</v>
      </c>
      <c r="D606" s="306">
        <f t="shared" ca="1" si="269"/>
        <v>-0.73609827158408514</v>
      </c>
      <c r="E606" s="307">
        <f t="shared" ca="1" si="270"/>
        <v>-7.5293827153554211</v>
      </c>
      <c r="F606" s="304">
        <f t="shared" ca="1" si="271"/>
        <v>7.5652788937171414</v>
      </c>
      <c r="G606" s="306">
        <f t="shared" ca="1" si="272"/>
        <v>22.145342460745571</v>
      </c>
      <c r="H606" s="307">
        <f t="shared" ca="1" si="273"/>
        <v>-69.592831789338248</v>
      </c>
      <c r="I606" s="304">
        <f t="shared" ca="1" si="274"/>
        <v>73.031352371175686</v>
      </c>
      <c r="J606" s="306">
        <f t="shared" ca="1" si="275"/>
        <v>682.4561080466741</v>
      </c>
      <c r="K606" s="307">
        <f t="shared" ca="1" si="276"/>
        <v>1090.4203639590676</v>
      </c>
      <c r="L606" s="304">
        <f t="shared" ca="1" si="261"/>
        <v>1286.3758819049892</v>
      </c>
      <c r="M606" s="306">
        <f t="shared" ca="1" si="277"/>
        <v>-1.2627152480713895</v>
      </c>
      <c r="N606" s="304">
        <f t="shared" ca="1" si="278"/>
        <v>-72.348254441305386</v>
      </c>
      <c r="P606" s="310">
        <f t="shared" ca="1" si="279"/>
        <v>23</v>
      </c>
      <c r="Q606" s="304">
        <f t="shared" ca="1" si="280"/>
        <v>0</v>
      </c>
      <c r="R606" s="306">
        <f t="shared" ca="1" si="281"/>
        <v>0</v>
      </c>
      <c r="S606" s="307">
        <f t="shared" ca="1" si="282"/>
        <v>7.8079999999999892</v>
      </c>
      <c r="T606" s="304">
        <f t="shared" ca="1" si="262"/>
        <v>76.5964799999999</v>
      </c>
      <c r="U606" s="311">
        <f t="shared" ca="1" si="263"/>
        <v>0</v>
      </c>
      <c r="V606" s="306">
        <f t="shared" ca="1" si="264"/>
        <v>1.0983296991905847</v>
      </c>
      <c r="W606" s="304">
        <f t="shared" ca="1" si="265"/>
        <v>19.085912036871314</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6.9392973562256151</v>
      </c>
      <c r="AH606" s="304">
        <f t="shared" ca="1" si="289"/>
        <v>-2.3964673718723342</v>
      </c>
    </row>
    <row r="607" spans="1:34" x14ac:dyDescent="0.2">
      <c r="A607" s="347">
        <f t="shared" ca="1" si="267"/>
        <v>0.1</v>
      </c>
      <c r="B607" s="304">
        <f t="shared" ca="1" si="268"/>
        <v>24.300000000000033</v>
      </c>
      <c r="D607" s="306">
        <f t="shared" ca="1" si="269"/>
        <v>-0.74121836487486115</v>
      </c>
      <c r="E607" s="307">
        <f t="shared" ca="1" si="270"/>
        <v>-7.4806847014291851</v>
      </c>
      <c r="F607" s="304">
        <f t="shared" ca="1" si="271"/>
        <v>7.517316560224427</v>
      </c>
      <c r="G607" s="306">
        <f t="shared" ca="1" si="272"/>
        <v>22.071220624258086</v>
      </c>
      <c r="H607" s="307">
        <f t="shared" ca="1" si="273"/>
        <v>-70.340900259481174</v>
      </c>
      <c r="I607" s="304">
        <f t="shared" ca="1" si="274"/>
        <v>73.72232381822316</v>
      </c>
      <c r="J607" s="306">
        <f t="shared" ca="1" si="275"/>
        <v>684.66693620092428</v>
      </c>
      <c r="K607" s="307">
        <f t="shared" ca="1" si="276"/>
        <v>1083.4236773566265</v>
      </c>
      <c r="L607" s="304">
        <f t="shared" ca="1" si="261"/>
        <v>1281.6300863290141</v>
      </c>
      <c r="M607" s="306">
        <f t="shared" ca="1" si="277"/>
        <v>-1.2667502544673104</v>
      </c>
      <c r="N607" s="304">
        <f t="shared" ca="1" si="278"/>
        <v>-72.579443278099944</v>
      </c>
      <c r="P607" s="310">
        <f t="shared" ca="1" si="279"/>
        <v>23</v>
      </c>
      <c r="Q607" s="304">
        <f t="shared" ca="1" si="280"/>
        <v>0</v>
      </c>
      <c r="R607" s="306">
        <f t="shared" ca="1" si="281"/>
        <v>0</v>
      </c>
      <c r="S607" s="307">
        <f t="shared" ca="1" si="282"/>
        <v>7.8079999999999892</v>
      </c>
      <c r="T607" s="304">
        <f t="shared" ca="1" si="262"/>
        <v>76.5964799999999</v>
      </c>
      <c r="U607" s="311">
        <f t="shared" ca="1" si="263"/>
        <v>0</v>
      </c>
      <c r="V607" s="306">
        <f t="shared" ca="1" si="264"/>
        <v>1.0991007129513544</v>
      </c>
      <c r="W607" s="304">
        <f t="shared" ca="1" si="265"/>
        <v>19.46242836634346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6.9037130108833136</v>
      </c>
      <c r="AH607" s="304">
        <f t="shared" ca="1" si="289"/>
        <v>-2.4444047178370059</v>
      </c>
    </row>
    <row r="608" spans="1:34" x14ac:dyDescent="0.2">
      <c r="A608" s="347">
        <f t="shared" ca="1" si="267"/>
        <v>0.1</v>
      </c>
      <c r="B608" s="304">
        <f t="shared" ca="1" si="268"/>
        <v>24.400000000000034</v>
      </c>
      <c r="D608" s="306">
        <f t="shared" ca="1" si="269"/>
        <v>-0.74625036780833276</v>
      </c>
      <c r="E608" s="307">
        <f t="shared" ca="1" si="270"/>
        <v>-7.4317027782815899</v>
      </c>
      <c r="F608" s="304">
        <f t="shared" ca="1" si="271"/>
        <v>7.4690759666890774</v>
      </c>
      <c r="G608" s="306">
        <f t="shared" ca="1" si="272"/>
        <v>21.996595587477252</v>
      </c>
      <c r="H608" s="307">
        <f t="shared" ca="1" si="273"/>
        <v>-71.08407053730933</v>
      </c>
      <c r="I608" s="304">
        <f t="shared" ca="1" si="274"/>
        <v>74.409645218830278</v>
      </c>
      <c r="J608" s="306">
        <f t="shared" ca="1" si="275"/>
        <v>686.87032701151099</v>
      </c>
      <c r="K608" s="307">
        <f t="shared" ca="1" si="276"/>
        <v>1076.3524288167871</v>
      </c>
      <c r="L608" s="304">
        <f t="shared" ca="1" si="261"/>
        <v>1276.8419624795768</v>
      </c>
      <c r="M608" s="306">
        <f t="shared" ca="1" si="277"/>
        <v>-1.2706972645599968</v>
      </c>
      <c r="N608" s="304">
        <f t="shared" ca="1" si="278"/>
        <v>-72.805590298106409</v>
      </c>
      <c r="P608" s="310">
        <f t="shared" ca="1" si="279"/>
        <v>23</v>
      </c>
      <c r="Q608" s="304">
        <f t="shared" ca="1" si="280"/>
        <v>0</v>
      </c>
      <c r="R608" s="306">
        <f t="shared" ca="1" si="281"/>
        <v>0</v>
      </c>
      <c r="S608" s="307">
        <f t="shared" ca="1" si="282"/>
        <v>7.8079999999999892</v>
      </c>
      <c r="T608" s="304">
        <f t="shared" ca="1" si="262"/>
        <v>76.5964799999999</v>
      </c>
      <c r="U608" s="311">
        <f t="shared" ca="1" si="263"/>
        <v>0</v>
      </c>
      <c r="V608" s="306">
        <f t="shared" ca="1" si="264"/>
        <v>1.0998804633293386</v>
      </c>
      <c r="W608" s="304">
        <f t="shared" ca="1" si="265"/>
        <v>19.841086964781717</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6.8674179157010924</v>
      </c>
      <c r="AH608" s="304">
        <f t="shared" ca="1" si="289"/>
        <v>-2.4926265838042374</v>
      </c>
    </row>
    <row r="609" spans="1:34" x14ac:dyDescent="0.2">
      <c r="A609" s="347">
        <f t="shared" ca="1" si="267"/>
        <v>0.1</v>
      </c>
      <c r="B609" s="304">
        <f t="shared" ca="1" si="268"/>
        <v>24.500000000000036</v>
      </c>
      <c r="D609" s="306">
        <f t="shared" ca="1" si="269"/>
        <v>-0.75119362290264824</v>
      </c>
      <c r="E609" s="307">
        <f t="shared" ca="1" si="270"/>
        <v>-7.3824470513978806</v>
      </c>
      <c r="F609" s="304">
        <f t="shared" ca="1" si="271"/>
        <v>7.4205671161834301</v>
      </c>
      <c r="G609" s="306">
        <f t="shared" ca="1" si="272"/>
        <v>21.921476225186986</v>
      </c>
      <c r="H609" s="307">
        <f t="shared" ca="1" si="273"/>
        <v>-71.822315242449122</v>
      </c>
      <c r="I609" s="304">
        <f t="shared" ca="1" si="274"/>
        <v>75.093249274999266</v>
      </c>
      <c r="J609" s="306">
        <f t="shared" ca="1" si="275"/>
        <v>689.06623060214417</v>
      </c>
      <c r="K609" s="307">
        <f t="shared" ca="1" si="276"/>
        <v>1069.2071095277993</v>
      </c>
      <c r="L609" s="304">
        <f t="shared" ca="1" si="261"/>
        <v>1272.0126230588432</v>
      </c>
      <c r="M609" s="306">
        <f t="shared" ca="1" si="277"/>
        <v>-1.2745591147875028</v>
      </c>
      <c r="N609" s="304">
        <f t="shared" ca="1" si="278"/>
        <v>-73.026858017254142</v>
      </c>
      <c r="P609" s="310">
        <f t="shared" ca="1" si="279"/>
        <v>23</v>
      </c>
      <c r="Q609" s="304">
        <f t="shared" ca="1" si="280"/>
        <v>0</v>
      </c>
      <c r="R609" s="306">
        <f t="shared" ca="1" si="281"/>
        <v>0</v>
      </c>
      <c r="S609" s="307">
        <f t="shared" ca="1" si="282"/>
        <v>7.8079999999999892</v>
      </c>
      <c r="T609" s="304">
        <f t="shared" ca="1" si="262"/>
        <v>76.5964799999999</v>
      </c>
      <c r="U609" s="311">
        <f t="shared" ca="1" si="263"/>
        <v>0</v>
      </c>
      <c r="V609" s="306">
        <f t="shared" ca="1" si="264"/>
        <v>1.1006689131809564</v>
      </c>
      <c r="W609" s="304">
        <f t="shared" ca="1" si="265"/>
        <v>20.221808756983094</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6.8304409074109866</v>
      </c>
      <c r="AH609" s="304">
        <f t="shared" ca="1" si="289"/>
        <v>-2.5411228182353667</v>
      </c>
    </row>
    <row r="610" spans="1:34" x14ac:dyDescent="0.2">
      <c r="A610" s="347">
        <f t="shared" ca="1" si="267"/>
        <v>0.1</v>
      </c>
      <c r="B610" s="304">
        <f t="shared" ca="1" si="268"/>
        <v>24.600000000000037</v>
      </c>
      <c r="D610" s="306">
        <f t="shared" ca="1" si="269"/>
        <v>-0.7560475221987687</v>
      </c>
      <c r="E610" s="307">
        <f t="shared" ca="1" si="270"/>
        <v>-7.3329276112690582</v>
      </c>
      <c r="F610" s="304">
        <f t="shared" ca="1" si="271"/>
        <v>7.3717999978251605</v>
      </c>
      <c r="G610" s="306">
        <f t="shared" ca="1" si="272"/>
        <v>21.845871472967108</v>
      </c>
      <c r="H610" s="307">
        <f t="shared" ca="1" si="273"/>
        <v>-72.555608003576026</v>
      </c>
      <c r="I610" s="304">
        <f t="shared" ca="1" si="274"/>
        <v>75.773071425025293</v>
      </c>
      <c r="J610" s="306">
        <f t="shared" ca="1" si="275"/>
        <v>691.25459798705185</v>
      </c>
      <c r="K610" s="307">
        <f t="shared" ca="1" si="276"/>
        <v>1061.988213365498</v>
      </c>
      <c r="L610" s="304">
        <f t="shared" ca="1" si="261"/>
        <v>1267.1431981293524</v>
      </c>
      <c r="M610" s="306">
        <f t="shared" ca="1" si="277"/>
        <v>-1.2783385251544161</v>
      </c>
      <c r="N610" s="304">
        <f t="shared" ca="1" si="278"/>
        <v>-73.243402280326265</v>
      </c>
      <c r="P610" s="310">
        <f t="shared" ca="1" si="279"/>
        <v>23</v>
      </c>
      <c r="Q610" s="304">
        <f t="shared" ca="1" si="280"/>
        <v>0</v>
      </c>
      <c r="R610" s="306">
        <f t="shared" ca="1" si="281"/>
        <v>0</v>
      </c>
      <c r="S610" s="307">
        <f t="shared" ca="1" si="282"/>
        <v>7.8079999999999892</v>
      </c>
      <c r="T610" s="304">
        <f t="shared" ca="1" si="262"/>
        <v>76.5964799999999</v>
      </c>
      <c r="U610" s="311">
        <f t="shared" ca="1" si="263"/>
        <v>0</v>
      </c>
      <c r="V610" s="306">
        <f t="shared" ca="1" si="264"/>
        <v>1.1014660251260433</v>
      </c>
      <c r="W610" s="304">
        <f t="shared" ca="1" si="265"/>
        <v>20.604514883913641</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6.7928098156415633</v>
      </c>
      <c r="AH610" s="304">
        <f t="shared" ca="1" si="289"/>
        <v>-2.5898832936709941</v>
      </c>
    </row>
    <row r="611" spans="1:34" x14ac:dyDescent="0.2">
      <c r="A611" s="347">
        <f t="shared" ca="1" si="267"/>
        <v>0.1</v>
      </c>
      <c r="B611" s="304">
        <f t="shared" ca="1" si="268"/>
        <v>24.700000000000038</v>
      </c>
      <c r="D611" s="306">
        <f t="shared" ca="1" si="269"/>
        <v>-0.76081150592597846</v>
      </c>
      <c r="E611" s="307">
        <f t="shared" ca="1" si="270"/>
        <v>-7.283154529134551</v>
      </c>
      <c r="F611" s="304">
        <f t="shared" ca="1" si="271"/>
        <v>7.3227845825752977</v>
      </c>
      <c r="G611" s="306">
        <f t="shared" ca="1" si="272"/>
        <v>21.769790322374512</v>
      </c>
      <c r="H611" s="307">
        <f t="shared" ca="1" si="273"/>
        <v>-73.283923456489475</v>
      </c>
      <c r="I611" s="304">
        <f t="shared" ca="1" si="274"/>
        <v>76.449049751169312</v>
      </c>
      <c r="J611" s="306">
        <f t="shared" ca="1" si="275"/>
        <v>693.43538107681889</v>
      </c>
      <c r="K611" s="307">
        <f t="shared" ca="1" si="276"/>
        <v>1054.6962367924948</v>
      </c>
      <c r="L611" s="304">
        <f t="shared" ca="1" si="261"/>
        <v>1262.2348353747029</v>
      </c>
      <c r="M611" s="306">
        <f t="shared" ca="1" si="277"/>
        <v>-1.282038104866587</v>
      </c>
      <c r="N611" s="304">
        <f t="shared" ca="1" si="278"/>
        <v>-73.455372583805882</v>
      </c>
      <c r="P611" s="310">
        <f t="shared" ca="1" si="279"/>
        <v>23</v>
      </c>
      <c r="Q611" s="304">
        <f t="shared" ca="1" si="280"/>
        <v>0</v>
      </c>
      <c r="R611" s="306">
        <f t="shared" ca="1" si="281"/>
        <v>0</v>
      </c>
      <c r="S611" s="307">
        <f t="shared" ca="1" si="282"/>
        <v>7.8079999999999892</v>
      </c>
      <c r="T611" s="304">
        <f t="shared" ca="1" si="262"/>
        <v>76.5964799999999</v>
      </c>
      <c r="U611" s="311">
        <f t="shared" ca="1" si="263"/>
        <v>0</v>
      </c>
      <c r="V611" s="306">
        <f t="shared" ca="1" si="264"/>
        <v>1.102271761554739</v>
      </c>
      <c r="W611" s="304">
        <f t="shared" ca="1" si="265"/>
        <v>20.989126730422846</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6.7545515187168164</v>
      </c>
      <c r="AH611" s="304">
        <f t="shared" ca="1" si="289"/>
        <v>-2.6388979103373038</v>
      </c>
    </row>
    <row r="612" spans="1:34" x14ac:dyDescent="0.2">
      <c r="A612" s="347">
        <f t="shared" ca="1" si="267"/>
        <v>0.1</v>
      </c>
      <c r="B612" s="304">
        <f t="shared" ca="1" si="268"/>
        <v>24.80000000000004</v>
      </c>
      <c r="D612" s="306">
        <f t="shared" ca="1" si="269"/>
        <v>-0.7654850612212396</v>
      </c>
      <c r="E612" s="307">
        <f t="shared" ca="1" si="270"/>
        <v>-7.2331378528268404</v>
      </c>
      <c r="F612" s="304">
        <f t="shared" ca="1" si="271"/>
        <v>7.2735308191379353</v>
      </c>
      <c r="G612" s="306">
        <f t="shared" ca="1" si="272"/>
        <v>21.693241816252389</v>
      </c>
      <c r="H612" s="307">
        <f t="shared" ca="1" si="273"/>
        <v>-74.00723724177216</v>
      </c>
      <c r="I612" s="304">
        <f t="shared" ca="1" si="274"/>
        <v>77.121124892329917</v>
      </c>
      <c r="J612" s="306">
        <f t="shared" ca="1" si="275"/>
        <v>695.60853268375024</v>
      </c>
      <c r="K612" s="307">
        <f t="shared" ca="1" si="276"/>
        <v>1047.3316787575818</v>
      </c>
      <c r="L612" s="304">
        <f t="shared" ca="1" si="261"/>
        <v>1257.2887003674275</v>
      </c>
      <c r="M612" s="306">
        <f t="shared" ca="1" si="277"/>
        <v>-1.2856603576602978</v>
      </c>
      <c r="N612" s="304">
        <f t="shared" ca="1" si="278"/>
        <v>-73.66291238121498</v>
      </c>
      <c r="P612" s="310">
        <f t="shared" ca="1" si="279"/>
        <v>23</v>
      </c>
      <c r="Q612" s="304">
        <f t="shared" ca="1" si="280"/>
        <v>0</v>
      </c>
      <c r="R612" s="306">
        <f t="shared" ca="1" si="281"/>
        <v>0</v>
      </c>
      <c r="S612" s="307">
        <f t="shared" ca="1" si="282"/>
        <v>7.8079999999999892</v>
      </c>
      <c r="T612" s="304">
        <f t="shared" ca="1" si="262"/>
        <v>76.5964799999999</v>
      </c>
      <c r="U612" s="311">
        <f t="shared" ca="1" si="263"/>
        <v>0</v>
      </c>
      <c r="V612" s="306">
        <f t="shared" ca="1" si="264"/>
        <v>1.1030860846343853</v>
      </c>
      <c r="W612" s="304">
        <f t="shared" ca="1" si="265"/>
        <v>21.375565952500267</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6.7156919955208441</v>
      </c>
      <c r="AH612" s="304">
        <f t="shared" ca="1" si="289"/>
        <v>-2.6881565996955525</v>
      </c>
    </row>
    <row r="613" spans="1:34" x14ac:dyDescent="0.2">
      <c r="A613" s="347">
        <f t="shared" ca="1" si="267"/>
        <v>0.1</v>
      </c>
      <c r="B613" s="304">
        <f t="shared" ca="1" si="268"/>
        <v>24.900000000000041</v>
      </c>
      <c r="D613" s="306">
        <f t="shared" ca="1" si="269"/>
        <v>-0.77006772089830222</v>
      </c>
      <c r="E613" s="307">
        <f t="shared" ca="1" si="270"/>
        <v>-7.1828876027162254</v>
      </c>
      <c r="F613" s="304">
        <f t="shared" ca="1" si="271"/>
        <v>7.2240486299597926</v>
      </c>
      <c r="G613" s="306">
        <f t="shared" ca="1" si="272"/>
        <v>21.616235044162558</v>
      </c>
      <c r="H613" s="307">
        <f t="shared" ca="1" si="273"/>
        <v>-74.725526002043779</v>
      </c>
      <c r="I613" s="304">
        <f t="shared" ca="1" si="274"/>
        <v>77.789239961363563</v>
      </c>
      <c r="J613" s="306">
        <f t="shared" ca="1" si="275"/>
        <v>697.77400652677102</v>
      </c>
      <c r="K613" s="307">
        <f t="shared" ca="1" si="276"/>
        <v>1039.895040595391</v>
      </c>
      <c r="L613" s="304">
        <f t="shared" ca="1" si="261"/>
        <v>1252.3059768440428</v>
      </c>
      <c r="M613" s="306">
        <f t="shared" ca="1" si="277"/>
        <v>-1.2892076868435445</v>
      </c>
      <c r="N613" s="304">
        <f t="shared" ca="1" si="278"/>
        <v>-73.866159371958602</v>
      </c>
      <c r="P613" s="310">
        <f t="shared" ca="1" si="279"/>
        <v>23</v>
      </c>
      <c r="Q613" s="304">
        <f t="shared" ca="1" si="280"/>
        <v>0</v>
      </c>
      <c r="R613" s="306">
        <f t="shared" ca="1" si="281"/>
        <v>0</v>
      </c>
      <c r="S613" s="307">
        <f t="shared" ca="1" si="282"/>
        <v>7.8079999999999892</v>
      </c>
      <c r="T613" s="304">
        <f t="shared" ca="1" si="262"/>
        <v>76.5964799999999</v>
      </c>
      <c r="U613" s="311">
        <f t="shared" ca="1" si="263"/>
        <v>0</v>
      </c>
      <c r="V613" s="306">
        <f t="shared" ca="1" si="264"/>
        <v>1.1039089563164184</v>
      </c>
      <c r="W613" s="304">
        <f t="shared" ca="1" si="265"/>
        <v>21.763754504060575</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6.6762563737199061</v>
      </c>
      <c r="AH613" s="304">
        <f t="shared" ca="1" si="289"/>
        <v>-2.7376493279329273</v>
      </c>
    </row>
    <row r="614" spans="1:34" x14ac:dyDescent="0.2">
      <c r="A614" s="347">
        <f t="shared" ca="1" si="267"/>
        <v>0.1</v>
      </c>
      <c r="B614" s="304">
        <f t="shared" ca="1" si="268"/>
        <v>25.000000000000043</v>
      </c>
      <c r="D614" s="306">
        <f t="shared" ca="1" si="269"/>
        <v>-0.7745590622628018</v>
      </c>
      <c r="E614" s="307">
        <f t="shared" ca="1" si="270"/>
        <v>-7.1324137677542563</v>
      </c>
      <c r="F614" s="304">
        <f t="shared" ca="1" si="271"/>
        <v>7.1743479073281566</v>
      </c>
      <c r="G614" s="306">
        <f t="shared" ca="1" si="272"/>
        <v>21.538779137936277</v>
      </c>
      <c r="H614" s="307">
        <f t="shared" ca="1" si="273"/>
        <v>-75.438767378819207</v>
      </c>
      <c r="I614" s="304">
        <f t="shared" ca="1" si="274"/>
        <v>78.453340466728349</v>
      </c>
      <c r="J614" s="306">
        <f t="shared" ca="1" si="275"/>
        <v>699.93175723587592</v>
      </c>
      <c r="K614" s="307">
        <f t="shared" ca="1" si="276"/>
        <v>1032.3868259263479</v>
      </c>
      <c r="L614" s="304">
        <f t="shared" ca="1" si="261"/>
        <v>1247.2878669872407</v>
      </c>
      <c r="M614" s="306">
        <f t="shared" ca="1" si="277"/>
        <v>-1.2926824000660904</v>
      </c>
      <c r="N614" s="304">
        <f t="shared" ca="1" si="278"/>
        <v>-74.065245774628792</v>
      </c>
      <c r="P614" s="310">
        <f t="shared" ca="1" si="279"/>
        <v>23</v>
      </c>
      <c r="Q614" s="304">
        <f t="shared" ca="1" si="280"/>
        <v>0</v>
      </c>
      <c r="R614" s="306">
        <f t="shared" ca="1" si="281"/>
        <v>0</v>
      </c>
      <c r="S614" s="307">
        <f t="shared" ca="1" si="282"/>
        <v>7.8079999999999892</v>
      </c>
      <c r="T614" s="304">
        <f t="shared" ca="1" si="262"/>
        <v>76.5964799999999</v>
      </c>
      <c r="U614" s="311">
        <f t="shared" ca="1" si="263"/>
        <v>0</v>
      </c>
      <c r="V614" s="306">
        <f t="shared" ca="1" si="264"/>
        <v>1.1047403383432615</v>
      </c>
      <c r="W614" s="304">
        <f t="shared" ca="1" si="265"/>
        <v>22.15361466324438</v>
      </c>
      <c r="Y614" s="314" t="str">
        <f t="shared" ca="1" si="283"/>
        <v/>
      </c>
      <c r="Z614" s="315" t="str">
        <f t="shared" ca="1" si="284"/>
        <v/>
      </c>
      <c r="AA614" s="316" t="str">
        <f t="shared" ca="1" si="285"/>
        <v/>
      </c>
      <c r="AC614" s="310">
        <f t="shared" ca="1" si="286"/>
        <v>25.000000000000043</v>
      </c>
      <c r="AD614" s="323">
        <f t="shared" ca="1" si="287"/>
        <v>699.93175723587592</v>
      </c>
      <c r="AE614" s="324" t="e">
        <f t="shared" ca="1" si="266"/>
        <v>#N/A</v>
      </c>
      <c r="AG614" s="306">
        <f t="shared" ca="1" si="288"/>
        <v>6.6362689746113812</v>
      </c>
      <c r="AH614" s="304">
        <f t="shared" ca="1" si="289"/>
        <v>-2.7873660993930081</v>
      </c>
    </row>
    <row r="615" spans="1:34" x14ac:dyDescent="0.2">
      <c r="A615" s="347">
        <f t="shared" ca="1" si="267"/>
        <v>0.1</v>
      </c>
      <c r="B615" s="304">
        <f t="shared" ca="1" si="268"/>
        <v>25.100000000000044</v>
      </c>
      <c r="D615" s="306">
        <f t="shared" ca="1" si="269"/>
        <v>-0.77895870596987093</v>
      </c>
      <c r="E615" s="307">
        <f t="shared" ca="1" si="270"/>
        <v>-7.0817263016144416</v>
      </c>
      <c r="F615" s="304">
        <f t="shared" ca="1" si="271"/>
        <v>7.1244385095657892</v>
      </c>
      <c r="G615" s="306">
        <f t="shared" ca="1" si="272"/>
        <v>21.460883267339291</v>
      </c>
      <c r="H615" s="307">
        <f t="shared" ca="1" si="273"/>
        <v>-76.14694000898065</v>
      </c>
      <c r="I615" s="304">
        <f t="shared" ca="1" si="274"/>
        <v>79.113374238150541</v>
      </c>
      <c r="J615" s="306">
        <f t="shared" ca="1" si="275"/>
        <v>702.08174035613968</v>
      </c>
      <c r="K615" s="307">
        <f t="shared" ca="1" si="276"/>
        <v>1024.807540556958</v>
      </c>
      <c r="L615" s="304">
        <f t="shared" ca="1" si="261"/>
        <v>1242.2355917151572</v>
      </c>
      <c r="M615" s="306">
        <f t="shared" ca="1" si="277"/>
        <v>-1.2960867138339798</v>
      </c>
      <c r="N615" s="304">
        <f t="shared" ca="1" si="278"/>
        <v>-74.26029858566713</v>
      </c>
      <c r="P615" s="310">
        <f t="shared" ca="1" si="279"/>
        <v>23</v>
      </c>
      <c r="Q615" s="304">
        <f t="shared" ca="1" si="280"/>
        <v>0</v>
      </c>
      <c r="R615" s="306">
        <f t="shared" ca="1" si="281"/>
        <v>0</v>
      </c>
      <c r="S615" s="307">
        <f t="shared" ca="1" si="282"/>
        <v>7.8079999999999892</v>
      </c>
      <c r="T615" s="304">
        <f t="shared" ca="1" si="262"/>
        <v>76.5964799999999</v>
      </c>
      <c r="U615" s="311">
        <f t="shared" ca="1" si="263"/>
        <v>0</v>
      </c>
      <c r="V615" s="306">
        <f t="shared" ca="1" si="264"/>
        <v>1.1055801922552089</v>
      </c>
      <c r="W615" s="304">
        <f t="shared" ca="1" si="265"/>
        <v>22.545069058222619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6.5957533548485623</v>
      </c>
      <c r="AH615" s="304">
        <f t="shared" ca="1" si="289"/>
        <v>-2.8372969599442124</v>
      </c>
    </row>
    <row r="616" spans="1:34" x14ac:dyDescent="0.2">
      <c r="A616" s="347">
        <f t="shared" ca="1" si="267"/>
        <v>0.1</v>
      </c>
      <c r="B616" s="304">
        <f t="shared" ca="1" si="268"/>
        <v>25.200000000000045</v>
      </c>
      <c r="D616" s="306">
        <f t="shared" ca="1" si="269"/>
        <v>-0.78326631492108822</v>
      </c>
      <c r="E616" s="307">
        <f t="shared" ca="1" si="270"/>
        <v>-7.0308351189291001</v>
      </c>
      <c r="F616" s="304">
        <f t="shared" ca="1" si="271"/>
        <v>7.074330257321666</v>
      </c>
      <c r="G616" s="306">
        <f t="shared" ca="1" si="272"/>
        <v>21.382556635847184</v>
      </c>
      <c r="H616" s="307">
        <f t="shared" ca="1" si="273"/>
        <v>-76.850023520873563</v>
      </c>
      <c r="I616" s="304">
        <f t="shared" ca="1" si="274"/>
        <v>79.769291356035197</v>
      </c>
      <c r="J616" s="306">
        <f t="shared" ca="1" si="275"/>
        <v>704.22391235129896</v>
      </c>
      <c r="K616" s="307">
        <f t="shared" ca="1" si="276"/>
        <v>1017.1576923804653</v>
      </c>
      <c r="L616" s="304">
        <f t="shared" ca="1" si="261"/>
        <v>1237.1503909776384</v>
      </c>
      <c r="M616" s="306">
        <f t="shared" ca="1" si="277"/>
        <v>-1.2994227577832771</v>
      </c>
      <c r="N616" s="304">
        <f t="shared" ca="1" si="278"/>
        <v>-74.451439824232025</v>
      </c>
      <c r="P616" s="310">
        <f t="shared" ca="1" si="279"/>
        <v>23</v>
      </c>
      <c r="Q616" s="304">
        <f t="shared" ca="1" si="280"/>
        <v>0</v>
      </c>
      <c r="R616" s="306">
        <f t="shared" ca="1" si="281"/>
        <v>0</v>
      </c>
      <c r="S616" s="307">
        <f t="shared" ca="1" si="282"/>
        <v>7.8079999999999892</v>
      </c>
      <c r="T616" s="304">
        <f t="shared" ca="1" si="262"/>
        <v>76.5964799999999</v>
      </c>
      <c r="U616" s="311">
        <f t="shared" ca="1" si="263"/>
        <v>0</v>
      </c>
      <c r="V616" s="306">
        <f t="shared" ca="1" si="264"/>
        <v>1.1064284793973072</v>
      </c>
      <c r="W616" s="304">
        <f t="shared" ca="1" si="265"/>
        <v>22.938040692493271</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6.5547323452714199</v>
      </c>
      <c r="AH616" s="304">
        <f t="shared" ca="1" si="289"/>
        <v>-2.8874320002846634</v>
      </c>
    </row>
    <row r="617" spans="1:34" x14ac:dyDescent="0.2">
      <c r="A617" s="347">
        <f t="shared" ca="1" si="267"/>
        <v>0.1</v>
      </c>
      <c r="B617" s="304">
        <f t="shared" ca="1" si="268"/>
        <v>25.300000000000047</v>
      </c>
      <c r="D617" s="306">
        <f t="shared" ca="1" si="269"/>
        <v>-0.78748159319783906</v>
      </c>
      <c r="E617" s="307">
        <f t="shared" ca="1" si="270"/>
        <v>-6.9797500916212982</v>
      </c>
      <c r="F617" s="304">
        <f t="shared" ca="1" si="271"/>
        <v>7.0240329299564737</v>
      </c>
      <c r="G617" s="306">
        <f t="shared" ca="1" si="272"/>
        <v>21.303808476527401</v>
      </c>
      <c r="H617" s="307">
        <f t="shared" ca="1" si="273"/>
        <v>-77.547998530035699</v>
      </c>
      <c r="I617" s="304">
        <f t="shared" ca="1" si="274"/>
        <v>80.421044084362521</v>
      </c>
      <c r="J617" s="306">
        <f t="shared" ca="1" si="275"/>
        <v>706.35823060691769</v>
      </c>
      <c r="K617" s="307">
        <f t="shared" ca="1" si="276"/>
        <v>1009.4377912779198</v>
      </c>
      <c r="L617" s="304">
        <f t="shared" ca="1" si="261"/>
        <v>1232.0335240593824</v>
      </c>
      <c r="M617" s="306">
        <f t="shared" ca="1" si="277"/>
        <v>-1.302692578726933</v>
      </c>
      <c r="N617" s="304">
        <f t="shared" ca="1" si="278"/>
        <v>-74.638786764066992</v>
      </c>
      <c r="P617" s="310">
        <f t="shared" ca="1" si="279"/>
        <v>23</v>
      </c>
      <c r="Q617" s="304">
        <f t="shared" ca="1" si="280"/>
        <v>0</v>
      </c>
      <c r="R617" s="306">
        <f t="shared" ca="1" si="281"/>
        <v>0</v>
      </c>
      <c r="S617" s="307">
        <f t="shared" ca="1" si="282"/>
        <v>7.8079999999999892</v>
      </c>
      <c r="T617" s="304">
        <f t="shared" ca="1" si="262"/>
        <v>76.5964799999999</v>
      </c>
      <c r="U617" s="311">
        <f t="shared" ca="1" si="263"/>
        <v>0</v>
      </c>
      <c r="V617" s="306">
        <f t="shared" ca="1" si="264"/>
        <v>1.1072851609262184</v>
      </c>
      <c r="W617" s="304">
        <f t="shared" ca="1" si="265"/>
        <v>23.332452969659421</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6.5132280870559303</v>
      </c>
      <c r="AH617" s="304">
        <f t="shared" ca="1" si="289"/>
        <v>-2.9377613591820317</v>
      </c>
    </row>
    <row r="618" spans="1:34" x14ac:dyDescent="0.2">
      <c r="A618" s="347">
        <f t="shared" ca="1" si="267"/>
        <v>0.1</v>
      </c>
      <c r="B618" s="304">
        <f t="shared" ca="1" si="268"/>
        <v>25.400000000000048</v>
      </c>
      <c r="D618" s="306">
        <f t="shared" ca="1" si="269"/>
        <v>-0.79160428502838887</v>
      </c>
      <c r="E618" s="307">
        <f t="shared" ca="1" si="270"/>
        <v>-6.9284810453310177</v>
      </c>
      <c r="F618" s="304">
        <f t="shared" ca="1" si="271"/>
        <v>6.9735562620220177</v>
      </c>
      <c r="G618" s="306">
        <f t="shared" ca="1" si="272"/>
        <v>21.224648048024562</v>
      </c>
      <c r="H618" s="307">
        <f t="shared" ca="1" si="273"/>
        <v>-78.240846634568797</v>
      </c>
      <c r="I618" s="304">
        <f t="shared" ca="1" si="274"/>
        <v>81.068586806830595</v>
      </c>
      <c r="J618" s="306">
        <f t="shared" ca="1" si="275"/>
        <v>708.48465343314524</v>
      </c>
      <c r="K618" s="307">
        <f t="shared" ca="1" si="276"/>
        <v>1001.6483490196896</v>
      </c>
      <c r="L618" s="304">
        <f t="shared" ca="1" si="261"/>
        <v>1226.886269889819</v>
      </c>
      <c r="M618" s="306">
        <f t="shared" ca="1" si="277"/>
        <v>-1.3058981444878455</v>
      </c>
      <c r="N618" s="304">
        <f t="shared" ca="1" si="278"/>
        <v>-74.822452153118917</v>
      </c>
      <c r="P618" s="310">
        <f t="shared" ca="1" si="279"/>
        <v>23</v>
      </c>
      <c r="Q618" s="304">
        <f t="shared" ca="1" si="280"/>
        <v>0</v>
      </c>
      <c r="R618" s="306">
        <f t="shared" ca="1" si="281"/>
        <v>0</v>
      </c>
      <c r="S618" s="307">
        <f t="shared" ca="1" si="282"/>
        <v>7.8079999999999892</v>
      </c>
      <c r="T618" s="304">
        <f t="shared" ca="1" si="262"/>
        <v>76.5964799999999</v>
      </c>
      <c r="U618" s="311">
        <f t="shared" ca="1" si="263"/>
        <v>0</v>
      </c>
      <c r="V618" s="306">
        <f t="shared" ca="1" si="264"/>
        <v>1.1081501978170782</v>
      </c>
      <c r="W618" s="304">
        <f t="shared" ca="1" si="265"/>
        <v>23.728229717678957</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6.4712620653784949</v>
      </c>
      <c r="AH618" s="304">
        <f t="shared" ca="1" si="289"/>
        <v>-2.9882752266469588</v>
      </c>
    </row>
    <row r="619" spans="1:34" x14ac:dyDescent="0.2">
      <c r="A619" s="347">
        <f t="shared" ca="1" si="267"/>
        <v>0.1</v>
      </c>
      <c r="B619" s="304">
        <f t="shared" ca="1" si="268"/>
        <v>25.50000000000005</v>
      </c>
      <c r="D619" s="306">
        <f t="shared" ca="1" si="269"/>
        <v>-0.79563417378622303</v>
      </c>
      <c r="E619" s="307">
        <f t="shared" ca="1" si="270"/>
        <v>-6.877037755934726</v>
      </c>
      <c r="F619" s="304">
        <f t="shared" ca="1" si="271"/>
        <v>6.9229099398336977</v>
      </c>
      <c r="G619" s="306">
        <f t="shared" ca="1" si="272"/>
        <v>21.14508463064594</v>
      </c>
      <c r="H619" s="307">
        <f t="shared" ca="1" si="273"/>
        <v>-78.928550410162273</v>
      </c>
      <c r="I619" s="304">
        <f t="shared" ca="1" si="274"/>
        <v>81.711875966022873</v>
      </c>
      <c r="J619" s="306">
        <f t="shared" ca="1" si="275"/>
        <v>710.60314006707881</v>
      </c>
      <c r="K619" s="307">
        <f t="shared" ca="1" si="276"/>
        <v>993.78987916745302</v>
      </c>
      <c r="L619" s="304">
        <f t="shared" ca="1" si="261"/>
        <v>1221.7099273595404</v>
      </c>
      <c r="M619" s="306">
        <f t="shared" ca="1" si="277"/>
        <v>-1.309041347530415</v>
      </c>
      <c r="N619" s="304">
        <f t="shared" ca="1" si="278"/>
        <v>-75.002544421610835</v>
      </c>
      <c r="P619" s="310">
        <f t="shared" ca="1" si="279"/>
        <v>23</v>
      </c>
      <c r="Q619" s="304">
        <f t="shared" ca="1" si="280"/>
        <v>0</v>
      </c>
      <c r="R619" s="306">
        <f t="shared" ca="1" si="281"/>
        <v>0</v>
      </c>
      <c r="S619" s="307">
        <f t="shared" ca="1" si="282"/>
        <v>7.8079999999999892</v>
      </c>
      <c r="T619" s="304">
        <f t="shared" ca="1" si="262"/>
        <v>76.5964799999999</v>
      </c>
      <c r="U619" s="311">
        <f t="shared" ca="1" si="263"/>
        <v>0</v>
      </c>
      <c r="V619" s="306">
        <f t="shared" ca="1" si="264"/>
        <v>1.1090235508703294</v>
      </c>
      <c r="W619" s="304">
        <f t="shared" ca="1" si="265"/>
        <v>24.125295212576276</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6.4288551407771886</v>
      </c>
      <c r="AH619" s="304">
        <f t="shared" ca="1" si="289"/>
        <v>-3.0389638470388052</v>
      </c>
    </row>
    <row r="620" spans="1:34" x14ac:dyDescent="0.2">
      <c r="A620" s="347">
        <f t="shared" ca="1" si="267"/>
        <v>0.1</v>
      </c>
      <c r="B620" s="304">
        <f t="shared" ca="1" si="268"/>
        <v>25.600000000000051</v>
      </c>
      <c r="D620" s="306">
        <f t="shared" ca="1" si="269"/>
        <v>-0.79957108101736862</v>
      </c>
      <c r="E620" s="307">
        <f t="shared" ca="1" si="270"/>
        <v>-6.8254299461576817</v>
      </c>
      <c r="F620" s="304">
        <f t="shared" ca="1" si="271"/>
        <v>6.8721035981353875</v>
      </c>
      <c r="G620" s="306">
        <f t="shared" ca="1" si="272"/>
        <v>21.065127522544202</v>
      </c>
      <c r="H620" s="307">
        <f t="shared" ca="1" si="273"/>
        <v>-79.611093404778046</v>
      </c>
      <c r="I620" s="304">
        <f t="shared" ca="1" si="274"/>
        <v>82.350870005394256</v>
      </c>
      <c r="J620" s="306">
        <f t="shared" ca="1" si="275"/>
        <v>712.71365067473835</v>
      </c>
      <c r="K620" s="307">
        <f t="shared" ca="1" si="276"/>
        <v>985.862896976706</v>
      </c>
      <c r="L620" s="304">
        <f t="shared" ca="1" si="261"/>
        <v>1216.5058156430721</v>
      </c>
      <c r="M620" s="306">
        <f t="shared" ca="1" si="277"/>
        <v>-1.3121240084021533</v>
      </c>
      <c r="N620" s="304">
        <f t="shared" ca="1" si="278"/>
        <v>-75.179167879231557</v>
      </c>
      <c r="P620" s="310">
        <f t="shared" ca="1" si="279"/>
        <v>23</v>
      </c>
      <c r="Q620" s="304">
        <f t="shared" ca="1" si="280"/>
        <v>0</v>
      </c>
      <c r="R620" s="306">
        <f t="shared" ca="1" si="281"/>
        <v>0</v>
      </c>
      <c r="S620" s="307">
        <f t="shared" ca="1" si="282"/>
        <v>7.8079999999999892</v>
      </c>
      <c r="T620" s="304">
        <f t="shared" ca="1" si="262"/>
        <v>76.5964799999999</v>
      </c>
      <c r="U620" s="311">
        <f t="shared" ca="1" si="263"/>
        <v>0</v>
      </c>
      <c r="V620" s="306">
        <f t="shared" ca="1" si="264"/>
        <v>1.1099051807185449</v>
      </c>
      <c r="W620" s="304">
        <f t="shared" ca="1" si="265"/>
        <v>24.523574201607541</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6.3860275783778029</v>
      </c>
      <c r="AH620" s="304">
        <f t="shared" ca="1" si="289"/>
        <v>-3.0898175221024986</v>
      </c>
    </row>
    <row r="621" spans="1:34" x14ac:dyDescent="0.2">
      <c r="A621" s="347">
        <f t="shared" ca="1" si="267"/>
        <v>0.1</v>
      </c>
      <c r="B621" s="304">
        <f t="shared" ca="1" si="268"/>
        <v>25.700000000000053</v>
      </c>
      <c r="D621" s="306">
        <f t="shared" ca="1" si="269"/>
        <v>-0.8034148654946327</v>
      </c>
      <c r="E621" s="307">
        <f t="shared" ca="1" si="270"/>
        <v>-6.7736672822783195</v>
      </c>
      <c r="F621" s="304">
        <f t="shared" ca="1" si="271"/>
        <v>6.8211468168560563</v>
      </c>
      <c r="G621" s="306">
        <f t="shared" ca="1" si="272"/>
        <v>20.984786035994738</v>
      </c>
      <c r="H621" s="307">
        <f t="shared" ca="1" si="273"/>
        <v>-80.288460133005884</v>
      </c>
      <c r="I621" s="304">
        <f t="shared" ca="1" si="274"/>
        <v>82.985529313885536</v>
      </c>
      <c r="J621" s="306">
        <f t="shared" ca="1" si="275"/>
        <v>714.81614635266533</v>
      </c>
      <c r="K621" s="307">
        <f t="shared" ca="1" si="276"/>
        <v>977.86791929981678</v>
      </c>
      <c r="L621" s="304">
        <f t="shared" ca="1" si="261"/>
        <v>1211.2752745277301</v>
      </c>
      <c r="M621" s="306">
        <f t="shared" ca="1" si="277"/>
        <v>-1.3151478789962103</v>
      </c>
      <c r="N621" s="304">
        <f t="shared" ca="1" si="278"/>
        <v>-75.352422902064731</v>
      </c>
      <c r="P621" s="310">
        <f t="shared" ca="1" si="279"/>
        <v>23</v>
      </c>
      <c r="Q621" s="304">
        <f t="shared" ca="1" si="280"/>
        <v>0</v>
      </c>
      <c r="R621" s="306">
        <f t="shared" ca="1" si="281"/>
        <v>0</v>
      </c>
      <c r="S621" s="307">
        <f t="shared" ca="1" si="282"/>
        <v>7.8079999999999892</v>
      </c>
      <c r="T621" s="304">
        <f t="shared" ca="1" si="262"/>
        <v>76.5964799999999</v>
      </c>
      <c r="U621" s="311">
        <f t="shared" ca="1" si="263"/>
        <v>0</v>
      </c>
      <c r="V621" s="306">
        <f t="shared" ca="1" si="264"/>
        <v>1.1107950478332254</v>
      </c>
      <c r="W621" s="304">
        <f t="shared" ca="1" si="265"/>
        <v>24.92299192587144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6.3427990751400882</v>
      </c>
      <c r="AH621" s="304">
        <f t="shared" ca="1" si="289"/>
        <v>-3.1408266139353964</v>
      </c>
    </row>
    <row r="622" spans="1:34" x14ac:dyDescent="0.2">
      <c r="A622" s="347">
        <f t="shared" ca="1" si="267"/>
        <v>0.1</v>
      </c>
      <c r="B622" s="304">
        <f t="shared" ca="1" si="268"/>
        <v>25.800000000000054</v>
      </c>
      <c r="D622" s="306">
        <f t="shared" ca="1" si="269"/>
        <v>-0.80716542229685906</v>
      </c>
      <c r="E622" s="307">
        <f t="shared" ca="1" si="270"/>
        <v>-6.7217593709241648</v>
      </c>
      <c r="F622" s="304">
        <f t="shared" ca="1" si="271"/>
        <v>6.7700491179576003</v>
      </c>
      <c r="G622" s="306">
        <f t="shared" ca="1" si="272"/>
        <v>20.90406949376505</v>
      </c>
      <c r="H622" s="307">
        <f t="shared" ca="1" si="273"/>
        <v>-80.960636070098303</v>
      </c>
      <c r="I622" s="304">
        <f t="shared" ca="1" si="274"/>
        <v>83.615816172988829</v>
      </c>
      <c r="J622" s="306">
        <f t="shared" ca="1" si="275"/>
        <v>716.91058912915332</v>
      </c>
      <c r="K622" s="307">
        <f t="shared" ca="1" si="276"/>
        <v>969.80546448966152</v>
      </c>
      <c r="L622" s="304">
        <f t="shared" ca="1" si="261"/>
        <v>1206.0196647482651</v>
      </c>
      <c r="M622" s="306">
        <f t="shared" ca="1" si="277"/>
        <v>-1.3181146456450419</v>
      </c>
      <c r="N622" s="304">
        <f t="shared" ca="1" si="278"/>
        <v>-75.522406109842962</v>
      </c>
      <c r="P622" s="310">
        <f t="shared" ca="1" si="279"/>
        <v>23</v>
      </c>
      <c r="Q622" s="304">
        <f t="shared" ca="1" si="280"/>
        <v>0</v>
      </c>
      <c r="R622" s="306">
        <f t="shared" ca="1" si="281"/>
        <v>0</v>
      </c>
      <c r="S622" s="307">
        <f t="shared" ca="1" si="282"/>
        <v>7.8079999999999892</v>
      </c>
      <c r="T622" s="304">
        <f t="shared" ca="1" si="262"/>
        <v>76.5964799999999</v>
      </c>
      <c r="U622" s="311">
        <f t="shared" ca="1" si="263"/>
        <v>0</v>
      </c>
      <c r="V622" s="306">
        <f t="shared" ca="1" si="264"/>
        <v>1.1116931125315761</v>
      </c>
      <c r="W622" s="304">
        <f t="shared" ca="1" si="265"/>
        <v>25.323474142357988</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6.299188785267928</v>
      </c>
      <c r="AH622" s="304">
        <f t="shared" ca="1" si="289"/>
        <v>-3.1919815478831293</v>
      </c>
    </row>
    <row r="623" spans="1:34" x14ac:dyDescent="0.2">
      <c r="A623" s="347">
        <f t="shared" ca="1" si="267"/>
        <v>0.1</v>
      </c>
      <c r="B623" s="304">
        <f t="shared" ca="1" si="268"/>
        <v>25.900000000000055</v>
      </c>
      <c r="D623" s="306">
        <f t="shared" ca="1" si="269"/>
        <v>-0.81082268191144458</v>
      </c>
      <c r="E623" s="307">
        <f t="shared" ca="1" si="270"/>
        <v>-6.6697157559587605</v>
      </c>
      <c r="F623" s="304">
        <f t="shared" ca="1" si="271"/>
        <v>6.7188199623733489</v>
      </c>
      <c r="G623" s="306">
        <f t="shared" ca="1" si="272"/>
        <v>20.822987225573904</v>
      </c>
      <c r="H623" s="307">
        <f t="shared" ca="1" si="273"/>
        <v>-81.627607645694184</v>
      </c>
      <c r="I623" s="304">
        <f t="shared" ca="1" si="274"/>
        <v>84.24169470610029</v>
      </c>
      <c r="J623" s="306">
        <f t="shared" ca="1" si="275"/>
        <v>718.9969419651203</v>
      </c>
      <c r="K623" s="307">
        <f t="shared" ca="1" si="276"/>
        <v>961.67605230387187</v>
      </c>
      <c r="L623" s="304">
        <f t="shared" ca="1" si="261"/>
        <v>1200.7403683269561</v>
      </c>
      <c r="M623" s="306">
        <f t="shared" ca="1" si="277"/>
        <v>-1.3210259320548134</v>
      </c>
      <c r="N623" s="304">
        <f t="shared" ca="1" si="278"/>
        <v>-75.689210534076665</v>
      </c>
      <c r="P623" s="310">
        <f t="shared" ca="1" si="279"/>
        <v>23</v>
      </c>
      <c r="Q623" s="304">
        <f t="shared" ca="1" si="280"/>
        <v>0</v>
      </c>
      <c r="R623" s="306">
        <f t="shared" ca="1" si="281"/>
        <v>0</v>
      </c>
      <c r="S623" s="307">
        <f t="shared" ca="1" si="282"/>
        <v>7.8079999999999892</v>
      </c>
      <c r="T623" s="304">
        <f t="shared" ca="1" si="262"/>
        <v>76.5964799999999</v>
      </c>
      <c r="U623" s="311">
        <f t="shared" ca="1" si="263"/>
        <v>0</v>
      </c>
      <c r="V623" s="306">
        <f t="shared" ca="1" si="264"/>
        <v>1.1125993349832575</v>
      </c>
      <c r="W623" s="304">
        <f t="shared" ca="1" si="265"/>
        <v>25.724947145428931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6.2552153439164853</v>
      </c>
      <c r="AH623" s="304">
        <f t="shared" ca="1" si="289"/>
        <v>-3.2432728153634764</v>
      </c>
    </row>
    <row r="624" spans="1:34" x14ac:dyDescent="0.2">
      <c r="A624" s="347">
        <f t="shared" ca="1" si="267"/>
        <v>0.1</v>
      </c>
      <c r="B624" s="304">
        <f t="shared" ca="1" si="268"/>
        <v>26.000000000000057</v>
      </c>
      <c r="D624" s="306">
        <f t="shared" ca="1" si="269"/>
        <v>-0.81438660935854312</v>
      </c>
      <c r="E624" s="307">
        <f t="shared" ca="1" si="270"/>
        <v>-6.6175459154591012</v>
      </c>
      <c r="F624" s="304">
        <f t="shared" ca="1" si="271"/>
        <v>6.66746874703676</v>
      </c>
      <c r="G624" s="306">
        <f t="shared" ca="1" si="272"/>
        <v>20.741548564638048</v>
      </c>
      <c r="H624" s="307">
        <f t="shared" ca="1" si="273"/>
        <v>-82.289362237240098</v>
      </c>
      <c r="I624" s="304">
        <f t="shared" ca="1" si="274"/>
        <v>84.863130830007421</v>
      </c>
      <c r="J624" s="306">
        <f t="shared" ca="1" si="275"/>
        <v>721.07516875463091</v>
      </c>
      <c r="K624" s="307">
        <f t="shared" ca="1" si="276"/>
        <v>953.48020380972514</v>
      </c>
      <c r="L624" s="304">
        <f t="shared" ca="1" si="261"/>
        <v>1195.4387889187612</v>
      </c>
      <c r="M624" s="306">
        <f t="shared" ca="1" si="277"/>
        <v>-1.3238833020895722</v>
      </c>
      <c r="N624" s="304">
        <f t="shared" ca="1" si="278"/>
        <v>-75.852925777575479</v>
      </c>
      <c r="P624" s="310">
        <f t="shared" ca="1" si="279"/>
        <v>23</v>
      </c>
      <c r="Q624" s="304">
        <f t="shared" ca="1" si="280"/>
        <v>0</v>
      </c>
      <c r="R624" s="306">
        <f t="shared" ca="1" si="281"/>
        <v>0</v>
      </c>
      <c r="S624" s="307">
        <f t="shared" ca="1" si="282"/>
        <v>7.8079999999999892</v>
      </c>
      <c r="T624" s="304">
        <f t="shared" ca="1" si="262"/>
        <v>76.5964799999999</v>
      </c>
      <c r="U624" s="311">
        <f t="shared" ca="1" si="263"/>
        <v>0</v>
      </c>
      <c r="V624" s="306">
        <f t="shared" ca="1" si="264"/>
        <v>1.113513675217108</v>
      </c>
      <c r="W624" s="304">
        <f t="shared" ca="1" si="265"/>
        <v>26.12733778772337</v>
      </c>
      <c r="Y624" s="314" t="str">
        <f t="shared" ca="1" si="283"/>
        <v/>
      </c>
      <c r="Z624" s="315" t="str">
        <f t="shared" ca="1" si="284"/>
        <v/>
      </c>
      <c r="AA624" s="316" t="str">
        <f t="shared" ca="1" si="285"/>
        <v/>
      </c>
      <c r="AC624" s="310">
        <f t="shared" ca="1" si="286"/>
        <v>26.000000000000057</v>
      </c>
      <c r="AD624" s="323">
        <f t="shared" ca="1" si="287"/>
        <v>721.07516875463091</v>
      </c>
      <c r="AE624" s="324" t="e">
        <f t="shared" ca="1" si="266"/>
        <v>#N/A</v>
      </c>
      <c r="AG624" s="306">
        <f t="shared" ca="1" si="288"/>
        <v>6.2108968893193692</v>
      </c>
      <c r="AH624" s="304">
        <f t="shared" ca="1" si="289"/>
        <v>-3.2946909766174395</v>
      </c>
    </row>
    <row r="625" spans="1:34" x14ac:dyDescent="0.2">
      <c r="A625" s="347">
        <f t="shared" ca="1" si="267"/>
        <v>0.1</v>
      </c>
      <c r="B625" s="304">
        <f t="shared" ca="1" si="268"/>
        <v>26.100000000000058</v>
      </c>
      <c r="D625" s="306">
        <f t="shared" ca="1" si="269"/>
        <v>-0.81785720333547163</v>
      </c>
      <c r="E625" s="307">
        <f t="shared" ca="1" si="270"/>
        <v>-6.5652592587831595</v>
      </c>
      <c r="F625" s="304">
        <f t="shared" ca="1" si="271"/>
        <v>6.6160048019998987</v>
      </c>
      <c r="G625" s="306">
        <f t="shared" ca="1" si="272"/>
        <v>20.659762844304502</v>
      </c>
      <c r="H625" s="307">
        <f t="shared" ca="1" si="273"/>
        <v>-82.945888163118411</v>
      </c>
      <c r="I625" s="304">
        <f t="shared" ca="1" si="274"/>
        <v>85.480092208370081</v>
      </c>
      <c r="J625" s="306">
        <f t="shared" ca="1" si="275"/>
        <v>723.14523432507804</v>
      </c>
      <c r="K625" s="307">
        <f t="shared" ca="1" si="276"/>
        <v>945.21844128970724</v>
      </c>
      <c r="L625" s="304">
        <f t="shared" ca="1" si="261"/>
        <v>1190.1163521610883</v>
      </c>
      <c r="M625" s="306">
        <f t="shared" ca="1" si="277"/>
        <v>-1.3266882624136673</v>
      </c>
      <c r="N625" s="304">
        <f t="shared" ca="1" si="278"/>
        <v>-76.01363816584778</v>
      </c>
      <c r="P625" s="310">
        <f t="shared" ca="1" si="279"/>
        <v>23</v>
      </c>
      <c r="Q625" s="304">
        <f t="shared" ca="1" si="280"/>
        <v>0</v>
      </c>
      <c r="R625" s="306">
        <f t="shared" ca="1" si="281"/>
        <v>0</v>
      </c>
      <c r="S625" s="307">
        <f t="shared" ca="1" si="282"/>
        <v>7.8079999999999892</v>
      </c>
      <c r="T625" s="304">
        <f t="shared" ca="1" si="262"/>
        <v>76.5964799999999</v>
      </c>
      <c r="U625" s="311">
        <f t="shared" ca="1" si="263"/>
        <v>0</v>
      </c>
      <c r="V625" s="306">
        <f t="shared" ca="1" si="264"/>
        <v>1.114436093127841</v>
      </c>
      <c r="W625" s="304">
        <f t="shared" ca="1" si="265"/>
        <v>26.530573500483605</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6.1662510834498558</v>
      </c>
      <c r="AH625" s="304">
        <f t="shared" ca="1" si="289"/>
        <v>-3.3462266633867066</v>
      </c>
    </row>
    <row r="626" spans="1:34" x14ac:dyDescent="0.2">
      <c r="A626" s="347">
        <f t="shared" ca="1" si="267"/>
        <v>0.1</v>
      </c>
      <c r="B626" s="304">
        <f t="shared" ca="1" si="268"/>
        <v>26.20000000000006</v>
      </c>
      <c r="D626" s="306">
        <f t="shared" ca="1" si="269"/>
        <v>-0.82123449538000792</v>
      </c>
      <c r="E626" s="307">
        <f t="shared" ca="1" si="270"/>
        <v>-6.5128651237270159</v>
      </c>
      <c r="F626" s="304">
        <f t="shared" ca="1" si="271"/>
        <v>6.5644373876412114</v>
      </c>
      <c r="G626" s="306">
        <f t="shared" ca="1" si="272"/>
        <v>20.5776393947665</v>
      </c>
      <c r="H626" s="307">
        <f t="shared" ca="1" si="273"/>
        <v>-83.597174675491118</v>
      </c>
      <c r="I626" s="304">
        <f t="shared" ca="1" si="274"/>
        <v>86.092548207063885</v>
      </c>
      <c r="J626" s="306">
        <f t="shared" ca="1" si="275"/>
        <v>725.2071044370316</v>
      </c>
      <c r="K626" s="307">
        <f t="shared" ca="1" si="276"/>
        <v>936.89128814777678</v>
      </c>
      <c r="L626" s="304">
        <f t="shared" ca="1" si="261"/>
        <v>1184.7745060276845</v>
      </c>
      <c r="M626" s="306">
        <f t="shared" ca="1" si="277"/>
        <v>-1.3294422650003936</v>
      </c>
      <c r="N626" s="304">
        <f t="shared" ca="1" si="278"/>
        <v>-76.17143089083531</v>
      </c>
      <c r="P626" s="310">
        <f t="shared" ca="1" si="279"/>
        <v>23</v>
      </c>
      <c r="Q626" s="304">
        <f t="shared" ca="1" si="280"/>
        <v>0</v>
      </c>
      <c r="R626" s="306">
        <f t="shared" ca="1" si="281"/>
        <v>0</v>
      </c>
      <c r="S626" s="307">
        <f t="shared" ca="1" si="282"/>
        <v>7.8079999999999892</v>
      </c>
      <c r="T626" s="304">
        <f t="shared" ca="1" si="262"/>
        <v>76.5964799999999</v>
      </c>
      <c r="U626" s="311">
        <f t="shared" ca="1" si="263"/>
        <v>0</v>
      </c>
      <c r="V626" s="306">
        <f t="shared" ca="1" si="264"/>
        <v>1.1153665484827036</v>
      </c>
      <c r="W626" s="304">
        <f t="shared" ca="1" si="265"/>
        <v>26.934582313296012</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6.1212951313216619</v>
      </c>
      <c r="AH626" s="304">
        <f t="shared" ca="1" si="289"/>
        <v>-3.3978705815168597</v>
      </c>
    </row>
    <row r="627" spans="1:34" x14ac:dyDescent="0.2">
      <c r="A627" s="347">
        <f t="shared" ca="1" si="267"/>
        <v>0.1</v>
      </c>
      <c r="B627" s="304">
        <f t="shared" ca="1" si="268"/>
        <v>26.300000000000061</v>
      </c>
      <c r="D627" s="306">
        <f t="shared" ca="1" si="269"/>
        <v>-0.82451854905134669</v>
      </c>
      <c r="E627" s="307">
        <f t="shared" ca="1" si="270"/>
        <v>-6.4603727737712138</v>
      </c>
      <c r="F627" s="304">
        <f t="shared" ca="1" si="271"/>
        <v>6.5127756919622302</v>
      </c>
      <c r="G627" s="306">
        <f t="shared" ca="1" si="272"/>
        <v>20.495187539861366</v>
      </c>
      <c r="H627" s="307">
        <f t="shared" ca="1" si="273"/>
        <v>-84.243211952868236</v>
      </c>
      <c r="I627" s="304">
        <f t="shared" ca="1" si="274"/>
        <v>86.700469851264188</v>
      </c>
      <c r="J627" s="306">
        <f t="shared" ca="1" si="275"/>
        <v>727.26074578376301</v>
      </c>
      <c r="K627" s="307">
        <f t="shared" ca="1" si="276"/>
        <v>928.49926881635884</v>
      </c>
      <c r="L627" s="304">
        <f t="shared" ca="1" si="261"/>
        <v>1179.4147211860925</v>
      </c>
      <c r="M627" s="306">
        <f t="shared" ca="1" si="277"/>
        <v>-1.3321467095143533</v>
      </c>
      <c r="N627" s="304">
        <f t="shared" ca="1" si="278"/>
        <v>-76.326384147412512</v>
      </c>
      <c r="P627" s="310">
        <f t="shared" ca="1" si="279"/>
        <v>23</v>
      </c>
      <c r="Q627" s="304">
        <f t="shared" ca="1" si="280"/>
        <v>0</v>
      </c>
      <c r="R627" s="306">
        <f t="shared" ca="1" si="281"/>
        <v>0</v>
      </c>
      <c r="S627" s="307">
        <f t="shared" ca="1" si="282"/>
        <v>7.8079999999999892</v>
      </c>
      <c r="T627" s="304">
        <f t="shared" ca="1" si="262"/>
        <v>76.5964799999999</v>
      </c>
      <c r="U627" s="311">
        <f t="shared" ca="1" si="263"/>
        <v>0</v>
      </c>
      <c r="V627" s="306">
        <f t="shared" ca="1" si="264"/>
        <v>1.1163050009281086</v>
      </c>
      <c r="W627" s="304">
        <f t="shared" ca="1" si="265"/>
        <v>27.339292873243036</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6.0760457990270513</v>
      </c>
      <c r="AH627" s="304">
        <f t="shared" ca="1" si="289"/>
        <v>-3.4496135134856623</v>
      </c>
    </row>
    <row r="628" spans="1:34" x14ac:dyDescent="0.2">
      <c r="A628" s="347">
        <f t="shared" ca="1" si="267"/>
        <v>0.1</v>
      </c>
      <c r="B628" s="304">
        <f t="shared" ca="1" si="268"/>
        <v>26.400000000000063</v>
      </c>
      <c r="D628" s="306">
        <f t="shared" ca="1" si="269"/>
        <v>-0.82770945912761296</v>
      </c>
      <c r="E628" s="307">
        <f t="shared" ca="1" si="270"/>
        <v>-6.407791395415888</v>
      </c>
      <c r="F628" s="304">
        <f t="shared" ca="1" si="271"/>
        <v>6.4610288279727719</v>
      </c>
      <c r="G628" s="306">
        <f t="shared" ca="1" si="272"/>
        <v>20.412416593948606</v>
      </c>
      <c r="H628" s="307">
        <f t="shared" ca="1" si="273"/>
        <v>-84.883991092409829</v>
      </c>
      <c r="I628" s="304">
        <f t="shared" ca="1" si="274"/>
        <v>87.303829784157912</v>
      </c>
      <c r="J628" s="306">
        <f t="shared" ca="1" si="275"/>
        <v>729.30612599045355</v>
      </c>
      <c r="K628" s="307">
        <f t="shared" ca="1" si="276"/>
        <v>920.04290866409497</v>
      </c>
      <c r="L628" s="304">
        <f t="shared" ca="1" si="261"/>
        <v>1174.0384913580524</v>
      </c>
      <c r="M628" s="306">
        <f t="shared" ca="1" si="277"/>
        <v>-1.3348029455745838</v>
      </c>
      <c r="N628" s="304">
        <f t="shared" ca="1" si="278"/>
        <v>-76.478575263054182</v>
      </c>
      <c r="P628" s="310">
        <f t="shared" ca="1" si="279"/>
        <v>23</v>
      </c>
      <c r="Q628" s="304">
        <f t="shared" ca="1" si="280"/>
        <v>0</v>
      </c>
      <c r="R628" s="306">
        <f t="shared" ca="1" si="281"/>
        <v>0</v>
      </c>
      <c r="S628" s="307">
        <f t="shared" ca="1" si="282"/>
        <v>7.8079999999999892</v>
      </c>
      <c r="T628" s="304">
        <f t="shared" ca="1" si="262"/>
        <v>76.5964799999999</v>
      </c>
      <c r="U628" s="311">
        <f t="shared" ca="1" si="263"/>
        <v>0</v>
      </c>
      <c r="V628" s="306">
        <f t="shared" ca="1" si="264"/>
        <v>1.117251409996225</v>
      </c>
      <c r="W628" s="304">
        <f t="shared" ca="1" si="265"/>
        <v>27.744634463462599</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6.0305194306028849</v>
      </c>
      <c r="AH628" s="304">
        <f t="shared" ca="1" si="289"/>
        <v>-3.5014463208559263</v>
      </c>
    </row>
    <row r="629" spans="1:34" x14ac:dyDescent="0.2">
      <c r="A629" s="347">
        <f t="shared" ca="1" si="267"/>
        <v>0.1</v>
      </c>
      <c r="B629" s="304">
        <f t="shared" ca="1" si="268"/>
        <v>26.500000000000064</v>
      </c>
      <c r="D629" s="306">
        <f t="shared" ca="1" si="269"/>
        <v>-0.83080735081891377</v>
      </c>
      <c r="E629" s="307">
        <f t="shared" ca="1" si="270"/>
        <v>-6.3551300956042587</v>
      </c>
      <c r="F629" s="304">
        <f t="shared" ca="1" si="271"/>
        <v>6.4092058311642424</v>
      </c>
      <c r="G629" s="306">
        <f t="shared" ca="1" si="272"/>
        <v>20.329335858866713</v>
      </c>
      <c r="H629" s="307">
        <f t="shared" ca="1" si="273"/>
        <v>-85.519504101970256</v>
      </c>
      <c r="I629" s="304">
        <f t="shared" ca="1" si="274"/>
        <v>87.902602227178178</v>
      </c>
      <c r="J629" s="306">
        <f t="shared" ca="1" si="275"/>
        <v>731.34321361309435</v>
      </c>
      <c r="K629" s="307">
        <f t="shared" ca="1" si="276"/>
        <v>911.52273390437597</v>
      </c>
      <c r="L629" s="304">
        <f t="shared" ca="1" si="261"/>
        <v>1168.6473336821662</v>
      </c>
      <c r="M629" s="306">
        <f t="shared" ca="1" si="277"/>
        <v>-1.3374122749050754</v>
      </c>
      <c r="N629" s="304">
        <f t="shared" ca="1" si="278"/>
        <v>-76.628078821051048</v>
      </c>
      <c r="P629" s="310">
        <f t="shared" ca="1" si="279"/>
        <v>23</v>
      </c>
      <c r="Q629" s="304">
        <f t="shared" ca="1" si="280"/>
        <v>0</v>
      </c>
      <c r="R629" s="306">
        <f t="shared" ca="1" si="281"/>
        <v>0</v>
      </c>
      <c r="S629" s="307">
        <f t="shared" ca="1" si="282"/>
        <v>7.8079999999999892</v>
      </c>
      <c r="T629" s="304">
        <f t="shared" ca="1" si="262"/>
        <v>76.5964799999999</v>
      </c>
      <c r="U629" s="311">
        <f t="shared" ca="1" si="263"/>
        <v>0</v>
      </c>
      <c r="V629" s="306">
        <f t="shared" ca="1" si="264"/>
        <v>1.1182057351115358</v>
      </c>
      <c r="W629" s="304">
        <f t="shared" ca="1" si="265"/>
        <v>28.150537021112093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5.9847319638085068</v>
      </c>
      <c r="AH629" s="304">
        <f t="shared" ca="1" si="289"/>
        <v>-3.5533599466524897</v>
      </c>
    </row>
    <row r="630" spans="1:34" x14ac:dyDescent="0.2">
      <c r="A630" s="347">
        <f t="shared" ca="1" si="267"/>
        <v>0.1</v>
      </c>
      <c r="B630" s="304">
        <f t="shared" ca="1" si="268"/>
        <v>26.600000000000065</v>
      </c>
      <c r="D630" s="306">
        <f t="shared" ca="1" si="269"/>
        <v>-0.83381237899501237</v>
      </c>
      <c r="E630" s="307">
        <f t="shared" ca="1" si="270"/>
        <v>-6.3023978992340455</v>
      </c>
      <c r="F630" s="304">
        <f t="shared" ca="1" si="271"/>
        <v>6.3573156570706031</v>
      </c>
      <c r="G630" s="306">
        <f t="shared" ca="1" si="272"/>
        <v>20.245954620967211</v>
      </c>
      <c r="H630" s="307">
        <f t="shared" ca="1" si="273"/>
        <v>-86.149743891893664</v>
      </c>
      <c r="I630" s="304">
        <f t="shared" ca="1" si="274"/>
        <v>88.496762941664329</v>
      </c>
      <c r="J630" s="306">
        <f t="shared" ca="1" si="275"/>
        <v>733.37197813708599</v>
      </c>
      <c r="K630" s="307">
        <f t="shared" ca="1" si="276"/>
        <v>902.93927150468278</v>
      </c>
      <c r="L630" s="304">
        <f t="shared" ca="1" si="261"/>
        <v>1163.2427890780625</v>
      </c>
      <c r="M630" s="306">
        <f t="shared" ca="1" si="277"/>
        <v>-1.3399759533789077</v>
      </c>
      <c r="N630" s="304">
        <f t="shared" ca="1" si="278"/>
        <v>-76.774966777630169</v>
      </c>
      <c r="P630" s="310">
        <f t="shared" ca="1" si="279"/>
        <v>23</v>
      </c>
      <c r="Q630" s="304">
        <f t="shared" ca="1" si="280"/>
        <v>0</v>
      </c>
      <c r="R630" s="306">
        <f t="shared" ca="1" si="281"/>
        <v>0</v>
      </c>
      <c r="S630" s="307">
        <f t="shared" ca="1" si="282"/>
        <v>7.8079999999999892</v>
      </c>
      <c r="T630" s="304">
        <f t="shared" ca="1" si="262"/>
        <v>76.5964799999999</v>
      </c>
      <c r="U630" s="311">
        <f t="shared" ca="1" si="263"/>
        <v>0</v>
      </c>
      <c r="V630" s="306">
        <f t="shared" ca="1" si="264"/>
        <v>1.1191679355973545</v>
      </c>
      <c r="W630" s="304">
        <f t="shared" ca="1" si="265"/>
        <v>28.556931154734372</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5.9386989448933658</v>
      </c>
      <c r="AH630" s="304">
        <f t="shared" ca="1" si="289"/>
        <v>-3.6053454176629267</v>
      </c>
    </row>
    <row r="631" spans="1:34" x14ac:dyDescent="0.2">
      <c r="A631" s="347">
        <f t="shared" ca="1" si="267"/>
        <v>0.1</v>
      </c>
      <c r="B631" s="304">
        <f t="shared" ca="1" si="268"/>
        <v>26.700000000000067</v>
      </c>
      <c r="D631" s="306">
        <f t="shared" ca="1" si="269"/>
        <v>-0.83672472742678761</v>
      </c>
      <c r="E631" s="307">
        <f t="shared" ca="1" si="270"/>
        <v>-6.2496037467563674</v>
      </c>
      <c r="F631" s="304">
        <f t="shared" ca="1" si="271"/>
        <v>6.3053671789165984</v>
      </c>
      <c r="G631" s="306">
        <f t="shared" ca="1" si="272"/>
        <v>20.162282148224531</v>
      </c>
      <c r="H631" s="307">
        <f t="shared" ca="1" si="273"/>
        <v>-86.774704266569302</v>
      </c>
      <c r="I631" s="304">
        <f t="shared" ca="1" si="274"/>
        <v>89.086289191856991</v>
      </c>
      <c r="J631" s="306">
        <f t="shared" ca="1" si="275"/>
        <v>735.3923899755456</v>
      </c>
      <c r="K631" s="307">
        <f t="shared" ca="1" si="276"/>
        <v>894.29304909675966</v>
      </c>
      <c r="L631" s="304">
        <f t="shared" ca="1" si="261"/>
        <v>1157.8264226112324</v>
      </c>
      <c r="M631" s="306">
        <f t="shared" ca="1" si="277"/>
        <v>-1.3424951929618645</v>
      </c>
      <c r="N631" s="304">
        <f t="shared" ca="1" si="278"/>
        <v>-76.919308573315888</v>
      </c>
      <c r="P631" s="310">
        <f t="shared" ca="1" si="279"/>
        <v>23</v>
      </c>
      <c r="Q631" s="304">
        <f t="shared" ca="1" si="280"/>
        <v>0</v>
      </c>
      <c r="R631" s="306">
        <f t="shared" ca="1" si="281"/>
        <v>0</v>
      </c>
      <c r="S631" s="307">
        <f t="shared" ca="1" si="282"/>
        <v>7.8079999999999892</v>
      </c>
      <c r="T631" s="304">
        <f t="shared" ca="1" si="262"/>
        <v>76.5964799999999</v>
      </c>
      <c r="U631" s="311">
        <f t="shared" ca="1" si="263"/>
        <v>0</v>
      </c>
      <c r="V631" s="306">
        <f t="shared" ca="1" si="264"/>
        <v>1.1201379706822971</v>
      </c>
      <c r="W631" s="304">
        <f t="shared" ca="1" si="265"/>
        <v>28.963748161023972</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5.8924355424265098</v>
      </c>
      <c r="AH631" s="304">
        <f t="shared" ca="1" si="289"/>
        <v>-3.6573938466616815</v>
      </c>
    </row>
    <row r="632" spans="1:34" x14ac:dyDescent="0.2">
      <c r="A632" s="347">
        <f t="shared" ca="1" si="267"/>
        <v>0.1</v>
      </c>
      <c r="B632" s="304">
        <f t="shared" ca="1" si="268"/>
        <v>26.800000000000068</v>
      </c>
      <c r="D632" s="306">
        <f t="shared" ca="1" si="269"/>
        <v>-0.83954460804070874</v>
      </c>
      <c r="E632" s="307">
        <f t="shared" ca="1" si="270"/>
        <v>-6.1967564918616853</v>
      </c>
      <c r="F632" s="304">
        <f t="shared" ca="1" si="271"/>
        <v>6.2533691853528177</v>
      </c>
      <c r="G632" s="306">
        <f t="shared" ca="1" si="272"/>
        <v>20.078327687420458</v>
      </c>
      <c r="H632" s="307">
        <f t="shared" ca="1" si="273"/>
        <v>-87.394379915755465</v>
      </c>
      <c r="I632" s="304">
        <f t="shared" ca="1" si="274"/>
        <v>89.671159709144149</v>
      </c>
      <c r="J632" s="306">
        <f t="shared" ca="1" si="275"/>
        <v>737.4044204673279</v>
      </c>
      <c r="K632" s="307">
        <f t="shared" ca="1" si="276"/>
        <v>885.58459488764345</v>
      </c>
      <c r="L632" s="304">
        <f t="shared" ca="1" si="261"/>
        <v>1152.3998238576173</v>
      </c>
      <c r="M632" s="306">
        <f t="shared" ca="1" si="277"/>
        <v>-1.3449711635610349</v>
      </c>
      <c r="N632" s="304">
        <f t="shared" ca="1" si="278"/>
        <v>-77.061171238846839</v>
      </c>
      <c r="P632" s="310">
        <f t="shared" ca="1" si="279"/>
        <v>23</v>
      </c>
      <c r="Q632" s="304">
        <f t="shared" ca="1" si="280"/>
        <v>0</v>
      </c>
      <c r="R632" s="306">
        <f t="shared" ca="1" si="281"/>
        <v>0</v>
      </c>
      <c r="S632" s="307">
        <f t="shared" ca="1" si="282"/>
        <v>7.8079999999999892</v>
      </c>
      <c r="T632" s="304">
        <f t="shared" ca="1" si="262"/>
        <v>76.5964799999999</v>
      </c>
      <c r="U632" s="311">
        <f t="shared" ca="1" si="263"/>
        <v>0</v>
      </c>
      <c r="V632" s="306">
        <f t="shared" ca="1" si="264"/>
        <v>1.1211157995067171</v>
      </c>
      <c r="W632" s="304">
        <f t="shared" ca="1" si="265"/>
        <v>29.370920040992505</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5.8459565602549279</v>
      </c>
      <c r="AH632" s="304">
        <f t="shared" ca="1" si="289"/>
        <v>-3.7094964345573787</v>
      </c>
    </row>
    <row r="633" spans="1:34" x14ac:dyDescent="0.2">
      <c r="A633" s="347">
        <f t="shared" ca="1" si="267"/>
        <v>0.1</v>
      </c>
      <c r="B633" s="304">
        <f t="shared" ca="1" si="268"/>
        <v>26.90000000000007</v>
      </c>
      <c r="D633" s="306">
        <f t="shared" ca="1" si="269"/>
        <v>-0.84227226018565515</v>
      </c>
      <c r="E633" s="307">
        <f t="shared" ca="1" si="270"/>
        <v>-6.1438648992522698</v>
      </c>
      <c r="F633" s="304">
        <f t="shared" ca="1" si="271"/>
        <v>6.2013303782770954</v>
      </c>
      <c r="G633" s="306">
        <f t="shared" ca="1" si="272"/>
        <v>19.994100461401892</v>
      </c>
      <c r="H633" s="307">
        <f t="shared" ca="1" si="273"/>
        <v>-88.008766405680689</v>
      </c>
      <c r="I633" s="304">
        <f t="shared" ca="1" si="274"/>
        <v>90.251354657480363</v>
      </c>
      <c r="J633" s="306">
        <f t="shared" ca="1" si="275"/>
        <v>739.40804187476897</v>
      </c>
      <c r="K633" s="307">
        <f t="shared" ca="1" si="276"/>
        <v>876.8144375715716</v>
      </c>
      <c r="L633" s="304">
        <f t="shared" ca="1" si="261"/>
        <v>1146.9646072669511</v>
      </c>
      <c r="M633" s="306">
        <f t="shared" ca="1" si="277"/>
        <v>-1.347404994783586</v>
      </c>
      <c r="N633" s="304">
        <f t="shared" ca="1" si="278"/>
        <v>-77.200619495946185</v>
      </c>
      <c r="P633" s="310">
        <f t="shared" ca="1" si="279"/>
        <v>23</v>
      </c>
      <c r="Q633" s="304">
        <f t="shared" ca="1" si="280"/>
        <v>0</v>
      </c>
      <c r="R633" s="306">
        <f t="shared" ca="1" si="281"/>
        <v>0</v>
      </c>
      <c r="S633" s="307">
        <f t="shared" ca="1" si="282"/>
        <v>7.8079999999999892</v>
      </c>
      <c r="T633" s="304">
        <f t="shared" ca="1" si="262"/>
        <v>76.5964799999999</v>
      </c>
      <c r="U633" s="311">
        <f t="shared" ca="1" si="263"/>
        <v>0</v>
      </c>
      <c r="V633" s="306">
        <f t="shared" ca="1" si="264"/>
        <v>1.1221013811290921</v>
      </c>
      <c r="W633" s="304">
        <f t="shared" ca="1" si="265"/>
        <v>29.778379515532237</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5.7992764496528091</v>
      </c>
      <c r="AH633" s="304">
        <f t="shared" ca="1" si="289"/>
        <v>-3.7616444724631846</v>
      </c>
    </row>
    <row r="634" spans="1:34" x14ac:dyDescent="0.2">
      <c r="A634" s="347">
        <f t="shared" ca="1" si="267"/>
        <v>0.1</v>
      </c>
      <c r="B634" s="304">
        <f t="shared" ca="1" si="268"/>
        <v>27.000000000000071</v>
      </c>
      <c r="D634" s="306">
        <f t="shared" ca="1" si="269"/>
        <v>-0.84490794991144258</v>
      </c>
      <c r="E634" s="307">
        <f t="shared" ca="1" si="270"/>
        <v>-6.090937642500724</v>
      </c>
      <c r="F634" s="304">
        <f t="shared" ca="1" si="271"/>
        <v>6.1492593707417997</v>
      </c>
      <c r="G634" s="306">
        <f t="shared" ca="1" si="272"/>
        <v>19.909609666410748</v>
      </c>
      <c r="H634" s="307">
        <f t="shared" ca="1" si="273"/>
        <v>-88.617860169930765</v>
      </c>
      <c r="I634" s="304">
        <f t="shared" ca="1" si="274"/>
        <v>90.826855599906352</v>
      </c>
      <c r="J634" s="306">
        <f t="shared" ca="1" si="275"/>
        <v>741.40322738115958</v>
      </c>
      <c r="K634" s="307">
        <f t="shared" ca="1" si="276"/>
        <v>867.983106242791</v>
      </c>
      <c r="L634" s="304">
        <f t="shared" ca="1" si="261"/>
        <v>1141.522412523768</v>
      </c>
      <c r="M634" s="306">
        <f t="shared" ca="1" si="277"/>
        <v>-1.3497977776105829</v>
      </c>
      <c r="N634" s="304">
        <f t="shared" ca="1" si="278"/>
        <v>-77.337715853224495</v>
      </c>
      <c r="P634" s="310">
        <f t="shared" ca="1" si="279"/>
        <v>23</v>
      </c>
      <c r="Q634" s="304">
        <f t="shared" ca="1" si="280"/>
        <v>0</v>
      </c>
      <c r="R634" s="306">
        <f t="shared" ca="1" si="281"/>
        <v>0</v>
      </c>
      <c r="S634" s="307">
        <f t="shared" ca="1" si="282"/>
        <v>7.8079999999999892</v>
      </c>
      <c r="T634" s="304">
        <f t="shared" ca="1" si="262"/>
        <v>76.5964799999999</v>
      </c>
      <c r="U634" s="311">
        <f t="shared" ca="1" si="263"/>
        <v>0</v>
      </c>
      <c r="V634" s="306">
        <f t="shared" ca="1" si="264"/>
        <v>1.1230946745323622</v>
      </c>
      <c r="W634" s="304">
        <f t="shared" ca="1" si="265"/>
        <v>30.186060040377683</v>
      </c>
      <c r="Y634" s="314" t="str">
        <f t="shared" ca="1" si="283"/>
        <v/>
      </c>
      <c r="Z634" s="315" t="str">
        <f t="shared" ca="1" si="284"/>
        <v/>
      </c>
      <c r="AA634" s="316" t="str">
        <f t="shared" ca="1" si="285"/>
        <v/>
      </c>
      <c r="AC634" s="310">
        <f t="shared" ca="1" si="286"/>
        <v>27.000000000000071</v>
      </c>
      <c r="AD634" s="323">
        <f t="shared" ca="1" si="287"/>
        <v>741.40322738115958</v>
      </c>
      <c r="AE634" s="324" t="e">
        <f t="shared" ca="1" si="266"/>
        <v>#N/A</v>
      </c>
      <c r="AG634" s="306">
        <f t="shared" ca="1" si="288"/>
        <v>5.7524093207194547</v>
      </c>
      <c r="AH634" s="304">
        <f t="shared" ca="1" si="289"/>
        <v>-3.813829343690097</v>
      </c>
    </row>
    <row r="635" spans="1:34" x14ac:dyDescent="0.2">
      <c r="A635" s="347">
        <f t="shared" ca="1" si="267"/>
        <v>0.1</v>
      </c>
      <c r="B635" s="304">
        <f t="shared" ca="1" si="268"/>
        <v>27.100000000000072</v>
      </c>
      <c r="D635" s="306">
        <f t="shared" ca="1" si="269"/>
        <v>-0.84745196925849609</v>
      </c>
      <c r="E635" s="307">
        <f t="shared" ca="1" si="270"/>
        <v>-6.0379833019940579</v>
      </c>
      <c r="F635" s="304">
        <f t="shared" ca="1" si="271"/>
        <v>6.0971646849465344</v>
      </c>
      <c r="G635" s="306">
        <f t="shared" ca="1" si="272"/>
        <v>19.824864469484901</v>
      </c>
      <c r="H635" s="307">
        <f t="shared" ca="1" si="273"/>
        <v>-89.221658500130175</v>
      </c>
      <c r="I635" s="304">
        <f t="shared" ca="1" si="274"/>
        <v>91.397645466102105</v>
      </c>
      <c r="J635" s="306">
        <f t="shared" ca="1" si="275"/>
        <v>743.38995108795439</v>
      </c>
      <c r="K635" s="307">
        <f t="shared" ca="1" si="276"/>
        <v>859.09113030928791</v>
      </c>
      <c r="L635" s="304">
        <f t="shared" ca="1" si="261"/>
        <v>1136.0749049048839</v>
      </c>
      <c r="M635" s="306">
        <f t="shared" ca="1" si="277"/>
        <v>-1.3521505659904458</v>
      </c>
      <c r="N635" s="304">
        <f t="shared" ca="1" si="278"/>
        <v>-77.472520697478046</v>
      </c>
      <c r="P635" s="310">
        <f t="shared" ca="1" si="279"/>
        <v>23</v>
      </c>
      <c r="Q635" s="304">
        <f t="shared" ca="1" si="280"/>
        <v>0</v>
      </c>
      <c r="R635" s="306">
        <f t="shared" ca="1" si="281"/>
        <v>0</v>
      </c>
      <c r="S635" s="307">
        <f t="shared" ca="1" si="282"/>
        <v>7.8079999999999892</v>
      </c>
      <c r="T635" s="304">
        <f t="shared" ca="1" si="262"/>
        <v>76.5964799999999</v>
      </c>
      <c r="U635" s="311">
        <f t="shared" ca="1" si="263"/>
        <v>0</v>
      </c>
      <c r="V635" s="306">
        <f t="shared" ca="1" si="264"/>
        <v>1.1240956386302272</v>
      </c>
      <c r="W635" s="304">
        <f t="shared" ca="1" si="265"/>
        <v>30.593895820465843</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5.7053689530792564</v>
      </c>
      <c r="AH635" s="304">
        <f t="shared" ca="1" si="289"/>
        <v>-3.8660425256631306</v>
      </c>
    </row>
    <row r="636" spans="1:34" x14ac:dyDescent="0.2">
      <c r="A636" s="347">
        <f t="shared" ca="1" si="267"/>
        <v>0.1</v>
      </c>
      <c r="B636" s="304">
        <f t="shared" ca="1" si="268"/>
        <v>27.200000000000074</v>
      </c>
      <c r="D636" s="306">
        <f t="shared" ca="1" si="269"/>
        <v>-0.84990463555817075</v>
      </c>
      <c r="E636" s="307">
        <f t="shared" ca="1" si="270"/>
        <v>-5.9850103629627016</v>
      </c>
      <c r="F636" s="304">
        <f t="shared" ca="1" si="271"/>
        <v>6.0450547503156828</v>
      </c>
      <c r="G636" s="306">
        <f t="shared" ca="1" si="272"/>
        <v>19.739874005929085</v>
      </c>
      <c r="H636" s="307">
        <f t="shared" ca="1" si="273"/>
        <v>-89.820159536426445</v>
      </c>
      <c r="I636" s="304">
        <f t="shared" ca="1" si="274"/>
        <v>91.963708520910856</v>
      </c>
      <c r="J636" s="306">
        <f t="shared" ca="1" si="275"/>
        <v>745.36818801172512</v>
      </c>
      <c r="K636" s="307">
        <f t="shared" ca="1" si="276"/>
        <v>850.13903940746013</v>
      </c>
      <c r="L636" s="304">
        <f t="shared" ca="1" si="261"/>
        <v>1130.6237756320718</v>
      </c>
      <c r="M636" s="306">
        <f t="shared" ca="1" si="277"/>
        <v>-1.3544643783563646</v>
      </c>
      <c r="N636" s="304">
        <f t="shared" ca="1" si="278"/>
        <v>-77.605092380630381</v>
      </c>
      <c r="P636" s="310">
        <f t="shared" ca="1" si="279"/>
        <v>23</v>
      </c>
      <c r="Q636" s="304">
        <f t="shared" ca="1" si="280"/>
        <v>0</v>
      </c>
      <c r="R636" s="306">
        <f t="shared" ca="1" si="281"/>
        <v>0</v>
      </c>
      <c r="S636" s="307">
        <f t="shared" ca="1" si="282"/>
        <v>7.8079999999999892</v>
      </c>
      <c r="T636" s="304">
        <f t="shared" ca="1" si="262"/>
        <v>76.5964799999999</v>
      </c>
      <c r="U636" s="311">
        <f t="shared" ca="1" si="263"/>
        <v>0</v>
      </c>
      <c r="V636" s="306">
        <f t="shared" ca="1" si="264"/>
        <v>1.1251042322733851</v>
      </c>
      <c r="W636" s="304">
        <f t="shared" ca="1" si="265"/>
        <v>31.001821823695689</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5.6581688059335242</v>
      </c>
      <c r="AH636" s="304">
        <f t="shared" ca="1" si="289"/>
        <v>-3.9182755917604872</v>
      </c>
    </row>
    <row r="637" spans="1:34" x14ac:dyDescent="0.2">
      <c r="A637" s="347">
        <f t="shared" ca="1" si="267"/>
        <v>0.1</v>
      </c>
      <c r="B637" s="304">
        <f t="shared" ca="1" si="268"/>
        <v>27.300000000000075</v>
      </c>
      <c r="D637" s="306">
        <f t="shared" ca="1" si="269"/>
        <v>-0.85226629074325633</v>
      </c>
      <c r="E637" s="307">
        <f t="shared" ca="1" si="270"/>
        <v>-5.9320272135939236</v>
      </c>
      <c r="F637" s="304">
        <f t="shared" ca="1" si="271"/>
        <v>5.9929379016602669</v>
      </c>
      <c r="G637" s="306">
        <f t="shared" ca="1" si="272"/>
        <v>19.654647376854758</v>
      </c>
      <c r="H637" s="307">
        <f t="shared" ca="1" si="273"/>
        <v>-90.413362257785835</v>
      </c>
      <c r="I637" s="304">
        <f t="shared" ca="1" si="274"/>
        <v>92.525030333775717</v>
      </c>
      <c r="J637" s="306">
        <f t="shared" ca="1" si="275"/>
        <v>747.33791408086427</v>
      </c>
      <c r="K637" s="307">
        <f t="shared" ca="1" si="276"/>
        <v>841.12736331774954</v>
      </c>
      <c r="L637" s="304">
        <f t="shared" ca="1" si="261"/>
        <v>1125.1707422185341</v>
      </c>
      <c r="M637" s="306">
        <f t="shared" ca="1" si="277"/>
        <v>-1.3567401990717378</v>
      </c>
      <c r="N637" s="304">
        <f t="shared" ca="1" si="278"/>
        <v>-77.735487302549714</v>
      </c>
      <c r="P637" s="310">
        <f t="shared" ca="1" si="279"/>
        <v>23</v>
      </c>
      <c r="Q637" s="304">
        <f t="shared" ca="1" si="280"/>
        <v>0</v>
      </c>
      <c r="R637" s="306">
        <f t="shared" ca="1" si="281"/>
        <v>0</v>
      </c>
      <c r="S637" s="307">
        <f t="shared" ca="1" si="282"/>
        <v>7.8079999999999892</v>
      </c>
      <c r="T637" s="304">
        <f t="shared" ca="1" si="262"/>
        <v>76.5964799999999</v>
      </c>
      <c r="U637" s="311">
        <f t="shared" ca="1" si="263"/>
        <v>0</v>
      </c>
      <c r="V637" s="306">
        <f t="shared" ca="1" si="264"/>
        <v>1.1261204142557275</v>
      </c>
      <c r="W637" s="304">
        <f t="shared" ca="1" si="265"/>
        <v>31.409773794088213</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5.6108220275102312</v>
      </c>
      <c r="AH637" s="304">
        <f t="shared" ca="1" si="289"/>
        <v>-3.9705202130757855</v>
      </c>
    </row>
    <row r="638" spans="1:34" x14ac:dyDescent="0.2">
      <c r="A638" s="347">
        <f t="shared" ca="1" si="267"/>
        <v>0.1</v>
      </c>
      <c r="B638" s="304">
        <f t="shared" ca="1" si="268"/>
        <v>27.400000000000077</v>
      </c>
      <c r="D638" s="306">
        <f t="shared" ca="1" si="269"/>
        <v>-0.85453730066825806</v>
      </c>
      <c r="E638" s="307">
        <f t="shared" ca="1" si="270"/>
        <v>-5.8790421432290536</v>
      </c>
      <c r="F638" s="304">
        <f t="shared" ca="1" si="271"/>
        <v>5.9408223774235713</v>
      </c>
      <c r="G638" s="306">
        <f t="shared" ca="1" si="272"/>
        <v>19.569193646787934</v>
      </c>
      <c r="H638" s="307">
        <f t="shared" ca="1" si="273"/>
        <v>-91.001266472108739</v>
      </c>
      <c r="I638" s="304">
        <f t="shared" ca="1" si="274"/>
        <v>93.081597749035367</v>
      </c>
      <c r="J638" s="306">
        <f t="shared" ca="1" si="275"/>
        <v>749.2991061320464</v>
      </c>
      <c r="K638" s="307">
        <f t="shared" ca="1" si="276"/>
        <v>832.05663188125482</v>
      </c>
      <c r="L638" s="304">
        <f t="shared" ca="1" si="261"/>
        <v>1119.7175488076723</v>
      </c>
      <c r="M638" s="306">
        <f t="shared" ca="1" si="277"/>
        <v>-1.3589789798074667</v>
      </c>
      <c r="N638" s="304">
        <f t="shared" ca="1" si="278"/>
        <v>-77.863759989962162</v>
      </c>
      <c r="P638" s="310">
        <f t="shared" ca="1" si="279"/>
        <v>23</v>
      </c>
      <c r="Q638" s="304">
        <f t="shared" ca="1" si="280"/>
        <v>0</v>
      </c>
      <c r="R638" s="306">
        <f t="shared" ca="1" si="281"/>
        <v>0</v>
      </c>
      <c r="S638" s="307">
        <f t="shared" ca="1" si="282"/>
        <v>7.8079999999999892</v>
      </c>
      <c r="T638" s="304">
        <f t="shared" ca="1" si="262"/>
        <v>76.5964799999999</v>
      </c>
      <c r="U638" s="311">
        <f t="shared" ca="1" si="263"/>
        <v>0</v>
      </c>
      <c r="V638" s="306">
        <f t="shared" ca="1" si="264"/>
        <v>1.1271441433204772</v>
      </c>
      <c r="W638" s="304">
        <f t="shared" ca="1" si="265"/>
        <v>31.817688264349098</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5.5633414639546279</v>
      </c>
      <c r="AH638" s="304">
        <f t="shared" ca="1" si="289"/>
        <v>-4.0227681601035163</v>
      </c>
    </row>
    <row r="639" spans="1:34" x14ac:dyDescent="0.2">
      <c r="A639" s="347">
        <f t="shared" ca="1" si="267"/>
        <v>0.1</v>
      </c>
      <c r="B639" s="304">
        <f t="shared" ca="1" si="268"/>
        <v>27.500000000000078</v>
      </c>
      <c r="D639" s="306">
        <f t="shared" ca="1" si="269"/>
        <v>-0.85671805443909255</v>
      </c>
      <c r="E639" s="307">
        <f t="shared" ca="1" si="270"/>
        <v>-5.8260633406438256</v>
      </c>
      <c r="F639" s="304">
        <f t="shared" ca="1" si="271"/>
        <v>5.8887163180098767</v>
      </c>
      <c r="G639" s="306">
        <f t="shared" ca="1" si="272"/>
        <v>19.483521841344025</v>
      </c>
      <c r="H639" s="307">
        <f t="shared" ca="1" si="273"/>
        <v>-91.583872806173119</v>
      </c>
      <c r="I639" s="304">
        <f t="shared" ca="1" si="274"/>
        <v>93.633398857028723</v>
      </c>
      <c r="J639" s="306">
        <f t="shared" ca="1" si="275"/>
        <v>751.25174190645305</v>
      </c>
      <c r="K639" s="307">
        <f t="shared" ca="1" si="276"/>
        <v>822.92737491734067</v>
      </c>
      <c r="L639" s="304">
        <f t="shared" ca="1" si="261"/>
        <v>1114.2659665025335</v>
      </c>
      <c r="M639" s="306">
        <f t="shared" ca="1" si="277"/>
        <v>-1.3611816408547117</v>
      </c>
      <c r="N639" s="304">
        <f t="shared" ca="1" si="278"/>
        <v>-77.989963171667171</v>
      </c>
      <c r="P639" s="310">
        <f t="shared" ca="1" si="279"/>
        <v>23</v>
      </c>
      <c r="Q639" s="304">
        <f t="shared" ca="1" si="280"/>
        <v>0</v>
      </c>
      <c r="R639" s="306">
        <f t="shared" ca="1" si="281"/>
        <v>0</v>
      </c>
      <c r="S639" s="307">
        <f t="shared" ca="1" si="282"/>
        <v>7.8079999999999892</v>
      </c>
      <c r="T639" s="304">
        <f t="shared" ca="1" si="262"/>
        <v>76.5964799999999</v>
      </c>
      <c r="U639" s="311">
        <f t="shared" ca="1" si="263"/>
        <v>0</v>
      </c>
      <c r="V639" s="306">
        <f t="shared" ca="1" si="264"/>
        <v>1.1281753781662756</v>
      </c>
      <c r="W639" s="304">
        <f t="shared" ca="1" si="265"/>
        <v>32.225502567836287</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5.5157396677004877</v>
      </c>
      <c r="AH639" s="304">
        <f t="shared" ca="1" si="289"/>
        <v>-4.0750113043479947</v>
      </c>
    </row>
    <row r="640" spans="1:34" x14ac:dyDescent="0.2">
      <c r="A640" s="347">
        <f t="shared" ca="1" si="267"/>
        <v>0.1</v>
      </c>
      <c r="B640" s="304">
        <f t="shared" ca="1" si="268"/>
        <v>27.60000000000008</v>
      </c>
      <c r="D640" s="306">
        <f t="shared" ca="1" si="269"/>
        <v>-0.85880896375186822</v>
      </c>
      <c r="E640" s="307">
        <f t="shared" ca="1" si="270"/>
        <v>-5.7730988924111921</v>
      </c>
      <c r="F640" s="304">
        <f t="shared" ca="1" si="271"/>
        <v>5.8366277641956827</v>
      </c>
      <c r="G640" s="306">
        <f t="shared" ca="1" si="272"/>
        <v>19.397640944968838</v>
      </c>
      <c r="H640" s="307">
        <f t="shared" ca="1" si="273"/>
        <v>-92.16118269541424</v>
      </c>
      <c r="I640" s="304">
        <f t="shared" ca="1" si="274"/>
        <v>94.180422965961739</v>
      </c>
      <c r="J640" s="306">
        <f t="shared" ca="1" si="275"/>
        <v>753.19580004576869</v>
      </c>
      <c r="K640" s="307">
        <f t="shared" ca="1" si="276"/>
        <v>813.74012214226127</v>
      </c>
      <c r="L640" s="304">
        <f t="shared" ca="1" si="261"/>
        <v>1108.8177936841957</v>
      </c>
      <c r="M640" s="306">
        <f t="shared" ca="1" si="277"/>
        <v>-1.3633490723765085</v>
      </c>
      <c r="N640" s="304">
        <f t="shared" ca="1" si="278"/>
        <v>-78.114147850249751</v>
      </c>
      <c r="P640" s="310">
        <f t="shared" ca="1" si="279"/>
        <v>23</v>
      </c>
      <c r="Q640" s="304">
        <f t="shared" ca="1" si="280"/>
        <v>0</v>
      </c>
      <c r="R640" s="306">
        <f t="shared" ca="1" si="281"/>
        <v>0</v>
      </c>
      <c r="S640" s="307">
        <f t="shared" ca="1" si="282"/>
        <v>7.8079999999999892</v>
      </c>
      <c r="T640" s="304">
        <f t="shared" ca="1" si="262"/>
        <v>76.5964799999999</v>
      </c>
      <c r="U640" s="311">
        <f t="shared" ca="1" si="263"/>
        <v>0</v>
      </c>
      <c r="V640" s="306">
        <f t="shared" ca="1" si="264"/>
        <v>1.1292140774532096</v>
      </c>
      <c r="W640" s="304">
        <f t="shared" ca="1" si="265"/>
        <v>32.633154849934762</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5.468028905359029</v>
      </c>
      <c r="AH640" s="304">
        <f t="shared" ca="1" si="289"/>
        <v>-4.127241619856088</v>
      </c>
    </row>
    <row r="641" spans="1:34" x14ac:dyDescent="0.2">
      <c r="A641" s="347">
        <f t="shared" ca="1" si="267"/>
        <v>0.1</v>
      </c>
      <c r="B641" s="304">
        <f t="shared" ca="1" si="268"/>
        <v>27.700000000000081</v>
      </c>
      <c r="D641" s="306">
        <f t="shared" ca="1" si="269"/>
        <v>-0.86081046224045832</v>
      </c>
      <c r="E641" s="307">
        <f t="shared" ca="1" si="270"/>
        <v>-5.7201567813459526</v>
      </c>
      <c r="F641" s="304">
        <f t="shared" ca="1" si="271"/>
        <v>5.784564655622817</v>
      </c>
      <c r="G641" s="306">
        <f t="shared" ca="1" si="272"/>
        <v>19.311559898744793</v>
      </c>
      <c r="H641" s="307">
        <f t="shared" ca="1" si="273"/>
        <v>-92.733198373548831</v>
      </c>
      <c r="I641" s="304">
        <f t="shared" ca="1" si="274"/>
        <v>94.72266057449383</v>
      </c>
      <c r="J641" s="306">
        <f t="shared" ca="1" si="275"/>
        <v>755.13126008795439</v>
      </c>
      <c r="K641" s="307">
        <f t="shared" ca="1" si="276"/>
        <v>804.49540308881308</v>
      </c>
      <c r="L641" s="304">
        <f t="shared" ca="1" si="261"/>
        <v>1103.3748563172235</v>
      </c>
      <c r="M641" s="306">
        <f t="shared" ca="1" si="277"/>
        <v>-1.3654821356014493</v>
      </c>
      <c r="N641" s="304">
        <f t="shared" ca="1" si="278"/>
        <v>-78.236363370473413</v>
      </c>
      <c r="P641" s="310">
        <f t="shared" ca="1" si="279"/>
        <v>23</v>
      </c>
      <c r="Q641" s="304">
        <f t="shared" ca="1" si="280"/>
        <v>0</v>
      </c>
      <c r="R641" s="306">
        <f t="shared" ca="1" si="281"/>
        <v>0</v>
      </c>
      <c r="S641" s="307">
        <f t="shared" ca="1" si="282"/>
        <v>7.8079999999999892</v>
      </c>
      <c r="T641" s="304">
        <f t="shared" ca="1" si="262"/>
        <v>76.5964799999999</v>
      </c>
      <c r="U641" s="311">
        <f t="shared" ca="1" si="263"/>
        <v>0</v>
      </c>
      <c r="V641" s="306">
        <f t="shared" ca="1" si="264"/>
        <v>1.1302601998087893</v>
      </c>
      <c r="W641" s="304">
        <f t="shared" ca="1" si="265"/>
        <v>33.040584078842734</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5.4202211651599708</v>
      </c>
      <c r="AH641" s="304">
        <f t="shared" ca="1" si="289"/>
        <v>-4.1794511846740274</v>
      </c>
    </row>
    <row r="642" spans="1:34" x14ac:dyDescent="0.2">
      <c r="A642" s="347">
        <f t="shared" ca="1" si="267"/>
        <v>0.1</v>
      </c>
      <c r="B642" s="304">
        <f t="shared" ca="1" si="268"/>
        <v>27.800000000000082</v>
      </c>
      <c r="D642" s="306">
        <f t="shared" ca="1" si="269"/>
        <v>-0.86272300483262765</v>
      </c>
      <c r="E642" s="307">
        <f t="shared" ca="1" si="270"/>
        <v>-5.6672448850303292</v>
      </c>
      <c r="F642" s="304">
        <f t="shared" ca="1" si="271"/>
        <v>5.7325348293725931</v>
      </c>
      <c r="G642" s="306">
        <f t="shared" ca="1" si="272"/>
        <v>19.225287598261531</v>
      </c>
      <c r="H642" s="307">
        <f t="shared" ca="1" si="273"/>
        <v>-93.299922862051858</v>
      </c>
      <c r="I642" s="304">
        <f t="shared" ca="1" si="274"/>
        <v>95.26010334500323</v>
      </c>
      <c r="J642" s="306">
        <f t="shared" ca="1" si="275"/>
        <v>757.05810246280475</v>
      </c>
      <c r="K642" s="307">
        <f t="shared" ca="1" si="276"/>
        <v>795.19374702703306</v>
      </c>
      <c r="L642" s="304">
        <f t="shared" ca="1" si="261"/>
        <v>1097.9390082402008</v>
      </c>
      <c r="M642" s="306">
        <f t="shared" ca="1" si="277"/>
        <v>-1.3675816639624478</v>
      </c>
      <c r="N642" s="304">
        <f t="shared" ca="1" si="278"/>
        <v>-78.35665748452665</v>
      </c>
      <c r="P642" s="310">
        <f t="shared" ca="1" si="279"/>
        <v>23</v>
      </c>
      <c r="Q642" s="304">
        <f t="shared" ca="1" si="280"/>
        <v>0</v>
      </c>
      <c r="R642" s="306">
        <f t="shared" ca="1" si="281"/>
        <v>0</v>
      </c>
      <c r="S642" s="307">
        <f t="shared" ca="1" si="282"/>
        <v>7.8079999999999892</v>
      </c>
      <c r="T642" s="304">
        <f t="shared" ca="1" si="262"/>
        <v>76.5964799999999</v>
      </c>
      <c r="U642" s="311">
        <f t="shared" ca="1" si="263"/>
        <v>0</v>
      </c>
      <c r="V642" s="306">
        <f t="shared" ca="1" si="264"/>
        <v>1.1313137038338605</v>
      </c>
      <c r="W642" s="304">
        <f t="shared" ca="1" si="265"/>
        <v>33.447730055771721</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5.3723281639765812</v>
      </c>
      <c r="AH642" s="304">
        <f t="shared" ca="1" si="289"/>
        <v>-4.2316321822288394</v>
      </c>
    </row>
    <row r="643" spans="1:34" x14ac:dyDescent="0.2">
      <c r="A643" s="347">
        <f t="shared" ca="1" si="267"/>
        <v>0.1</v>
      </c>
      <c r="B643" s="304">
        <f t="shared" ca="1" si="268"/>
        <v>27.900000000000084</v>
      </c>
      <c r="D643" s="306">
        <f t="shared" ca="1" si="269"/>
        <v>-0.86454706711445173</v>
      </c>
      <c r="E643" s="307">
        <f t="shared" ca="1" si="270"/>
        <v>-5.6143709744198818</v>
      </c>
      <c r="F643" s="304">
        <f t="shared" ca="1" si="271"/>
        <v>5.6805460186204506</v>
      </c>
      <c r="G643" s="306">
        <f t="shared" ca="1" si="272"/>
        <v>19.138832891550084</v>
      </c>
      <c r="H643" s="307">
        <f t="shared" ca="1" si="273"/>
        <v>-93.861359959493839</v>
      </c>
      <c r="I643" s="304">
        <f t="shared" ca="1" si="274"/>
        <v>95.792744077494476</v>
      </c>
      <c r="J643" s="306">
        <f t="shared" ca="1" si="275"/>
        <v>758.97630848729534</v>
      </c>
      <c r="K643" s="307">
        <f t="shared" ca="1" si="276"/>
        <v>785.83568288595575</v>
      </c>
      <c r="L643" s="304">
        <f t="shared" ca="1" si="261"/>
        <v>1092.5121314392068</v>
      </c>
      <c r="M643" s="306">
        <f t="shared" ca="1" si="277"/>
        <v>-1.3696484641834314</v>
      </c>
      <c r="N643" s="304">
        <f t="shared" ca="1" si="278"/>
        <v>-78.475076414285724</v>
      </c>
      <c r="P643" s="310">
        <f t="shared" ca="1" si="279"/>
        <v>23</v>
      </c>
      <c r="Q643" s="304">
        <f t="shared" ca="1" si="280"/>
        <v>0</v>
      </c>
      <c r="R643" s="306">
        <f t="shared" ca="1" si="281"/>
        <v>0</v>
      </c>
      <c r="S643" s="307">
        <f t="shared" ca="1" si="282"/>
        <v>7.8079999999999892</v>
      </c>
      <c r="T643" s="304">
        <f t="shared" ca="1" si="262"/>
        <v>76.5964799999999</v>
      </c>
      <c r="U643" s="311">
        <f t="shared" ca="1" si="263"/>
        <v>0</v>
      </c>
      <c r="V643" s="306">
        <f t="shared" ca="1" si="264"/>
        <v>1.1323745481084611</v>
      </c>
      <c r="W643" s="304">
        <f t="shared" ca="1" si="265"/>
        <v>33.854533424565417</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5.3243613539646004</v>
      </c>
      <c r="AH643" s="304">
        <f t="shared" ca="1" si="289"/>
        <v>-4.2837769026347035</v>
      </c>
    </row>
    <row r="644" spans="1:34" x14ac:dyDescent="0.2">
      <c r="A644" s="347">
        <f t="shared" ca="1" si="267"/>
        <v>0.1</v>
      </c>
      <c r="B644" s="304">
        <f t="shared" ca="1" si="268"/>
        <v>28.000000000000085</v>
      </c>
      <c r="D644" s="306">
        <f t="shared" ca="1" si="269"/>
        <v>-0.86628314470287304</v>
      </c>
      <c r="E644" s="307">
        <f t="shared" ca="1" si="270"/>
        <v>-5.5615427125288406</v>
      </c>
      <c r="F644" s="304">
        <f t="shared" ca="1" si="271"/>
        <v>5.6286058513702084</v>
      </c>
      <c r="G644" s="306">
        <f t="shared" ca="1" si="272"/>
        <v>19.052204577079795</v>
      </c>
      <c r="H644" s="307">
        <f t="shared" ca="1" si="273"/>
        <v>-94.417514230746718</v>
      </c>
      <c r="I644" s="304">
        <f t="shared" ca="1" si="274"/>
        <v>96.320576684113348</v>
      </c>
      <c r="J644" s="306">
        <f t="shared" ca="1" si="275"/>
        <v>760.88586036072684</v>
      </c>
      <c r="K644" s="307">
        <f t="shared" ca="1" si="276"/>
        <v>776.42173917644368</v>
      </c>
      <c r="L644" s="304">
        <f t="shared" ref="L644:L707" ca="1" si="290">SQRT(pos_x^2+pos_z^2)</f>
        <v>1087.0961363019635</v>
      </c>
      <c r="M644" s="306">
        <f t="shared" ca="1" si="277"/>
        <v>-1.3716833173166492</v>
      </c>
      <c r="N644" s="304">
        <f t="shared" ca="1" si="278"/>
        <v>-78.591664910748065</v>
      </c>
      <c r="P644" s="310">
        <f t="shared" ca="1" si="279"/>
        <v>23</v>
      </c>
      <c r="Q644" s="304">
        <f t="shared" ca="1" si="280"/>
        <v>0</v>
      </c>
      <c r="R644" s="306">
        <f t="shared" ca="1" si="281"/>
        <v>0</v>
      </c>
      <c r="S644" s="307">
        <f t="shared" ca="1" si="282"/>
        <v>7.8079999999999892</v>
      </c>
      <c r="T644" s="304">
        <f t="shared" ref="T644:T707" ca="1" si="291">m*g</f>
        <v>76.5964799999999</v>
      </c>
      <c r="U644" s="311">
        <f t="shared" ref="U644:U707" ca="1" si="292">IF(pos_xz&lt;L_rampe,Poids*COS(Beta),0)</f>
        <v>0</v>
      </c>
      <c r="V644" s="306">
        <f t="shared" ref="V644:V707" ca="1" si="293">Rho_moyen*(20000-Alt_rampe-pos_z)/(20000+Alt_rampe+pos_z)</f>
        <v>1.1334426911976188</v>
      </c>
      <c r="W644" s="304">
        <f t="shared" ref="W644:W707" ca="1" si="294">1/2*Rho*Sref*Cx*vit_xz^2</f>
        <v>34.260935680741547</v>
      </c>
      <c r="Y644" s="314" t="str">
        <f t="shared" ca="1" si="283"/>
        <v/>
      </c>
      <c r="Z644" s="315" t="str">
        <f t="shared" ca="1" si="284"/>
        <v/>
      </c>
      <c r="AA644" s="316" t="str">
        <f t="shared" ca="1" si="285"/>
        <v/>
      </c>
      <c r="AC644" s="310">
        <f t="shared" ca="1" si="286"/>
        <v>28.000000000000085</v>
      </c>
      <c r="AD644" s="323">
        <f t="shared" ca="1" si="287"/>
        <v>760.88586036072684</v>
      </c>
      <c r="AE644" s="324" t="e">
        <f t="shared" ref="AE644:AE707" ca="1" si="295">IF(t&lt;T_para, pos_z, NA())</f>
        <v>#N/A</v>
      </c>
      <c r="AG644" s="306">
        <f t="shared" ca="1" si="288"/>
        <v>5.2763319288426276</v>
      </c>
      <c r="AH644" s="304">
        <f t="shared" ca="1" si="289"/>
        <v>-4.3358777439248799</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-0.86793175262618572</v>
      </c>
      <c r="E645" s="307">
        <f t="shared" ref="E645:E708" ca="1" si="299">IF(AND(L644&lt;L_rampe,Poussee&lt;Poids*SIN(M644)),0,(-W644+Poussee)/m*SIN(M644)+U644/m*COS(M644)-Poids/m)</f>
        <v>-5.5087676531940568</v>
      </c>
      <c r="F645" s="304">
        <f t="shared" ref="F645:F708" ca="1" si="300">SQRT(acc_x^2+acc_z^2)</f>
        <v>5.5767218492671766</v>
      </c>
      <c r="G645" s="306">
        <f t="shared" ref="G645:G708" ca="1" si="301">G644+acc_x*pas</f>
        <v>18.965411401817178</v>
      </c>
      <c r="H645" s="307">
        <f t="shared" ref="H645:H708" ca="1" si="302">H644+acc_z*pas</f>
        <v>-94.96839099606612</v>
      </c>
      <c r="I645" s="304">
        <f t="shared" ref="I645:I708" ca="1" si="303">SQRT(vit_x^2+vit_z^2)</f>
        <v>96.843596164237269</v>
      </c>
      <c r="J645" s="306">
        <f t="shared" ref="J645:J708" ca="1" si="304">J644+0.5*(vit_x+G644)*pas*(K644&gt;=0)</f>
        <v>762.78674115967169</v>
      </c>
      <c r="K645" s="307">
        <f t="shared" ref="K645:K708" ca="1" si="305">K644+0.5*(vit_z+H644)*pas</f>
        <v>766.952443915103</v>
      </c>
      <c r="L645" s="304">
        <f t="shared" ca="1" si="290"/>
        <v>1081.6929618502384</v>
      </c>
      <c r="M645" s="306">
        <f t="shared" ref="M645:M708" ca="1" si="306">IF(AND(L644&gt;L_rampe,G645&gt;0),ATAN2(G645,H645),$M$4)</f>
        <v>-1.3736869797331248</v>
      </c>
      <c r="N645" s="304">
        <f t="shared" ref="N645:N708" ca="1" si="307">DEGREES(Beta)</f>
        <v>-78.70646631078111</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7.8079999999999892</v>
      </c>
      <c r="T645" s="304">
        <f t="shared" ca="1" si="291"/>
        <v>76.5964799999999</v>
      </c>
      <c r="U645" s="311">
        <f t="shared" ca="1" si="292"/>
        <v>0</v>
      </c>
      <c r="V645" s="306">
        <f t="shared" ca="1" si="293"/>
        <v>1.1345180916570849</v>
      </c>
      <c r="W645" s="304">
        <f t="shared" ca="1" si="294"/>
        <v>34.666879179961491</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5.2282508298396531</v>
      </c>
      <c r="AH645" s="304">
        <f t="shared" ref="AH645:AH708" ca="1" si="318">IF(AND(L644&lt;L_rampe,Poussee&lt;Poids*SIN(M644)), g*SIN(M644), (-W644+Poussee)/m)</f>
        <v>-4.3879272132097329</v>
      </c>
    </row>
    <row r="646" spans="1:34" x14ac:dyDescent="0.2">
      <c r="A646" s="347">
        <f t="shared" ca="1" si="296"/>
        <v>0.1</v>
      </c>
      <c r="B646" s="304">
        <f t="shared" ca="1" si="297"/>
        <v>28.200000000000088</v>
      </c>
      <c r="D646" s="306">
        <f t="shared" ca="1" si="298"/>
        <v>-0.86949342471232305</v>
      </c>
      <c r="E646" s="307">
        <f t="shared" ca="1" si="299"/>
        <v>-5.4560532399167165</v>
      </c>
      <c r="F646" s="304">
        <f t="shared" ca="1" si="300"/>
        <v>5.5249014264893148</v>
      </c>
      <c r="G646" s="306">
        <f t="shared" ca="1" si="301"/>
        <v>18.878462059345946</v>
      </c>
      <c r="H646" s="307">
        <f t="shared" ca="1" si="302"/>
        <v>-95.513996320057785</v>
      </c>
      <c r="I646" s="304">
        <f t="shared" ca="1" si="303"/>
        <v>97.361798580111369</v>
      </c>
      <c r="J646" s="306">
        <f t="shared" ca="1" si="304"/>
        <v>764.67893483272985</v>
      </c>
      <c r="K646" s="307">
        <f t="shared" ca="1" si="305"/>
        <v>757.4283245492968</v>
      </c>
      <c r="L646" s="304">
        <f t="shared" ca="1" si="290"/>
        <v>1076.3045759479392</v>
      </c>
      <c r="M646" s="306">
        <f t="shared" ca="1" si="306"/>
        <v>-1.3756601840686469</v>
      </c>
      <c r="N646" s="304">
        <f t="shared" ca="1" si="307"/>
        <v>-78.819522591323434</v>
      </c>
      <c r="P646" s="310">
        <f t="shared" ca="1" si="308"/>
        <v>23</v>
      </c>
      <c r="Q646" s="304">
        <f t="shared" ca="1" si="309"/>
        <v>0</v>
      </c>
      <c r="R646" s="306">
        <f t="shared" ca="1" si="310"/>
        <v>0</v>
      </c>
      <c r="S646" s="307">
        <f t="shared" ca="1" si="311"/>
        <v>7.8079999999999892</v>
      </c>
      <c r="T646" s="304">
        <f t="shared" ca="1" si="291"/>
        <v>76.5964799999999</v>
      </c>
      <c r="U646" s="311">
        <f t="shared" ca="1" si="292"/>
        <v>0</v>
      </c>
      <c r="V646" s="306">
        <f t="shared" ca="1" si="293"/>
        <v>1.1356007080390069</v>
      </c>
      <c r="W646" s="304">
        <f t="shared" ca="1" si="294"/>
        <v>35.07230714593296</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5.1801287513337462</v>
      </c>
      <c r="AH646" s="304">
        <f t="shared" ca="1" si="318"/>
        <v>-4.439917927761468</v>
      </c>
    </row>
    <row r="647" spans="1:34" x14ac:dyDescent="0.2">
      <c r="A647" s="347">
        <f t="shared" ca="1" si="296"/>
        <v>0.1</v>
      </c>
      <c r="B647" s="304">
        <f t="shared" ca="1" si="297"/>
        <v>28.30000000000009</v>
      </c>
      <c r="D647" s="306">
        <f t="shared" ca="1" si="298"/>
        <v>-0.87096871298479939</v>
      </c>
      <c r="E647" s="307">
        <f t="shared" ca="1" si="299"/>
        <v>-5.403406804780909</v>
      </c>
      <c r="F647" s="304">
        <f t="shared" ca="1" si="300"/>
        <v>5.4731518887155897</v>
      </c>
      <c r="G647" s="306">
        <f t="shared" ca="1" si="301"/>
        <v>18.791365188047465</v>
      </c>
      <c r="H647" s="307">
        <f t="shared" ca="1" si="302"/>
        <v>-96.054337000535881</v>
      </c>
      <c r="I647" s="304">
        <f t="shared" ca="1" si="303"/>
        <v>97.875181033002846</v>
      </c>
      <c r="J647" s="306">
        <f t="shared" ca="1" si="304"/>
        <v>766.56242619509953</v>
      </c>
      <c r="K647" s="307">
        <f t="shared" ca="1" si="305"/>
        <v>747.84990788326706</v>
      </c>
      <c r="L647" s="304">
        <f t="shared" ca="1" si="290"/>
        <v>1070.9329754821861</v>
      </c>
      <c r="M647" s="306">
        <f t="shared" ca="1" si="306"/>
        <v>-1.3776036401275473</v>
      </c>
      <c r="N647" s="304">
        <f t="shared" ca="1" si="307"/>
        <v>-78.930874421167559</v>
      </c>
      <c r="P647" s="310">
        <f t="shared" ca="1" si="308"/>
        <v>23</v>
      </c>
      <c r="Q647" s="304">
        <f t="shared" ca="1" si="309"/>
        <v>0</v>
      </c>
      <c r="R647" s="306">
        <f t="shared" ca="1" si="310"/>
        <v>0</v>
      </c>
      <c r="S647" s="307">
        <f t="shared" ca="1" si="311"/>
        <v>7.8079999999999892</v>
      </c>
      <c r="T647" s="304">
        <f t="shared" ca="1" si="291"/>
        <v>76.5964799999999</v>
      </c>
      <c r="U647" s="311">
        <f t="shared" ca="1" si="292"/>
        <v>0</v>
      </c>
      <c r="V647" s="306">
        <f t="shared" ca="1" si="293"/>
        <v>1.1366904988975346</v>
      </c>
      <c r="W647" s="304">
        <f t="shared" ca="1" si="294"/>
        <v>35.477163677751399</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5.1319761462040834</v>
      </c>
      <c r="AH647" s="304">
        <f t="shared" ca="1" si="318"/>
        <v>-4.4918426160262559</v>
      </c>
    </row>
    <row r="648" spans="1:34" x14ac:dyDescent="0.2">
      <c r="A648" s="347">
        <f t="shared" ca="1" si="296"/>
        <v>0.1</v>
      </c>
      <c r="B648" s="304">
        <f t="shared" ca="1" si="297"/>
        <v>28.400000000000091</v>
      </c>
      <c r="D648" s="306">
        <f t="shared" ca="1" si="298"/>
        <v>-0.87235818706622081</v>
      </c>
      <c r="E648" s="307">
        <f t="shared" ca="1" si="299"/>
        <v>-5.350835567448093</v>
      </c>
      <c r="F648" s="304">
        <f t="shared" ca="1" si="300"/>
        <v>5.421480432170628</v>
      </c>
      <c r="G648" s="306">
        <f t="shared" ca="1" si="301"/>
        <v>18.704129369340844</v>
      </c>
      <c r="H648" s="307">
        <f t="shared" ca="1" si="302"/>
        <v>-96.58942055728069</v>
      </c>
      <c r="I648" s="304">
        <f t="shared" ca="1" si="303"/>
        <v>98.383741639847571</v>
      </c>
      <c r="J648" s="306">
        <f t="shared" ca="1" si="304"/>
        <v>768.43720092296894</v>
      </c>
      <c r="K648" s="307">
        <f t="shared" ca="1" si="305"/>
        <v>738.21772000537624</v>
      </c>
      <c r="L648" s="304">
        <f t="shared" ca="1" si="290"/>
        <v>1065.5801865144938</v>
      </c>
      <c r="M648" s="306">
        <f t="shared" ca="1" si="306"/>
        <v>-1.3795180357464025</v>
      </c>
      <c r="N648" s="304">
        <f t="shared" ca="1" si="307"/>
        <v>-79.040561210446299</v>
      </c>
      <c r="P648" s="310">
        <f t="shared" ca="1" si="308"/>
        <v>23</v>
      </c>
      <c r="Q648" s="304">
        <f t="shared" ca="1" si="309"/>
        <v>0</v>
      </c>
      <c r="R648" s="306">
        <f t="shared" ca="1" si="310"/>
        <v>0</v>
      </c>
      <c r="S648" s="307">
        <f t="shared" ca="1" si="311"/>
        <v>7.8079999999999892</v>
      </c>
      <c r="T648" s="304">
        <f t="shared" ca="1" si="291"/>
        <v>76.5964799999999</v>
      </c>
      <c r="U648" s="311">
        <f t="shared" ca="1" si="292"/>
        <v>0</v>
      </c>
      <c r="V648" s="306">
        <f t="shared" ca="1" si="293"/>
        <v>1.1377874227943681</v>
      </c>
      <c r="W648" s="304">
        <f t="shared" ca="1" si="294"/>
        <v>35.881393756685945</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5.0838032309170247</v>
      </c>
      <c r="AH648" s="304">
        <f t="shared" ca="1" si="318"/>
        <v>-4.5436941185644786</v>
      </c>
    </row>
    <row r="649" spans="1:34" x14ac:dyDescent="0.2">
      <c r="A649" s="347">
        <f t="shared" ca="1" si="296"/>
        <v>0.1</v>
      </c>
      <c r="B649" s="304">
        <f t="shared" ca="1" si="297"/>
        <v>28.500000000000092</v>
      </c>
      <c r="D649" s="306">
        <f t="shared" ca="1" si="298"/>
        <v>-0.87366243358924423</v>
      </c>
      <c r="E649" s="307">
        <f t="shared" ca="1" si="299"/>
        <v>-5.2983466342265437</v>
      </c>
      <c r="F649" s="304">
        <f t="shared" ca="1" si="300"/>
        <v>5.3698941427447915</v>
      </c>
      <c r="G649" s="306">
        <f t="shared" ca="1" si="301"/>
        <v>18.616763125981919</v>
      </c>
      <c r="H649" s="307">
        <f t="shared" ca="1" si="302"/>
        <v>-97.119255220703337</v>
      </c>
      <c r="I649" s="304">
        <f t="shared" ca="1" si="303"/>
        <v>98.887479510365878</v>
      </c>
      <c r="J649" s="306">
        <f t="shared" ca="1" si="304"/>
        <v>770.30324554773506</v>
      </c>
      <c r="K649" s="307">
        <f t="shared" ca="1" si="305"/>
        <v>728.53228621647702</v>
      </c>
      <c r="L649" s="304">
        <f t="shared" ca="1" si="290"/>
        <v>1060.248264399042</v>
      </c>
      <c r="M649" s="306">
        <f t="shared" ca="1" si="306"/>
        <v>-1.3814040376196646</v>
      </c>
      <c r="N649" s="304">
        <f t="shared" ca="1" si="307"/>
        <v>-79.148621157937981</v>
      </c>
      <c r="P649" s="310">
        <f t="shared" ca="1" si="308"/>
        <v>23</v>
      </c>
      <c r="Q649" s="304">
        <f t="shared" ca="1" si="309"/>
        <v>0</v>
      </c>
      <c r="R649" s="306">
        <f t="shared" ca="1" si="310"/>
        <v>0</v>
      </c>
      <c r="S649" s="307">
        <f t="shared" ca="1" si="311"/>
        <v>7.8079999999999892</v>
      </c>
      <c r="T649" s="304">
        <f t="shared" ca="1" si="291"/>
        <v>76.5964799999999</v>
      </c>
      <c r="U649" s="311">
        <f t="shared" ca="1" si="292"/>
        <v>0</v>
      </c>
      <c r="V649" s="306">
        <f t="shared" ca="1" si="293"/>
        <v>1.1388914383042332</v>
      </c>
      <c r="W649" s="304">
        <f t="shared" ca="1" si="294"/>
        <v>36.284943252416234</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5.0356199903655288</v>
      </c>
      <c r="AH649" s="304">
        <f t="shared" ca="1" si="318"/>
        <v>-4.5954653889198251</v>
      </c>
    </row>
    <row r="650" spans="1:34" x14ac:dyDescent="0.2">
      <c r="A650" s="347">
        <f t="shared" ca="1" si="296"/>
        <v>0.1</v>
      </c>
      <c r="B650" s="304">
        <f t="shared" ca="1" si="297"/>
        <v>28.600000000000094</v>
      </c>
      <c r="D650" s="306">
        <f t="shared" ca="1" si="298"/>
        <v>-0.87488205561492616</v>
      </c>
      <c r="E650" s="307">
        <f t="shared" ca="1" si="299"/>
        <v>-5.2459469972147437</v>
      </c>
      <c r="F650" s="304">
        <f t="shared" ca="1" si="300"/>
        <v>5.3183999951887211</v>
      </c>
      <c r="G650" s="306">
        <f t="shared" ca="1" si="301"/>
        <v>18.529274920420427</v>
      </c>
      <c r="H650" s="307">
        <f t="shared" ca="1" si="302"/>
        <v>-97.643849920424813</v>
      </c>
      <c r="I650" s="304">
        <f t="shared" ca="1" si="303"/>
        <v>99.386394724624992</v>
      </c>
      <c r="J650" s="306">
        <f t="shared" ca="1" si="304"/>
        <v>772.16054745005522</v>
      </c>
      <c r="K650" s="307">
        <f t="shared" ca="1" si="305"/>
        <v>718.79413095942061</v>
      </c>
      <c r="L650" s="304">
        <f t="shared" ca="1" si="290"/>
        <v>1054.9392938648543</v>
      </c>
      <c r="M650" s="306">
        <f t="shared" ca="1" si="306"/>
        <v>-1.3832622920891204</v>
      </c>
      <c r="N650" s="304">
        <f t="shared" ca="1" si="307"/>
        <v>-79.255091296299128</v>
      </c>
      <c r="P650" s="310">
        <f t="shared" ca="1" si="308"/>
        <v>23</v>
      </c>
      <c r="Q650" s="304">
        <f t="shared" ca="1" si="309"/>
        <v>0</v>
      </c>
      <c r="R650" s="306">
        <f t="shared" ca="1" si="310"/>
        <v>0</v>
      </c>
      <c r="S650" s="307">
        <f t="shared" ca="1" si="311"/>
        <v>7.8079999999999892</v>
      </c>
      <c r="T650" s="304">
        <f t="shared" ca="1" si="291"/>
        <v>76.5964799999999</v>
      </c>
      <c r="U650" s="311">
        <f t="shared" ca="1" si="292"/>
        <v>0</v>
      </c>
      <c r="V650" s="306">
        <f t="shared" ca="1" si="293"/>
        <v>1.1400025040202939</v>
      </c>
      <c r="W650" s="304">
        <f t="shared" ca="1" si="294"/>
        <v>36.687758928726666</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4.9874361824797715</v>
      </c>
      <c r="AH650" s="304">
        <f t="shared" ca="1" si="318"/>
        <v>-4.6471494944180689</v>
      </c>
    </row>
    <row r="651" spans="1:34" x14ac:dyDescent="0.2">
      <c r="A651" s="347">
        <f t="shared" ca="1" si="296"/>
        <v>0.1</v>
      </c>
      <c r="B651" s="304">
        <f t="shared" ca="1" si="297"/>
        <v>28.700000000000095</v>
      </c>
      <c r="D651" s="306">
        <f t="shared" ca="1" si="298"/>
        <v>-0.87601767205840197</v>
      </c>
      <c r="E651" s="307">
        <f t="shared" ca="1" si="299"/>
        <v>-5.193643533517732</v>
      </c>
      <c r="F651" s="304">
        <f t="shared" ca="1" si="300"/>
        <v>5.2670048523813966</v>
      </c>
      <c r="G651" s="306">
        <f t="shared" ca="1" si="301"/>
        <v>18.441673153214587</v>
      </c>
      <c r="H651" s="307">
        <f t="shared" ca="1" si="302"/>
        <v>-98.163214273776589</v>
      </c>
      <c r="I651" s="304">
        <f t="shared" ca="1" si="303"/>
        <v>99.880488311027847</v>
      </c>
      <c r="J651" s="306">
        <f t="shared" ca="1" si="304"/>
        <v>774.009094853737</v>
      </c>
      <c r="K651" s="307">
        <f t="shared" ca="1" si="305"/>
        <v>709.00377774971059</v>
      </c>
      <c r="L651" s="304">
        <f t="shared" ca="1" si="290"/>
        <v>1049.6553890585531</v>
      </c>
      <c r="M651" s="306">
        <f t="shared" ca="1" si="306"/>
        <v>-1.3850934258989789</v>
      </c>
      <c r="N651" s="304">
        <f t="shared" ca="1" si="307"/>
        <v>-79.360007535327725</v>
      </c>
      <c r="P651" s="310">
        <f t="shared" ca="1" si="308"/>
        <v>23</v>
      </c>
      <c r="Q651" s="304">
        <f t="shared" ca="1" si="309"/>
        <v>0</v>
      </c>
      <c r="R651" s="306">
        <f t="shared" ca="1" si="310"/>
        <v>0</v>
      </c>
      <c r="S651" s="307">
        <f t="shared" ca="1" si="311"/>
        <v>7.8079999999999892</v>
      </c>
      <c r="T651" s="304">
        <f t="shared" ca="1" si="291"/>
        <v>76.5964799999999</v>
      </c>
      <c r="U651" s="311">
        <f t="shared" ca="1" si="292"/>
        <v>0</v>
      </c>
      <c r="V651" s="306">
        <f t="shared" ca="1" si="293"/>
        <v>1.1411205785594996</v>
      </c>
      <c r="W651" s="304">
        <f t="shared" ca="1" si="294"/>
        <v>37.089788448665004</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4.9392613426256453</v>
      </c>
      <c r="AH651" s="304">
        <f t="shared" ca="1" si="318"/>
        <v>-4.6987396168963524</v>
      </c>
    </row>
    <row r="652" spans="1:34" x14ac:dyDescent="0.2">
      <c r="A652" s="347">
        <f t="shared" ca="1" si="296"/>
        <v>0.1</v>
      </c>
      <c r="B652" s="304">
        <f t="shared" ca="1" si="297"/>
        <v>28.800000000000097</v>
      </c>
      <c r="D652" s="306">
        <f t="shared" ca="1" si="298"/>
        <v>-0.87706991712182214</v>
      </c>
      <c r="E652" s="307">
        <f t="shared" ca="1" si="299"/>
        <v>-5.1414430045353336</v>
      </c>
      <c r="F652" s="304">
        <f t="shared" ca="1" si="300"/>
        <v>5.2157154646707289</v>
      </c>
      <c r="G652" s="306">
        <f t="shared" ca="1" si="301"/>
        <v>18.353966161502406</v>
      </c>
      <c r="H652" s="307">
        <f t="shared" ca="1" si="302"/>
        <v>-98.677358574230126</v>
      </c>
      <c r="I652" s="304">
        <f t="shared" ca="1" si="303"/>
        <v>100.3697622247097</v>
      </c>
      <c r="J652" s="306">
        <f t="shared" ca="1" si="304"/>
        <v>775.84887681947282</v>
      </c>
      <c r="K652" s="307">
        <f t="shared" ca="1" si="305"/>
        <v>699.16174910731024</v>
      </c>
      <c r="L652" s="304">
        <f t="shared" ca="1" si="290"/>
        <v>1044.3986935441997</v>
      </c>
      <c r="M652" s="306">
        <f t="shared" ca="1" si="306"/>
        <v>-1.3868980469182766</v>
      </c>
      <c r="N652" s="304">
        <f t="shared" ca="1" si="307"/>
        <v>-79.463404703354072</v>
      </c>
      <c r="P652" s="310">
        <f t="shared" ca="1" si="308"/>
        <v>23</v>
      </c>
      <c r="Q652" s="304">
        <f t="shared" ca="1" si="309"/>
        <v>0</v>
      </c>
      <c r="R652" s="306">
        <f t="shared" ca="1" si="310"/>
        <v>0</v>
      </c>
      <c r="S652" s="307">
        <f t="shared" ca="1" si="311"/>
        <v>7.8079999999999892</v>
      </c>
      <c r="T652" s="304">
        <f t="shared" ca="1" si="291"/>
        <v>76.5964799999999</v>
      </c>
      <c r="U652" s="311">
        <f t="shared" ca="1" si="292"/>
        <v>0</v>
      </c>
      <c r="V652" s="306">
        <f t="shared" ca="1" si="293"/>
        <v>1.1422456205678577</v>
      </c>
      <c r="W652" s="304">
        <f t="shared" ca="1" si="294"/>
        <v>37.490980379172456</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4.8911047878066478</v>
      </c>
      <c r="AH652" s="304">
        <f t="shared" ca="1" si="318"/>
        <v>-4.7502290533638645</v>
      </c>
    </row>
    <row r="653" spans="1:34" x14ac:dyDescent="0.2">
      <c r="A653" s="347">
        <f t="shared" ca="1" si="296"/>
        <v>0.1</v>
      </c>
      <c r="B653" s="304">
        <f t="shared" ca="1" si="297"/>
        <v>28.900000000000098</v>
      </c>
      <c r="D653" s="306">
        <f t="shared" ca="1" si="298"/>
        <v>-0.8780394397345298</v>
      </c>
      <c r="E653" s="307">
        <f t="shared" ca="1" si="299"/>
        <v>-5.0893520553212142</v>
      </c>
      <c r="F653" s="304">
        <f t="shared" ca="1" si="300"/>
        <v>5.164538469285672</v>
      </c>
      <c r="G653" s="306">
        <f t="shared" ca="1" si="301"/>
        <v>18.266162217528954</v>
      </c>
      <c r="H653" s="307">
        <f t="shared" ca="1" si="302"/>
        <v>-99.186293779762252</v>
      </c>
      <c r="I653" s="304">
        <f t="shared" ca="1" si="303"/>
        <v>100.8542193263246</v>
      </c>
      <c r="J653" s="306">
        <f t="shared" ca="1" si="304"/>
        <v>777.6798832384244</v>
      </c>
      <c r="K653" s="307">
        <f t="shared" ca="1" si="305"/>
        <v>689.26856648961063</v>
      </c>
      <c r="L653" s="304">
        <f t="shared" ca="1" si="290"/>
        <v>1039.1713802565832</v>
      </c>
      <c r="M653" s="306">
        <f t="shared" ca="1" si="306"/>
        <v>-1.3886767448322079</v>
      </c>
      <c r="N653" s="304">
        <f t="shared" ca="1" si="307"/>
        <v>-79.565316586851068</v>
      </c>
      <c r="P653" s="310">
        <f t="shared" ca="1" si="308"/>
        <v>23</v>
      </c>
      <c r="Q653" s="304">
        <f t="shared" ca="1" si="309"/>
        <v>0</v>
      </c>
      <c r="R653" s="306">
        <f t="shared" ca="1" si="310"/>
        <v>0</v>
      </c>
      <c r="S653" s="307">
        <f t="shared" ca="1" si="311"/>
        <v>7.8079999999999892</v>
      </c>
      <c r="T653" s="304">
        <f t="shared" ca="1" si="291"/>
        <v>76.5964799999999</v>
      </c>
      <c r="U653" s="311">
        <f t="shared" ca="1" si="292"/>
        <v>0</v>
      </c>
      <c r="V653" s="306">
        <f t="shared" ca="1" si="293"/>
        <v>1.1433775887256479</v>
      </c>
      <c r="W653" s="304">
        <f t="shared" ca="1" si="294"/>
        <v>37.891284195192775</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4.842975620683557</v>
      </c>
      <c r="AH653" s="304">
        <f t="shared" ca="1" si="318"/>
        <v>-4.8016112165948392</v>
      </c>
    </row>
    <row r="654" spans="1:34" x14ac:dyDescent="0.2">
      <c r="A654" s="347">
        <f t="shared" ca="1" si="296"/>
        <v>0.1</v>
      </c>
      <c r="B654" s="304">
        <f t="shared" ca="1" si="297"/>
        <v>29.000000000000099</v>
      </c>
      <c r="D654" s="306">
        <f t="shared" ca="1" si="298"/>
        <v>-0.87892690300044141</v>
      </c>
      <c r="E654" s="307">
        <f t="shared" ca="1" si="299"/>
        <v>-5.0373772140116397</v>
      </c>
      <c r="F654" s="304">
        <f t="shared" ca="1" si="300"/>
        <v>5.1134803898188181</v>
      </c>
      <c r="G654" s="306">
        <f t="shared" ca="1" si="301"/>
        <v>18.17826952722891</v>
      </c>
      <c r="H654" s="307">
        <f t="shared" ca="1" si="302"/>
        <v>-99.690031501163418</v>
      </c>
      <c r="I654" s="304">
        <f t="shared" ca="1" si="303"/>
        <v>101.33386336120583</v>
      </c>
      <c r="J654" s="306">
        <f t="shared" ca="1" si="304"/>
        <v>779.50210482566229</v>
      </c>
      <c r="K654" s="307">
        <f t="shared" ca="1" si="305"/>
        <v>679.32475022556434</v>
      </c>
      <c r="L654" s="304">
        <f t="shared" ca="1" si="290"/>
        <v>1033.975651404163</v>
      </c>
      <c r="M654" s="306">
        <f t="shared" ca="1" si="306"/>
        <v>-1.3904300918038972</v>
      </c>
      <c r="N654" s="304">
        <f t="shared" ca="1" si="307"/>
        <v>-79.6657759683509</v>
      </c>
      <c r="P654" s="310">
        <f t="shared" ca="1" si="308"/>
        <v>23</v>
      </c>
      <c r="Q654" s="304">
        <f t="shared" ca="1" si="309"/>
        <v>0</v>
      </c>
      <c r="R654" s="306">
        <f t="shared" ca="1" si="310"/>
        <v>0</v>
      </c>
      <c r="S654" s="307">
        <f t="shared" ca="1" si="311"/>
        <v>7.8079999999999892</v>
      </c>
      <c r="T654" s="304">
        <f t="shared" ca="1" si="291"/>
        <v>76.5964799999999</v>
      </c>
      <c r="U654" s="311">
        <f t="shared" ca="1" si="292"/>
        <v>0</v>
      </c>
      <c r="V654" s="306">
        <f t="shared" ca="1" si="293"/>
        <v>1.1445164417525537</v>
      </c>
      <c r="W654" s="304">
        <f t="shared" ca="1" si="294"/>
        <v>38.290650283267851</v>
      </c>
      <c r="Y654" s="314" t="str">
        <f t="shared" ca="1" si="312"/>
        <v/>
      </c>
      <c r="Z654" s="315" t="str">
        <f t="shared" ca="1" si="313"/>
        <v/>
      </c>
      <c r="AA654" s="316" t="str">
        <f t="shared" ca="1" si="314"/>
        <v/>
      </c>
      <c r="AC654" s="310">
        <f t="shared" ca="1" si="315"/>
        <v>29.000000000000099</v>
      </c>
      <c r="AD654" s="323">
        <f t="shared" ca="1" si="316"/>
        <v>779.50210482566229</v>
      </c>
      <c r="AE654" s="324" t="e">
        <f t="shared" ca="1" si="295"/>
        <v>#N/A</v>
      </c>
      <c r="AG654" s="306">
        <f t="shared" ca="1" si="317"/>
        <v>4.7948827334253039</v>
      </c>
      <c r="AH654" s="304">
        <f t="shared" ca="1" si="318"/>
        <v>-4.8528796356548192</v>
      </c>
    </row>
    <row r="655" spans="1:34" x14ac:dyDescent="0.2">
      <c r="A655" s="347">
        <f t="shared" ca="1" si="296"/>
        <v>0.1</v>
      </c>
      <c r="B655" s="304">
        <f t="shared" ca="1" si="297"/>
        <v>29.100000000000101</v>
      </c>
      <c r="D655" s="306">
        <f t="shared" ca="1" si="298"/>
        <v>-0.87973298365260133</v>
      </c>
      <c r="E655" s="307">
        <f t="shared" ca="1" si="299"/>
        <v>-4.9855248913228438</v>
      </c>
      <c r="F655" s="304">
        <f t="shared" ca="1" si="300"/>
        <v>5.0625476357784489</v>
      </c>
      <c r="G655" s="306">
        <f t="shared" ca="1" si="301"/>
        <v>18.09029622886365</v>
      </c>
      <c r="H655" s="307">
        <f t="shared" ca="1" si="302"/>
        <v>-100.1885839902957</v>
      </c>
      <c r="I655" s="304">
        <f t="shared" ca="1" si="303"/>
        <v>101.80869893888524</v>
      </c>
      <c r="J655" s="306">
        <f t="shared" ca="1" si="304"/>
        <v>781.31553311346693</v>
      </c>
      <c r="K655" s="307">
        <f t="shared" ca="1" si="305"/>
        <v>669.33081945099138</v>
      </c>
      <c r="L655" s="304">
        <f t="shared" ca="1" si="290"/>
        <v>1028.8137383177368</v>
      </c>
      <c r="M655" s="306">
        <f t="shared" ca="1" si="306"/>
        <v>-1.3921586431080442</v>
      </c>
      <c r="N655" s="304">
        <f t="shared" ca="1" si="307"/>
        <v>-79.764814662750368</v>
      </c>
      <c r="P655" s="310">
        <f t="shared" ca="1" si="308"/>
        <v>23</v>
      </c>
      <c r="Q655" s="304">
        <f t="shared" ca="1" si="309"/>
        <v>0</v>
      </c>
      <c r="R655" s="306">
        <f t="shared" ca="1" si="310"/>
        <v>0</v>
      </c>
      <c r="S655" s="307">
        <f t="shared" ca="1" si="311"/>
        <v>7.8079999999999892</v>
      </c>
      <c r="T655" s="304">
        <f t="shared" ca="1" si="291"/>
        <v>76.5964799999999</v>
      </c>
      <c r="U655" s="311">
        <f t="shared" ca="1" si="292"/>
        <v>0</v>
      </c>
      <c r="V655" s="306">
        <f t="shared" ca="1" si="293"/>
        <v>1.1456621384127381</v>
      </c>
      <c r="W655" s="304">
        <f t="shared" ca="1" si="294"/>
        <v>38.689029944628189</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4.7468348114035086</v>
      </c>
      <c r="AH655" s="304">
        <f t="shared" ca="1" si="318"/>
        <v>-4.9040279563611557</v>
      </c>
    </row>
    <row r="656" spans="1:34" x14ac:dyDescent="0.2">
      <c r="A656" s="347">
        <f t="shared" ca="1" si="296"/>
        <v>0.1</v>
      </c>
      <c r="B656" s="304">
        <f t="shared" ca="1" si="297"/>
        <v>29.200000000000102</v>
      </c>
      <c r="D656" s="306">
        <f t="shared" ca="1" si="298"/>
        <v>-0.88045837151491735</v>
      </c>
      <c r="E656" s="307">
        <f t="shared" ca="1" si="299"/>
        <v>-4.9338013801157983</v>
      </c>
      <c r="F656" s="304">
        <f t="shared" ca="1" si="300"/>
        <v>5.0117465022089114</v>
      </c>
      <c r="G656" s="306">
        <f t="shared" ca="1" si="301"/>
        <v>18.00225039171216</v>
      </c>
      <c r="H656" s="307">
        <f t="shared" ca="1" si="302"/>
        <v>-100.68196412830727</v>
      </c>
      <c r="I656" s="304">
        <f t="shared" ca="1" si="303"/>
        <v>102.27873151295753</v>
      </c>
      <c r="J656" s="306">
        <f t="shared" ca="1" si="304"/>
        <v>783.1201604444957</v>
      </c>
      <c r="K656" s="307">
        <f t="shared" ca="1" si="305"/>
        <v>659.28729204506124</v>
      </c>
      <c r="L656" s="304">
        <f t="shared" ca="1" si="290"/>
        <v>1023.6879012407652</v>
      </c>
      <c r="M656" s="306">
        <f t="shared" ca="1" si="306"/>
        <v>-1.3938629377378036</v>
      </c>
      <c r="N656" s="304">
        <f t="shared" ca="1" si="307"/>
        <v>-79.862463552082389</v>
      </c>
      <c r="P656" s="310">
        <f t="shared" ca="1" si="308"/>
        <v>23</v>
      </c>
      <c r="Q656" s="304">
        <f t="shared" ca="1" si="309"/>
        <v>0</v>
      </c>
      <c r="R656" s="306">
        <f t="shared" ca="1" si="310"/>
        <v>0</v>
      </c>
      <c r="S656" s="307">
        <f t="shared" ca="1" si="311"/>
        <v>7.8079999999999892</v>
      </c>
      <c r="T656" s="304">
        <f t="shared" ca="1" si="291"/>
        <v>76.5964799999999</v>
      </c>
      <c r="U656" s="311">
        <f t="shared" ca="1" si="292"/>
        <v>0</v>
      </c>
      <c r="V656" s="306">
        <f t="shared" ca="1" si="293"/>
        <v>1.1468146375198356</v>
      </c>
      <c r="W656" s="304">
        <f t="shared" ca="1" si="294"/>
        <v>39.086375397785901</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4.6988403367422409</v>
      </c>
      <c r="AH656" s="304">
        <f t="shared" ca="1" si="318"/>
        <v>-4.9550499416788218</v>
      </c>
    </row>
    <row r="657" spans="1:34" x14ac:dyDescent="0.2">
      <c r="A657" s="347">
        <f t="shared" ca="1" si="296"/>
        <v>0.1</v>
      </c>
      <c r="B657" s="304">
        <f t="shared" ca="1" si="297"/>
        <v>29.300000000000104</v>
      </c>
      <c r="D657" s="306">
        <f t="shared" ca="1" si="298"/>
        <v>-0.8811037689710457</v>
      </c>
      <c r="E657" s="307">
        <f t="shared" ca="1" si="299"/>
        <v>-4.8822128550272872</v>
      </c>
      <c r="F657" s="304">
        <f t="shared" ca="1" si="300"/>
        <v>4.9610831693783037</v>
      </c>
      <c r="G657" s="306">
        <f t="shared" ca="1" si="301"/>
        <v>17.914140014815054</v>
      </c>
      <c r="H657" s="307">
        <f t="shared" ca="1" si="302"/>
        <v>-101.17018541381</v>
      </c>
      <c r="I657" s="304">
        <f t="shared" ca="1" si="303"/>
        <v>102.7439673612767</v>
      </c>
      <c r="J657" s="306">
        <f t="shared" ca="1" si="304"/>
        <v>784.9159799648221</v>
      </c>
      <c r="K657" s="307">
        <f t="shared" ca="1" si="305"/>
        <v>649.19468456795539</v>
      </c>
      <c r="L657" s="304">
        <f t="shared" ca="1" si="290"/>
        <v>1018.6004290571569</v>
      </c>
      <c r="M657" s="306">
        <f t="shared" ca="1" si="306"/>
        <v>-1.395543498986181</v>
      </c>
      <c r="N657" s="304">
        <f t="shared" ca="1" si="307"/>
        <v>-79.958752618827646</v>
      </c>
      <c r="P657" s="310">
        <f t="shared" ca="1" si="308"/>
        <v>23</v>
      </c>
      <c r="Q657" s="304">
        <f t="shared" ca="1" si="309"/>
        <v>0</v>
      </c>
      <c r="R657" s="306">
        <f t="shared" ca="1" si="310"/>
        <v>0</v>
      </c>
      <c r="S657" s="307">
        <f t="shared" ca="1" si="311"/>
        <v>7.8079999999999892</v>
      </c>
      <c r="T657" s="304">
        <f t="shared" ca="1" si="291"/>
        <v>76.5964799999999</v>
      </c>
      <c r="U657" s="311">
        <f t="shared" ca="1" si="292"/>
        <v>0</v>
      </c>
      <c r="V657" s="306">
        <f t="shared" ca="1" si="293"/>
        <v>1.1479738979418814</v>
      </c>
      <c r="W657" s="304">
        <f t="shared" ca="1" si="294"/>
        <v>39.482639780639062</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4.6509075917338256</v>
      </c>
      <c r="AH657" s="304">
        <f t="shared" ca="1" si="318"/>
        <v>-5.0059394720525043</v>
      </c>
    </row>
    <row r="658" spans="1:34" x14ac:dyDescent="0.2">
      <c r="A658" s="347">
        <f t="shared" ca="1" si="296"/>
        <v>0.1</v>
      </c>
      <c r="B658" s="304">
        <f t="shared" ca="1" si="297"/>
        <v>29.400000000000105</v>
      </c>
      <c r="D658" s="306">
        <f t="shared" ca="1" si="298"/>
        <v>-0.88166989044044497</v>
      </c>
      <c r="E658" s="307">
        <f t="shared" ca="1" si="299"/>
        <v>-4.8307653721660246</v>
      </c>
      <c r="F658" s="304">
        <f t="shared" ca="1" si="300"/>
        <v>4.9105637025322881</v>
      </c>
      <c r="G658" s="306">
        <f t="shared" ca="1" si="301"/>
        <v>17.82597302577101</v>
      </c>
      <c r="H658" s="307">
        <f t="shared" ca="1" si="302"/>
        <v>-101.65326195102661</v>
      </c>
      <c r="I658" s="304">
        <f t="shared" ca="1" si="303"/>
        <v>103.20441356647277</v>
      </c>
      <c r="J658" s="306">
        <f t="shared" ca="1" si="304"/>
        <v>786.70298561685138</v>
      </c>
      <c r="K658" s="307">
        <f t="shared" ca="1" si="305"/>
        <v>639.05351219971351</v>
      </c>
      <c r="L658" s="304">
        <f t="shared" ca="1" si="290"/>
        <v>1013.5536389522053</v>
      </c>
      <c r="M658" s="306">
        <f t="shared" ca="1" si="306"/>
        <v>-1.3972008350031613</v>
      </c>
      <c r="N658" s="304">
        <f t="shared" ca="1" si="307"/>
        <v>-80.053710977835649</v>
      </c>
      <c r="P658" s="310">
        <f t="shared" ca="1" si="308"/>
        <v>23</v>
      </c>
      <c r="Q658" s="304">
        <f t="shared" ca="1" si="309"/>
        <v>0</v>
      </c>
      <c r="R658" s="306">
        <f t="shared" ca="1" si="310"/>
        <v>0</v>
      </c>
      <c r="S658" s="307">
        <f t="shared" ca="1" si="311"/>
        <v>7.8079999999999892</v>
      </c>
      <c r="T658" s="304">
        <f t="shared" ca="1" si="291"/>
        <v>76.5964799999999</v>
      </c>
      <c r="U658" s="311">
        <f t="shared" ca="1" si="292"/>
        <v>0</v>
      </c>
      <c r="V658" s="306">
        <f t="shared" ca="1" si="293"/>
        <v>1.1491398786061666</v>
      </c>
      <c r="W658" s="304">
        <f t="shared" ca="1" si="294"/>
        <v>39.877777152095874</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4.6030446621306735</v>
      </c>
      <c r="AH658" s="304">
        <f t="shared" ca="1" si="318"/>
        <v>-5.0566905456761164</v>
      </c>
    </row>
    <row r="659" spans="1:34" x14ac:dyDescent="0.2">
      <c r="A659" s="347">
        <f t="shared" ca="1" si="296"/>
        <v>0.1</v>
      </c>
      <c r="B659" s="304">
        <f t="shared" ca="1" si="297"/>
        <v>29.500000000000107</v>
      </c>
      <c r="D659" s="306">
        <f t="shared" ca="1" si="298"/>
        <v>-0.88215746186159827</v>
      </c>
      <c r="E659" s="307">
        <f t="shared" ca="1" si="299"/>
        <v>-4.779464868872636</v>
      </c>
      <c r="F659" s="304">
        <f t="shared" ca="1" si="300"/>
        <v>4.8601940517129378</v>
      </c>
      <c r="G659" s="306">
        <f t="shared" ca="1" si="301"/>
        <v>17.737757279584851</v>
      </c>
      <c r="H659" s="307">
        <f t="shared" ca="1" si="302"/>
        <v>-102.13120843791387</v>
      </c>
      <c r="I659" s="304">
        <f t="shared" ca="1" si="303"/>
        <v>103.66007799677789</v>
      </c>
      <c r="J659" s="306">
        <f t="shared" ca="1" si="304"/>
        <v>788.48117213211913</v>
      </c>
      <c r="K659" s="307">
        <f t="shared" ca="1" si="305"/>
        <v>628.86428868026644</v>
      </c>
      <c r="L659" s="304">
        <f t="shared" ca="1" si="290"/>
        <v>1008.549876002262</v>
      </c>
      <c r="M659" s="306">
        <f t="shared" ca="1" si="306"/>
        <v>-1.3988354393297224</v>
      </c>
      <c r="N659" s="304">
        <f t="shared" ca="1" si="307"/>
        <v>-80.14736690692142</v>
      </c>
      <c r="P659" s="310">
        <f t="shared" ca="1" si="308"/>
        <v>23</v>
      </c>
      <c r="Q659" s="304">
        <f t="shared" ca="1" si="309"/>
        <v>0</v>
      </c>
      <c r="R659" s="306">
        <f t="shared" ca="1" si="310"/>
        <v>0</v>
      </c>
      <c r="S659" s="307">
        <f t="shared" ca="1" si="311"/>
        <v>7.8079999999999892</v>
      </c>
      <c r="T659" s="304">
        <f t="shared" ca="1" si="291"/>
        <v>76.5964799999999</v>
      </c>
      <c r="U659" s="311">
        <f t="shared" ca="1" si="292"/>
        <v>0</v>
      </c>
      <c r="V659" s="306">
        <f t="shared" ca="1" si="293"/>
        <v>1.1503125385040176</v>
      </c>
      <c r="W659" s="304">
        <f t="shared" ca="1" si="294"/>
        <v>40.2717424932273</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4.5552594403223949</v>
      </c>
      <c r="AH659" s="304">
        <f t="shared" ca="1" si="318"/>
        <v>-5.1072972787008108</v>
      </c>
    </row>
    <row r="660" spans="1:34" x14ac:dyDescent="0.2">
      <c r="A660" s="347">
        <f t="shared" ca="1" si="296"/>
        <v>0.1</v>
      </c>
      <c r="B660" s="304">
        <f t="shared" ca="1" si="297"/>
        <v>29.600000000000108</v>
      </c>
      <c r="D660" s="306">
        <f t="shared" ca="1" si="298"/>
        <v>-0.88256722018240374</v>
      </c>
      <c r="E660" s="307">
        <f t="shared" ca="1" si="299"/>
        <v>-4.7283171635422798</v>
      </c>
      <c r="F660" s="304">
        <f t="shared" ca="1" si="300"/>
        <v>4.8099800516414835</v>
      </c>
      <c r="G660" s="306">
        <f t="shared" ca="1" si="301"/>
        <v>17.649500557566611</v>
      </c>
      <c r="H660" s="307">
        <f t="shared" ca="1" si="302"/>
        <v>-102.60404015426809</v>
      </c>
      <c r="I660" s="304">
        <f t="shared" ca="1" si="303"/>
        <v>104.11096928715151</v>
      </c>
      <c r="J660" s="306">
        <f t="shared" ca="1" si="304"/>
        <v>790.25053502397668</v>
      </c>
      <c r="K660" s="307">
        <f t="shared" ca="1" si="305"/>
        <v>618.6275262506573</v>
      </c>
      <c r="L660" s="304">
        <f t="shared" ca="1" si="290"/>
        <v>1003.5915126886482</v>
      </c>
      <c r="M660" s="306">
        <f t="shared" ca="1" si="306"/>
        <v>-1.4004477914098252</v>
      </c>
      <c r="N660" s="304">
        <f t="shared" ca="1" si="307"/>
        <v>-80.239747876200454</v>
      </c>
      <c r="P660" s="310">
        <f t="shared" ca="1" si="308"/>
        <v>23</v>
      </c>
      <c r="Q660" s="304">
        <f t="shared" ca="1" si="309"/>
        <v>0</v>
      </c>
      <c r="R660" s="306">
        <f t="shared" ca="1" si="310"/>
        <v>0</v>
      </c>
      <c r="S660" s="307">
        <f t="shared" ca="1" si="311"/>
        <v>7.8079999999999892</v>
      </c>
      <c r="T660" s="304">
        <f t="shared" ca="1" si="291"/>
        <v>76.5964799999999</v>
      </c>
      <c r="U660" s="311">
        <f t="shared" ca="1" si="292"/>
        <v>0</v>
      </c>
      <c r="V660" s="306">
        <f t="shared" ca="1" si="293"/>
        <v>1.1514918366955089</v>
      </c>
      <c r="W660" s="304">
        <f t="shared" ca="1" si="294"/>
        <v>40.664491707957453</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4.5075596284069235</v>
      </c>
      <c r="AH660" s="304">
        <f t="shared" ca="1" si="318"/>
        <v>-5.1577539053826023</v>
      </c>
    </row>
    <row r="661" spans="1:34" x14ac:dyDescent="0.2">
      <c r="A661" s="347">
        <f t="shared" ca="1" si="296"/>
        <v>0.1</v>
      </c>
      <c r="B661" s="304">
        <f t="shared" ca="1" si="297"/>
        <v>29.700000000000109</v>
      </c>
      <c r="D661" s="306">
        <f t="shared" ca="1" si="298"/>
        <v>-0.88289991285775804</v>
      </c>
      <c r="E661" s="307">
        <f t="shared" ca="1" si="299"/>
        <v>-4.6773279555086198</v>
      </c>
      <c r="F661" s="304">
        <f t="shared" ca="1" si="300"/>
        <v>4.7599274216637673</v>
      </c>
      <c r="G661" s="306">
        <f t="shared" ca="1" si="301"/>
        <v>17.561210566280835</v>
      </c>
      <c r="H661" s="307">
        <f t="shared" ca="1" si="302"/>
        <v>-103.07177294981895</v>
      </c>
      <c r="I661" s="304">
        <f t="shared" ca="1" si="303"/>
        <v>104.55709682069545</v>
      </c>
      <c r="J661" s="306">
        <f t="shared" ca="1" si="304"/>
        <v>792.01107058016908</v>
      </c>
      <c r="K661" s="307">
        <f t="shared" ca="1" si="305"/>
        <v>608.34373559545293</v>
      </c>
      <c r="L661" s="304">
        <f t="shared" ca="1" si="290"/>
        <v>998.68094833123553</v>
      </c>
      <c r="M661" s="306">
        <f t="shared" ca="1" si="306"/>
        <v>-1.4020383570814123</v>
      </c>
      <c r="N661" s="304">
        <f t="shared" ca="1" si="307"/>
        <v>-80.330880576220778</v>
      </c>
      <c r="P661" s="310">
        <f t="shared" ca="1" si="308"/>
        <v>23</v>
      </c>
      <c r="Q661" s="304">
        <f t="shared" ca="1" si="309"/>
        <v>0</v>
      </c>
      <c r="R661" s="306">
        <f t="shared" ca="1" si="310"/>
        <v>0</v>
      </c>
      <c r="S661" s="307">
        <f t="shared" ca="1" si="311"/>
        <v>7.8079999999999892</v>
      </c>
      <c r="T661" s="304">
        <f t="shared" ca="1" si="291"/>
        <v>76.5964799999999</v>
      </c>
      <c r="U661" s="311">
        <f t="shared" ca="1" si="292"/>
        <v>0</v>
      </c>
      <c r="V661" s="306">
        <f t="shared" ca="1" si="293"/>
        <v>1.1526777323140962</v>
      </c>
      <c r="W661" s="304">
        <f t="shared" ca="1" si="294"/>
        <v>41.055981623300511</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4.4599527411635815</v>
      </c>
      <c r="AH661" s="304">
        <f t="shared" ca="1" si="318"/>
        <v>-5.2080547781707871</v>
      </c>
    </row>
    <row r="662" spans="1:34" x14ac:dyDescent="0.2">
      <c r="A662" s="347">
        <f t="shared" ca="1" si="296"/>
        <v>0.1</v>
      </c>
      <c r="B662" s="304">
        <f t="shared" ca="1" si="297"/>
        <v>29.800000000000111</v>
      </c>
      <c r="D662" s="306">
        <f t="shared" ca="1" si="298"/>
        <v>-0.88315629735433421</v>
      </c>
      <c r="E662" s="307">
        <f t="shared" ca="1" si="299"/>
        <v>-4.6265028249879352</v>
      </c>
      <c r="F662" s="304">
        <f t="shared" ca="1" si="300"/>
        <v>4.7100417657572811</v>
      </c>
      <c r="G662" s="306">
        <f t="shared" ca="1" si="301"/>
        <v>17.472894936545401</v>
      </c>
      <c r="H662" s="307">
        <f t="shared" ca="1" si="302"/>
        <v>-103.53442323231775</v>
      </c>
      <c r="I662" s="304">
        <f t="shared" ca="1" si="303"/>
        <v>104.99847071035012</v>
      </c>
      <c r="J662" s="306">
        <f t="shared" ca="1" si="304"/>
        <v>793.76277585531034</v>
      </c>
      <c r="K662" s="307">
        <f t="shared" ca="1" si="305"/>
        <v>598.01342578634603</v>
      </c>
      <c r="L662" s="304">
        <f t="shared" ca="1" si="290"/>
        <v>993.82060843708064</v>
      </c>
      <c r="M662" s="306">
        <f t="shared" ca="1" si="306"/>
        <v>-1.4036075890473958</v>
      </c>
      <c r="N662" s="304">
        <f t="shared" ca="1" si="307"/>
        <v>-80.420790944948649</v>
      </c>
      <c r="P662" s="310">
        <f t="shared" ca="1" si="308"/>
        <v>23</v>
      </c>
      <c r="Q662" s="304">
        <f t="shared" ca="1" si="309"/>
        <v>0</v>
      </c>
      <c r="R662" s="306">
        <f t="shared" ca="1" si="310"/>
        <v>0</v>
      </c>
      <c r="S662" s="307">
        <f t="shared" ca="1" si="311"/>
        <v>7.8079999999999892</v>
      </c>
      <c r="T662" s="304">
        <f t="shared" ca="1" si="291"/>
        <v>76.5964799999999</v>
      </c>
      <c r="U662" s="311">
        <f t="shared" ca="1" si="292"/>
        <v>0</v>
      </c>
      <c r="V662" s="306">
        <f t="shared" ca="1" si="293"/>
        <v>1.1538701845711796</v>
      </c>
      <c r="W662" s="304">
        <f t="shared" ca="1" si="294"/>
        <v>41.446169989153759</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4.4124461089355593</v>
      </c>
      <c r="AH662" s="304">
        <f t="shared" ca="1" si="318"/>
        <v>-5.2581943677382901</v>
      </c>
    </row>
    <row r="663" spans="1:34" x14ac:dyDescent="0.2">
      <c r="A663" s="347">
        <f t="shared" ca="1" si="296"/>
        <v>0.1</v>
      </c>
      <c r="B663" s="304">
        <f t="shared" ca="1" si="297"/>
        <v>29.900000000000112</v>
      </c>
      <c r="D663" s="306">
        <f t="shared" ca="1" si="298"/>
        <v>-0.88333714066258706</v>
      </c>
      <c r="E663" s="307">
        <f t="shared" ca="1" si="299"/>
        <v>-4.575847233082051</v>
      </c>
      <c r="F663" s="304">
        <f t="shared" ca="1" si="300"/>
        <v>4.6603285725985693</v>
      </c>
      <c r="G663" s="306">
        <f t="shared" ca="1" si="301"/>
        <v>17.384561222479142</v>
      </c>
      <c r="H663" s="307">
        <f t="shared" ca="1" si="302"/>
        <v>-103.99200795562595</v>
      </c>
      <c r="I663" s="304">
        <f t="shared" ca="1" si="303"/>
        <v>105.43510178086375</v>
      </c>
      <c r="J663" s="306">
        <f t="shared" ca="1" si="304"/>
        <v>795.50564866326158</v>
      </c>
      <c r="K663" s="307">
        <f t="shared" ca="1" si="305"/>
        <v>587.63710422694885</v>
      </c>
      <c r="L663" s="304">
        <f t="shared" ca="1" si="290"/>
        <v>989.0129439594765</v>
      </c>
      <c r="M663" s="306">
        <f t="shared" ca="1" si="306"/>
        <v>-1.4051559273275631</v>
      </c>
      <c r="N663" s="304">
        <f t="shared" ca="1" si="307"/>
        <v>-80.509504193660788</v>
      </c>
      <c r="P663" s="310">
        <f t="shared" ca="1" si="308"/>
        <v>23</v>
      </c>
      <c r="Q663" s="304">
        <f t="shared" ca="1" si="309"/>
        <v>0</v>
      </c>
      <c r="R663" s="306">
        <f t="shared" ca="1" si="310"/>
        <v>0</v>
      </c>
      <c r="S663" s="307">
        <f t="shared" ca="1" si="311"/>
        <v>7.8079999999999892</v>
      </c>
      <c r="T663" s="304">
        <f t="shared" ca="1" si="291"/>
        <v>76.5964799999999</v>
      </c>
      <c r="U663" s="311">
        <f t="shared" ca="1" si="292"/>
        <v>0</v>
      </c>
      <c r="V663" s="306">
        <f t="shared" ca="1" si="293"/>
        <v>1.1550691527605939</v>
      </c>
      <c r="W663" s="304">
        <f t="shared" ca="1" si="294"/>
        <v>41.835015477655951</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4.365046880428733</v>
      </c>
      <c r="AH663" s="304">
        <f t="shared" ca="1" si="318"/>
        <v>-5.3081672629551511</v>
      </c>
    </row>
    <row r="664" spans="1:34" x14ac:dyDescent="0.2">
      <c r="A664" s="347">
        <f t="shared" ca="1" si="296"/>
        <v>0.1</v>
      </c>
      <c r="B664" s="304">
        <f t="shared" ca="1" si="297"/>
        <v>30.000000000000114</v>
      </c>
      <c r="D664" s="306">
        <f t="shared" ca="1" si="298"/>
        <v>-0.88344321881598831</v>
      </c>
      <c r="E664" s="307">
        <f t="shared" ca="1" si="299"/>
        <v>-4.5253665218388113</v>
      </c>
      <c r="F664" s="304">
        <f t="shared" ca="1" si="300"/>
        <v>4.6107932156898395</v>
      </c>
      <c r="G664" s="306">
        <f t="shared" ca="1" si="301"/>
        <v>17.296216900597543</v>
      </c>
      <c r="H664" s="307">
        <f t="shared" ca="1" si="302"/>
        <v>-104.44454460780983</v>
      </c>
      <c r="I664" s="304">
        <f t="shared" ca="1" si="303"/>
        <v>105.86700155102766</v>
      </c>
      <c r="J664" s="306">
        <f t="shared" ca="1" si="304"/>
        <v>797.23968756941542</v>
      </c>
      <c r="K664" s="307">
        <f t="shared" ca="1" si="305"/>
        <v>577.21527659877711</v>
      </c>
      <c r="L664" s="304">
        <f t="shared" ca="1" si="290"/>
        <v>984.26043046278244</v>
      </c>
      <c r="M664" s="306">
        <f t="shared" ca="1" si="306"/>
        <v>-1.4066837996922827</v>
      </c>
      <c r="N664" s="304">
        <f t="shared" ca="1" si="307"/>
        <v>-80.597044831793895</v>
      </c>
      <c r="P664" s="310">
        <f t="shared" ca="1" si="308"/>
        <v>23</v>
      </c>
      <c r="Q664" s="304">
        <f t="shared" ca="1" si="309"/>
        <v>0</v>
      </c>
      <c r="R664" s="306">
        <f t="shared" ca="1" si="310"/>
        <v>0</v>
      </c>
      <c r="S664" s="307">
        <f t="shared" ca="1" si="311"/>
        <v>7.8079999999999892</v>
      </c>
      <c r="T664" s="304">
        <f t="shared" ca="1" si="291"/>
        <v>76.5964799999999</v>
      </c>
      <c r="U664" s="311">
        <f t="shared" ca="1" si="292"/>
        <v>0</v>
      </c>
      <c r="V664" s="306">
        <f t="shared" ca="1" si="293"/>
        <v>1.1562745962630199</v>
      </c>
      <c r="W664" s="304">
        <f t="shared" ca="1" si="294"/>
        <v>42.222477682120662</v>
      </c>
      <c r="Y664" s="314" t="str">
        <f t="shared" ca="1" si="312"/>
        <v/>
      </c>
      <c r="Z664" s="315" t="str">
        <f t="shared" ca="1" si="313"/>
        <v/>
      </c>
      <c r="AA664" s="316" t="str">
        <f t="shared" ca="1" si="314"/>
        <v/>
      </c>
      <c r="AC664" s="310">
        <f t="shared" ca="1" si="315"/>
        <v>30.000000000000114</v>
      </c>
      <c r="AD664" s="323">
        <f t="shared" ca="1" si="316"/>
        <v>797.23968756941542</v>
      </c>
      <c r="AE664" s="324" t="e">
        <f t="shared" ca="1" si="295"/>
        <v>#N/A</v>
      </c>
      <c r="AG664" s="306">
        <f t="shared" ca="1" si="317"/>
        <v>4.3177620254331686</v>
      </c>
      <c r="AH664" s="304">
        <f t="shared" ca="1" si="318"/>
        <v>-5.3579681708063536</v>
      </c>
    </row>
    <row r="665" spans="1:34" x14ac:dyDescent="0.2">
      <c r="A665" s="347">
        <f t="shared" ca="1" si="296"/>
        <v>0.1</v>
      </c>
      <c r="B665" s="304">
        <f t="shared" ca="1" si="297"/>
        <v>30.100000000000115</v>
      </c>
      <c r="D665" s="306">
        <f t="shared" ca="1" si="298"/>
        <v>-0.88347531641751864</v>
      </c>
      <c r="E665" s="307">
        <f t="shared" ca="1" si="299"/>
        <v>-4.4750659143687903</v>
      </c>
      <c r="F665" s="304">
        <f t="shared" ca="1" si="300"/>
        <v>4.5614409535435634</v>
      </c>
      <c r="G665" s="306">
        <f t="shared" ca="1" si="301"/>
        <v>17.207869368955791</v>
      </c>
      <c r="H665" s="307">
        <f t="shared" ca="1" si="302"/>
        <v>-104.89205119924671</v>
      </c>
      <c r="I665" s="304">
        <f t="shared" ca="1" si="303"/>
        <v>106.29418221617043</v>
      </c>
      <c r="J665" s="306">
        <f t="shared" ca="1" si="304"/>
        <v>798.96489188289308</v>
      </c>
      <c r="K665" s="307">
        <f t="shared" ca="1" si="305"/>
        <v>566.74844680842432</v>
      </c>
      <c r="L665" s="304">
        <f t="shared" ca="1" si="290"/>
        <v>979.56556718843706</v>
      </c>
      <c r="M665" s="306">
        <f t="shared" ca="1" si="306"/>
        <v>-1.4081916220788426</v>
      </c>
      <c r="N665" s="304">
        <f t="shared" ca="1" si="307"/>
        <v>-80.683436690799113</v>
      </c>
      <c r="P665" s="310">
        <f t="shared" ca="1" si="308"/>
        <v>23</v>
      </c>
      <c r="Q665" s="304">
        <f t="shared" ca="1" si="309"/>
        <v>0</v>
      </c>
      <c r="R665" s="306">
        <f t="shared" ca="1" si="310"/>
        <v>0</v>
      </c>
      <c r="S665" s="307">
        <f t="shared" ca="1" si="311"/>
        <v>7.8079999999999892</v>
      </c>
      <c r="T665" s="304">
        <f t="shared" ca="1" si="291"/>
        <v>76.5964799999999</v>
      </c>
      <c r="U665" s="311">
        <f t="shared" ca="1" si="292"/>
        <v>0</v>
      </c>
      <c r="V665" s="306">
        <f t="shared" ca="1" si="293"/>
        <v>1.1574864745503262</v>
      </c>
      <c r="W665" s="304">
        <f t="shared" ca="1" si="294"/>
        <v>42.608517115554349</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4.270598337473273</v>
      </c>
      <c r="AH665" s="304">
        <f t="shared" ca="1" si="318"/>
        <v>-5.4075919162552148</v>
      </c>
    </row>
    <row r="666" spans="1:34" x14ac:dyDescent="0.2">
      <c r="A666" s="347">
        <f t="shared" ca="1" si="296"/>
        <v>0.1</v>
      </c>
      <c r="B666" s="304">
        <f t="shared" ca="1" si="297"/>
        <v>30.200000000000117</v>
      </c>
      <c r="D666" s="306">
        <f t="shared" ca="1" si="298"/>
        <v>-0.88343422617344147</v>
      </c>
      <c r="E666" s="307">
        <f t="shared" ca="1" si="299"/>
        <v>-4.4249505150169179</v>
      </c>
      <c r="F666" s="304">
        <f t="shared" ca="1" si="300"/>
        <v>4.5122769299238659</v>
      </c>
      <c r="G666" s="306">
        <f t="shared" ca="1" si="301"/>
        <v>17.119525946338445</v>
      </c>
      <c r="H666" s="307">
        <f t="shared" ca="1" si="302"/>
        <v>-105.3345462507484</v>
      </c>
      <c r="I666" s="304">
        <f t="shared" ca="1" si="303"/>
        <v>106.71665663090467</v>
      </c>
      <c r="J666" s="306">
        <f t="shared" ca="1" si="304"/>
        <v>800.68126164865782</v>
      </c>
      <c r="K666" s="307">
        <f t="shared" ca="1" si="305"/>
        <v>556.23711693592452</v>
      </c>
      <c r="L666" s="304">
        <f t="shared" ca="1" si="290"/>
        <v>974.9308760176159</v>
      </c>
      <c r="M666" s="306">
        <f t="shared" ca="1" si="306"/>
        <v>-1.4096797989912164</v>
      </c>
      <c r="N666" s="304">
        <f t="shared" ca="1" si="307"/>
        <v>-80.768702947046947</v>
      </c>
      <c r="P666" s="310">
        <f t="shared" ca="1" si="308"/>
        <v>23</v>
      </c>
      <c r="Q666" s="304">
        <f t="shared" ca="1" si="309"/>
        <v>0</v>
      </c>
      <c r="R666" s="306">
        <f t="shared" ca="1" si="310"/>
        <v>0</v>
      </c>
      <c r="S666" s="307">
        <f t="shared" ca="1" si="311"/>
        <v>7.8079999999999892</v>
      </c>
      <c r="T666" s="304">
        <f t="shared" ca="1" si="291"/>
        <v>76.5964799999999</v>
      </c>
      <c r="U666" s="311">
        <f t="shared" ca="1" si="292"/>
        <v>0</v>
      </c>
      <c r="V666" s="306">
        <f t="shared" ca="1" si="293"/>
        <v>1.1587047471898326</v>
      </c>
      <c r="W666" s="304">
        <f t="shared" ca="1" si="294"/>
        <v>42.993095208768452</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4.2235624363920632</v>
      </c>
      <c r="AH666" s="304">
        <f t="shared" ca="1" si="318"/>
        <v>-5.4570334420535875</v>
      </c>
    </row>
    <row r="667" spans="1:34" x14ac:dyDescent="0.2">
      <c r="A667" s="347">
        <f t="shared" ca="1" si="296"/>
        <v>0.1</v>
      </c>
      <c r="B667" s="304">
        <f t="shared" ca="1" si="297"/>
        <v>30.300000000000118</v>
      </c>
      <c r="D667" s="306">
        <f t="shared" ca="1" si="298"/>
        <v>-0.88332074843436559</v>
      </c>
      <c r="E667" s="307">
        <f t="shared" ca="1" si="299"/>
        <v>-4.3750253095877438</v>
      </c>
      <c r="F667" s="304">
        <f t="shared" ca="1" si="300"/>
        <v>4.4633061741435549</v>
      </c>
      <c r="G667" s="306">
        <f t="shared" ca="1" si="301"/>
        <v>17.03119387149501</v>
      </c>
      <c r="H667" s="307">
        <f t="shared" ca="1" si="302"/>
        <v>-105.77204878170718</v>
      </c>
      <c r="I667" s="304">
        <f t="shared" ca="1" si="303"/>
        <v>107.13443829212105</v>
      </c>
      <c r="J667" s="306">
        <f t="shared" ca="1" si="304"/>
        <v>802.38879763954947</v>
      </c>
      <c r="K667" s="307">
        <f t="shared" ca="1" si="305"/>
        <v>545.6817871843017</v>
      </c>
      <c r="L667" s="304">
        <f t="shared" ca="1" si="290"/>
        <v>970.35890032610894</v>
      </c>
      <c r="M667" s="306">
        <f t="shared" ca="1" si="306"/>
        <v>-1.4111487238840095</v>
      </c>
      <c r="N667" s="304">
        <f t="shared" ca="1" si="307"/>
        <v>-80.852866143825693</v>
      </c>
      <c r="P667" s="310">
        <f t="shared" ca="1" si="308"/>
        <v>23</v>
      </c>
      <c r="Q667" s="304">
        <f t="shared" ca="1" si="309"/>
        <v>0</v>
      </c>
      <c r="R667" s="306">
        <f t="shared" ca="1" si="310"/>
        <v>0</v>
      </c>
      <c r="S667" s="307">
        <f t="shared" ca="1" si="311"/>
        <v>7.8079999999999892</v>
      </c>
      <c r="T667" s="304">
        <f t="shared" ca="1" si="291"/>
        <v>76.5964799999999</v>
      </c>
      <c r="U667" s="311">
        <f t="shared" ca="1" si="292"/>
        <v>0</v>
      </c>
      <c r="V667" s="306">
        <f t="shared" ca="1" si="293"/>
        <v>1.1599293738485008</v>
      </c>
      <c r="W667" s="304">
        <f t="shared" ca="1" si="294"/>
        <v>43.376174308096218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4.1766607708746903</v>
      </c>
      <c r="AH667" s="304">
        <f t="shared" ca="1" si="318"/>
        <v>-5.5062878085000655</v>
      </c>
    </row>
    <row r="668" spans="1:34" x14ac:dyDescent="0.2">
      <c r="A668" s="347">
        <f t="shared" ca="1" si="296"/>
        <v>0.1</v>
      </c>
      <c r="B668" s="304">
        <f t="shared" ca="1" si="297"/>
        <v>30.400000000000119</v>
      </c>
      <c r="D668" s="306">
        <f t="shared" ca="1" si="298"/>
        <v>-0.88313569074363474</v>
      </c>
      <c r="E668" s="307">
        <f t="shared" ca="1" si="299"/>
        <v>-4.3252951656228955</v>
      </c>
      <c r="F668" s="304">
        <f t="shared" ca="1" si="300"/>
        <v>4.4145336014154459</v>
      </c>
      <c r="G668" s="306">
        <f t="shared" ca="1" si="301"/>
        <v>16.942880302420647</v>
      </c>
      <c r="H668" s="307">
        <f t="shared" ca="1" si="302"/>
        <v>-106.20457829826947</v>
      </c>
      <c r="I668" s="304">
        <f t="shared" ca="1" si="303"/>
        <v>107.54754132222365</v>
      </c>
      <c r="J668" s="306">
        <f t="shared" ca="1" si="304"/>
        <v>804.08750134824527</v>
      </c>
      <c r="K668" s="307">
        <f t="shared" ca="1" si="305"/>
        <v>535.08295583030281</v>
      </c>
      <c r="L668" s="304">
        <f t="shared" ca="1" si="290"/>
        <v>965.85220372713241</v>
      </c>
      <c r="M668" s="306">
        <f t="shared" ca="1" si="306"/>
        <v>-1.4125987795312982</v>
      </c>
      <c r="N668" s="304">
        <f t="shared" ca="1" si="307"/>
        <v>-80.935948212474443</v>
      </c>
      <c r="P668" s="310">
        <f t="shared" ca="1" si="308"/>
        <v>23</v>
      </c>
      <c r="Q668" s="304">
        <f t="shared" ca="1" si="309"/>
        <v>0</v>
      </c>
      <c r="R668" s="306">
        <f t="shared" ca="1" si="310"/>
        <v>0</v>
      </c>
      <c r="S668" s="307">
        <f t="shared" ca="1" si="311"/>
        <v>7.8079999999999892</v>
      </c>
      <c r="T668" s="304">
        <f t="shared" ca="1" si="291"/>
        <v>76.5964799999999</v>
      </c>
      <c r="U668" s="311">
        <f t="shared" ca="1" si="292"/>
        <v>0</v>
      </c>
      <c r="V668" s="306">
        <f t="shared" ca="1" si="293"/>
        <v>1.1611603142970488</v>
      </c>
      <c r="W668" s="304">
        <f t="shared" ca="1" si="294"/>
        <v>43.757717672723146</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4.1298996209157792</v>
      </c>
      <c r="AH668" s="304">
        <f t="shared" ca="1" si="318"/>
        <v>-5.5553501931475768</v>
      </c>
    </row>
    <row r="669" spans="1:34" x14ac:dyDescent="0.2">
      <c r="A669" s="347">
        <f t="shared" ca="1" si="296"/>
        <v>0.1</v>
      </c>
      <c r="B669" s="304">
        <f t="shared" ca="1" si="297"/>
        <v>30.500000000000121</v>
      </c>
      <c r="D669" s="306">
        <f t="shared" ca="1" si="298"/>
        <v>-0.88287986739304247</v>
      </c>
      <c r="E669" s="307">
        <f t="shared" ca="1" si="299"/>
        <v>-4.2757648327295525</v>
      </c>
      <c r="F669" s="304">
        <f t="shared" ca="1" si="300"/>
        <v>4.3659640132569502</v>
      </c>
      <c r="G669" s="306">
        <f t="shared" ca="1" si="301"/>
        <v>16.854592315681344</v>
      </c>
      <c r="H669" s="307">
        <f t="shared" ca="1" si="302"/>
        <v>-106.63215478154243</v>
      </c>
      <c r="I669" s="304">
        <f t="shared" ca="1" si="303"/>
        <v>107.95598045260228</v>
      </c>
      <c r="J669" s="306">
        <f t="shared" ca="1" si="304"/>
        <v>805.77737497915041</v>
      </c>
      <c r="K669" s="307">
        <f t="shared" ca="1" si="305"/>
        <v>524.44111917631221</v>
      </c>
      <c r="L669" s="304">
        <f t="shared" ca="1" si="290"/>
        <v>961.41336869797749</v>
      </c>
      <c r="M669" s="306">
        <f t="shared" ca="1" si="306"/>
        <v>-1.414030338381042</v>
      </c>
      <c r="N669" s="304">
        <f t="shared" ca="1" si="307"/>
        <v>-81.017970492689372</v>
      </c>
      <c r="P669" s="310">
        <f t="shared" ca="1" si="308"/>
        <v>23</v>
      </c>
      <c r="Q669" s="304">
        <f t="shared" ca="1" si="309"/>
        <v>0</v>
      </c>
      <c r="R669" s="306">
        <f t="shared" ca="1" si="310"/>
        <v>0</v>
      </c>
      <c r="S669" s="307">
        <f t="shared" ca="1" si="311"/>
        <v>7.8079999999999892</v>
      </c>
      <c r="T669" s="304">
        <f t="shared" ca="1" si="291"/>
        <v>76.5964799999999</v>
      </c>
      <c r="U669" s="311">
        <f t="shared" ca="1" si="292"/>
        <v>0</v>
      </c>
      <c r="V669" s="306">
        <f t="shared" ca="1" si="293"/>
        <v>1.1623975284139902</v>
      </c>
      <c r="W669" s="304">
        <f t="shared" ca="1" si="294"/>
        <v>44.137689471641892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4.08328510023511</v>
      </c>
      <c r="AH669" s="304">
        <f t="shared" ca="1" si="318"/>
        <v>-5.6042158904614761</v>
      </c>
    </row>
    <row r="670" spans="1:34" x14ac:dyDescent="0.2">
      <c r="A670" s="347">
        <f t="shared" ca="1" si="296"/>
        <v>0.1</v>
      </c>
      <c r="B670" s="304">
        <f t="shared" ca="1" si="297"/>
        <v>30.600000000000122</v>
      </c>
      <c r="D670" s="306">
        <f t="shared" ca="1" si="298"/>
        <v>-0.88255409898591008</v>
      </c>
      <c r="E670" s="307">
        <f t="shared" ca="1" si="299"/>
        <v>-4.226438942958441</v>
      </c>
      <c r="F670" s="304">
        <f t="shared" ca="1" si="300"/>
        <v>4.3176020979465557</v>
      </c>
      <c r="G670" s="306">
        <f t="shared" ca="1" si="301"/>
        <v>16.766336905782754</v>
      </c>
      <c r="H670" s="307">
        <f t="shared" ca="1" si="302"/>
        <v>-107.05479867583827</v>
      </c>
      <c r="I670" s="304">
        <f t="shared" ca="1" si="303"/>
        <v>108.35977100733683</v>
      </c>
      <c r="J670" s="306">
        <f t="shared" ca="1" si="304"/>
        <v>807.45842144022356</v>
      </c>
      <c r="K670" s="307">
        <f t="shared" ca="1" si="305"/>
        <v>513.75677150344313</v>
      </c>
      <c r="L670" s="304">
        <f t="shared" ca="1" si="290"/>
        <v>957.04499508663582</v>
      </c>
      <c r="M670" s="306">
        <f t="shared" ca="1" si="306"/>
        <v>-1.4154437628957108</v>
      </c>
      <c r="N670" s="304">
        <f t="shared" ca="1" si="307"/>
        <v>-81.098953752040217</v>
      </c>
      <c r="P670" s="310">
        <f t="shared" ca="1" si="308"/>
        <v>23</v>
      </c>
      <c r="Q670" s="304">
        <f t="shared" ca="1" si="309"/>
        <v>0</v>
      </c>
      <c r="R670" s="306">
        <f t="shared" ca="1" si="310"/>
        <v>0</v>
      </c>
      <c r="S670" s="307">
        <f t="shared" ca="1" si="311"/>
        <v>7.8079999999999892</v>
      </c>
      <c r="T670" s="304">
        <f t="shared" ca="1" si="291"/>
        <v>76.5964799999999</v>
      </c>
      <c r="U670" s="311">
        <f t="shared" ca="1" si="292"/>
        <v>0</v>
      </c>
      <c r="V670" s="306">
        <f t="shared" ca="1" si="293"/>
        <v>1.1636409761896003</v>
      </c>
      <c r="W670" s="304">
        <f t="shared" ca="1" si="294"/>
        <v>44.516054780241198</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4.0368231586454648</v>
      </c>
      <c r="AH670" s="304">
        <f t="shared" ca="1" si="318"/>
        <v>-5.6528803114295538</v>
      </c>
    </row>
    <row r="671" spans="1:34" x14ac:dyDescent="0.2">
      <c r="A671" s="347">
        <f t="shared" ca="1" si="296"/>
        <v>0.1</v>
      </c>
      <c r="B671" s="304">
        <f t="shared" ca="1" si="297"/>
        <v>30.700000000000124</v>
      </c>
      <c r="D671" s="306">
        <f t="shared" ca="1" si="298"/>
        <v>-0.88215921200753566</v>
      </c>
      <c r="E671" s="307">
        <f t="shared" ca="1" si="299"/>
        <v>-4.1773220112301033</v>
      </c>
      <c r="F671" s="304">
        <f t="shared" ca="1" si="300"/>
        <v>4.2694524310310884</v>
      </c>
      <c r="G671" s="306">
        <f t="shared" ca="1" si="301"/>
        <v>16.678120984582002</v>
      </c>
      <c r="H671" s="307">
        <f t="shared" ca="1" si="302"/>
        <v>-107.47253087696129</v>
      </c>
      <c r="I671" s="304">
        <f t="shared" ca="1" si="303"/>
        <v>108.75892888712977</v>
      </c>
      <c r="J671" s="306">
        <f t="shared" ca="1" si="304"/>
        <v>809.13064433474176</v>
      </c>
      <c r="K671" s="307">
        <f t="shared" ca="1" si="305"/>
        <v>503.03040502580313</v>
      </c>
      <c r="L671" s="304">
        <f t="shared" ca="1" si="290"/>
        <v>952.74969849482386</v>
      </c>
      <c r="M671" s="306">
        <f t="shared" ca="1" si="306"/>
        <v>-1.4168394058797424</v>
      </c>
      <c r="N671" s="304">
        <f t="shared" ca="1" si="307"/>
        <v>-81.178918204732284</v>
      </c>
      <c r="P671" s="310">
        <f t="shared" ca="1" si="308"/>
        <v>23</v>
      </c>
      <c r="Q671" s="304">
        <f t="shared" ca="1" si="309"/>
        <v>0</v>
      </c>
      <c r="R671" s="306">
        <f t="shared" ca="1" si="310"/>
        <v>0</v>
      </c>
      <c r="S671" s="307">
        <f t="shared" ca="1" si="311"/>
        <v>7.8079999999999892</v>
      </c>
      <c r="T671" s="304">
        <f t="shared" ca="1" si="291"/>
        <v>76.5964799999999</v>
      </c>
      <c r="U671" s="311">
        <f t="shared" ca="1" si="292"/>
        <v>0</v>
      </c>
      <c r="V671" s="306">
        <f t="shared" ca="1" si="293"/>
        <v>1.1648906177298008</v>
      </c>
      <c r="W671" s="304">
        <f t="shared" ca="1" si="294"/>
        <v>44.892779576538913</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3.9905195843764805</v>
      </c>
      <c r="AH671" s="304">
        <f t="shared" ca="1" si="318"/>
        <v>-5.7013389831251615</v>
      </c>
    </row>
    <row r="672" spans="1:34" x14ac:dyDescent="0.2">
      <c r="A672" s="347">
        <f t="shared" ca="1" si="296"/>
        <v>0.1</v>
      </c>
      <c r="B672" s="304">
        <f t="shared" ca="1" si="297"/>
        <v>30.800000000000125</v>
      </c>
      <c r="D672" s="306">
        <f t="shared" ca="1" si="298"/>
        <v>-0.88169603840302668</v>
      </c>
      <c r="E672" s="307">
        <f t="shared" ca="1" si="299"/>
        <v>-4.1284184358080651</v>
      </c>
      <c r="F672" s="304">
        <f t="shared" ca="1" si="300"/>
        <v>4.2215194758825287</v>
      </c>
      <c r="G672" s="306">
        <f t="shared" ca="1" si="301"/>
        <v>16.589951380741699</v>
      </c>
      <c r="H672" s="307">
        <f t="shared" ca="1" si="302"/>
        <v>-107.88537272054209</v>
      </c>
      <c r="I672" s="304">
        <f t="shared" ca="1" si="303"/>
        <v>109.15347055346275</v>
      </c>
      <c r="J672" s="306">
        <f t="shared" ca="1" si="304"/>
        <v>810.79404795300798</v>
      </c>
      <c r="K672" s="307">
        <f t="shared" ca="1" si="305"/>
        <v>492.26250984592798</v>
      </c>
      <c r="L672" s="304">
        <f t="shared" ca="1" si="290"/>
        <v>948.53010853416606</v>
      </c>
      <c r="M672" s="306">
        <f t="shared" ca="1" si="306"/>
        <v>-1.4182176107944096</v>
      </c>
      <c r="N672" s="304">
        <f t="shared" ca="1" si="307"/>
        <v>-81.25788352964689</v>
      </c>
      <c r="P672" s="310">
        <f t="shared" ca="1" si="308"/>
        <v>23</v>
      </c>
      <c r="Q672" s="304">
        <f t="shared" ca="1" si="309"/>
        <v>0</v>
      </c>
      <c r="R672" s="306">
        <f t="shared" ca="1" si="310"/>
        <v>0</v>
      </c>
      <c r="S672" s="307">
        <f t="shared" ca="1" si="311"/>
        <v>7.8079999999999892</v>
      </c>
      <c r="T672" s="304">
        <f t="shared" ca="1" si="291"/>
        <v>76.5964799999999</v>
      </c>
      <c r="U672" s="311">
        <f t="shared" ca="1" si="292"/>
        <v>0</v>
      </c>
      <c r="V672" s="306">
        <f t="shared" ca="1" si="293"/>
        <v>1.1661464132599777</v>
      </c>
      <c r="W672" s="304">
        <f t="shared" ca="1" si="294"/>
        <v>45.267830737069595</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3.9443800063578154</v>
      </c>
      <c r="AH672" s="304">
        <f t="shared" ca="1" si="318"/>
        <v>-5.749587548224766</v>
      </c>
    </row>
    <row r="673" spans="1:34" x14ac:dyDescent="0.2">
      <c r="A673" s="347">
        <f t="shared" ca="1" si="296"/>
        <v>0.1</v>
      </c>
      <c r="B673" s="304">
        <f t="shared" ca="1" si="297"/>
        <v>30.900000000000126</v>
      </c>
      <c r="D673" s="306">
        <f t="shared" ca="1" si="298"/>
        <v>-0.88116541516253832</v>
      </c>
      <c r="E673" s="307">
        <f t="shared" ca="1" si="299"/>
        <v>-4.0797324988175125</v>
      </c>
      <c r="F673" s="304">
        <f t="shared" ca="1" si="300"/>
        <v>4.173807584303133</v>
      </c>
      <c r="G673" s="306">
        <f t="shared" ca="1" si="301"/>
        <v>16.501834839225445</v>
      </c>
      <c r="H673" s="307">
        <f t="shared" ca="1" si="302"/>
        <v>-108.29334597042384</v>
      </c>
      <c r="I673" s="304">
        <f t="shared" ca="1" si="303"/>
        <v>109.54341301297394</v>
      </c>
      <c r="J673" s="306">
        <f t="shared" ca="1" si="304"/>
        <v>812.44863726400638</v>
      </c>
      <c r="K673" s="307">
        <f t="shared" ca="1" si="305"/>
        <v>481.45357391137969</v>
      </c>
      <c r="L673" s="304">
        <f t="shared" ca="1" si="290"/>
        <v>944.38886695268775</v>
      </c>
      <c r="M673" s="306">
        <f t="shared" ca="1" si="306"/>
        <v>-1.41957871206065</v>
      </c>
      <c r="N673" s="304">
        <f t="shared" ca="1" si="307"/>
        <v>-81.335868887692385</v>
      </c>
      <c r="P673" s="310">
        <f t="shared" ca="1" si="308"/>
        <v>23</v>
      </c>
      <c r="Q673" s="304">
        <f t="shared" ca="1" si="309"/>
        <v>0</v>
      </c>
      <c r="R673" s="306">
        <f t="shared" ca="1" si="310"/>
        <v>0</v>
      </c>
      <c r="S673" s="307">
        <f t="shared" ca="1" si="311"/>
        <v>7.8079999999999892</v>
      </c>
      <c r="T673" s="304">
        <f t="shared" ca="1" si="291"/>
        <v>76.5964799999999</v>
      </c>
      <c r="U673" s="311">
        <f t="shared" ca="1" si="292"/>
        <v>0</v>
      </c>
      <c r="V673" s="306">
        <f t="shared" ca="1" si="293"/>
        <v>1.1674083231287176</v>
      </c>
      <c r="W673" s="304">
        <f t="shared" ca="1" si="294"/>
        <v>45.641176032436405</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3.8984098964647993</v>
      </c>
      <c r="AH673" s="304">
        <f t="shared" ca="1" si="318"/>
        <v>-5.7976217644812573</v>
      </c>
    </row>
    <row r="674" spans="1:34" x14ac:dyDescent="0.2">
      <c r="A674" s="347">
        <f t="shared" ca="1" si="296"/>
        <v>0.1</v>
      </c>
      <c r="B674" s="304">
        <f t="shared" ca="1" si="297"/>
        <v>31.000000000000128</v>
      </c>
      <c r="D674" s="306">
        <f t="shared" ca="1" si="298"/>
        <v>-0.88056818391392799</v>
      </c>
      <c r="E674" s="307">
        <f t="shared" ca="1" si="299"/>
        <v>-4.0312683668081872</v>
      </c>
      <c r="F674" s="304">
        <f t="shared" ca="1" si="300"/>
        <v>4.1263209971777304</v>
      </c>
      <c r="G674" s="306">
        <f t="shared" ca="1" si="301"/>
        <v>16.413778020834052</v>
      </c>
      <c r="H674" s="307">
        <f t="shared" ca="1" si="302"/>
        <v>-108.69647280710466</v>
      </c>
      <c r="I674" s="304">
        <f t="shared" ca="1" si="303"/>
        <v>109.92877380205265</v>
      </c>
      <c r="J674" s="306">
        <f t="shared" ca="1" si="304"/>
        <v>814.0944179070093</v>
      </c>
      <c r="K674" s="307">
        <f t="shared" ca="1" si="305"/>
        <v>470.60408297250325</v>
      </c>
      <c r="L674" s="304">
        <f t="shared" ca="1" si="290"/>
        <v>940.32862562922276</v>
      </c>
      <c r="M674" s="306">
        <f t="shared" ca="1" si="306"/>
        <v>-1.4209230353503877</v>
      </c>
      <c r="N674" s="304">
        <f t="shared" ca="1" si="307"/>
        <v>-81.412892938495489</v>
      </c>
      <c r="P674" s="310">
        <f t="shared" ca="1" si="308"/>
        <v>23</v>
      </c>
      <c r="Q674" s="304">
        <f t="shared" ca="1" si="309"/>
        <v>0</v>
      </c>
      <c r="R674" s="306">
        <f t="shared" ca="1" si="310"/>
        <v>0</v>
      </c>
      <c r="S674" s="307">
        <f t="shared" ca="1" si="311"/>
        <v>7.8079999999999892</v>
      </c>
      <c r="T674" s="304">
        <f t="shared" ca="1" si="291"/>
        <v>76.5964799999999</v>
      </c>
      <c r="U674" s="311">
        <f t="shared" ca="1" si="292"/>
        <v>0</v>
      </c>
      <c r="V674" s="306">
        <f t="shared" ca="1" si="293"/>
        <v>1.168676307811469</v>
      </c>
      <c r="W674" s="304">
        <f t="shared" ca="1" si="294"/>
        <v>46.01278412253756</v>
      </c>
      <c r="Y674" s="314" t="str">
        <f t="shared" ca="1" si="312"/>
        <v/>
      </c>
      <c r="Z674" s="315" t="str">
        <f t="shared" ca="1" si="313"/>
        <v/>
      </c>
      <c r="AA674" s="316" t="str">
        <f t="shared" ca="1" si="314"/>
        <v/>
      </c>
      <c r="AC674" s="310">
        <f t="shared" ca="1" si="315"/>
        <v>31.000000000000128</v>
      </c>
      <c r="AD674" s="323">
        <f t="shared" ca="1" si="316"/>
        <v>814.0944179070093</v>
      </c>
      <c r="AE674" s="324" t="e">
        <f t="shared" ca="1" si="295"/>
        <v>#N/A</v>
      </c>
      <c r="AG674" s="306">
        <f t="shared" ca="1" si="317"/>
        <v>3.8526145717294442</v>
      </c>
      <c r="AH674" s="304">
        <f t="shared" ca="1" si="318"/>
        <v>-5.845437504154261</v>
      </c>
    </row>
    <row r="675" spans="1:34" x14ac:dyDescent="0.2">
      <c r="A675" s="347">
        <f t="shared" ca="1" si="296"/>
        <v>0.1</v>
      </c>
      <c r="B675" s="304">
        <f t="shared" ca="1" si="297"/>
        <v>31.100000000000129</v>
      </c>
      <c r="D675" s="306">
        <f t="shared" ca="1" si="298"/>
        <v>-0.87990519052282679</v>
      </c>
      <c r="E675" s="307">
        <f t="shared" ca="1" si="299"/>
        <v>-3.9830300913601153</v>
      </c>
      <c r="F675" s="304">
        <f t="shared" ca="1" si="300"/>
        <v>4.0790638451719756</v>
      </c>
      <c r="G675" s="306">
        <f t="shared" ca="1" si="301"/>
        <v>16.325787501781768</v>
      </c>
      <c r="H675" s="307">
        <f t="shared" ca="1" si="302"/>
        <v>-109.09477581624067</v>
      </c>
      <c r="I675" s="304">
        <f t="shared" ca="1" si="303"/>
        <v>110.30957097164843</v>
      </c>
      <c r="J675" s="306">
        <f t="shared" ca="1" si="304"/>
        <v>815.73139618314008</v>
      </c>
      <c r="K675" s="307">
        <f t="shared" ca="1" si="305"/>
        <v>459.71452054133596</v>
      </c>
      <c r="L675" s="304">
        <f t="shared" ca="1" si="290"/>
        <v>936.35204443384725</v>
      </c>
      <c r="M675" s="306">
        <f t="shared" ca="1" si="306"/>
        <v>-1.4222508978668409</v>
      </c>
      <c r="N675" s="304">
        <f t="shared" ca="1" si="307"/>
        <v>-81.488973856461882</v>
      </c>
      <c r="P675" s="310">
        <f t="shared" ca="1" si="308"/>
        <v>23</v>
      </c>
      <c r="Q675" s="304">
        <f t="shared" ca="1" si="309"/>
        <v>0</v>
      </c>
      <c r="R675" s="306">
        <f t="shared" ca="1" si="310"/>
        <v>0</v>
      </c>
      <c r="S675" s="307">
        <f t="shared" ca="1" si="311"/>
        <v>7.8079999999999892</v>
      </c>
      <c r="T675" s="304">
        <f t="shared" ca="1" si="291"/>
        <v>76.5964799999999</v>
      </c>
      <c r="U675" s="311">
        <f t="shared" ca="1" si="292"/>
        <v>0</v>
      </c>
      <c r="V675" s="306">
        <f t="shared" ca="1" si="293"/>
        <v>1.1699503279141321</v>
      </c>
      <c r="W675" s="304">
        <f t="shared" ca="1" si="294"/>
        <v>46.382624551477626</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3.8069991965194525</v>
      </c>
      <c r="AH675" s="304">
        <f t="shared" ca="1" si="318"/>
        <v>-5.893030753398774</v>
      </c>
    </row>
    <row r="676" spans="1:34" x14ac:dyDescent="0.2">
      <c r="A676" s="347">
        <f t="shared" ca="1" si="296"/>
        <v>0.1</v>
      </c>
      <c r="B676" s="304">
        <f t="shared" ca="1" si="297"/>
        <v>31.200000000000131</v>
      </c>
      <c r="D676" s="306">
        <f t="shared" ca="1" si="298"/>
        <v>-0.87917728470015488</v>
      </c>
      <c r="E676" s="307">
        <f t="shared" ca="1" si="299"/>
        <v>-3.9350216097308204</v>
      </c>
      <c r="F676" s="304">
        <f t="shared" ca="1" si="300"/>
        <v>4.0320401494753586</v>
      </c>
      <c r="G676" s="306">
        <f t="shared" ca="1" si="301"/>
        <v>16.237869773311754</v>
      </c>
      <c r="H676" s="307">
        <f t="shared" ca="1" si="302"/>
        <v>-109.48827797721376</v>
      </c>
      <c r="I676" s="304">
        <f t="shared" ca="1" si="303"/>
        <v>110.6858230722917</v>
      </c>
      <c r="J676" s="306">
        <f t="shared" ca="1" si="304"/>
        <v>817.35957904689474</v>
      </c>
      <c r="K676" s="307">
        <f t="shared" ca="1" si="305"/>
        <v>448.78536785166324</v>
      </c>
      <c r="L676" s="304">
        <f t="shared" ca="1" si="290"/>
        <v>932.46178895302182</v>
      </c>
      <c r="M676" s="306">
        <f t="shared" ca="1" si="306"/>
        <v>-1.4235626086142994</v>
      </c>
      <c r="N676" s="304">
        <f t="shared" ca="1" si="307"/>
        <v>-81.564129346233202</v>
      </c>
      <c r="P676" s="310">
        <f t="shared" ca="1" si="308"/>
        <v>23</v>
      </c>
      <c r="Q676" s="304">
        <f t="shared" ca="1" si="309"/>
        <v>0</v>
      </c>
      <c r="R676" s="306">
        <f t="shared" ca="1" si="310"/>
        <v>0</v>
      </c>
      <c r="S676" s="307">
        <f t="shared" ca="1" si="311"/>
        <v>7.8079999999999892</v>
      </c>
      <c r="T676" s="304">
        <f t="shared" ca="1" si="291"/>
        <v>76.5964799999999</v>
      </c>
      <c r="U676" s="311">
        <f t="shared" ca="1" si="292"/>
        <v>0</v>
      </c>
      <c r="V676" s="306">
        <f t="shared" ca="1" si="293"/>
        <v>1.1712303441765703</v>
      </c>
      <c r="W676" s="304">
        <f t="shared" ca="1" si="294"/>
        <v>46.750667742173611</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3.7615687846876353</v>
      </c>
      <c r="AH676" s="304">
        <f t="shared" ca="1" si="318"/>
        <v>-5.9403976116134336</v>
      </c>
    </row>
    <row r="677" spans="1:34" x14ac:dyDescent="0.2">
      <c r="A677" s="347">
        <f t="shared" ca="1" si="296"/>
        <v>0.1</v>
      </c>
      <c r="B677" s="304">
        <f t="shared" ca="1" si="297"/>
        <v>31.300000000000132</v>
      </c>
      <c r="D677" s="306">
        <f t="shared" ca="1" si="298"/>
        <v>-0.87838531961705901</v>
      </c>
      <c r="E677" s="307">
        <f t="shared" ca="1" si="299"/>
        <v>-3.8872467455426793</v>
      </c>
      <c r="F677" s="304">
        <f t="shared" ca="1" si="300"/>
        <v>3.9852538225878305</v>
      </c>
      <c r="G677" s="306">
        <f t="shared" ca="1" si="301"/>
        <v>16.15003124135005</v>
      </c>
      <c r="H677" s="307">
        <f t="shared" ca="1" si="302"/>
        <v>-109.87700265176802</v>
      </c>
      <c r="I677" s="304">
        <f t="shared" ca="1" si="303"/>
        <v>111.05754913932334</v>
      </c>
      <c r="J677" s="306">
        <f t="shared" ca="1" si="304"/>
        <v>818.97897409762788</v>
      </c>
      <c r="K677" s="307">
        <f t="shared" ca="1" si="305"/>
        <v>437.81710382021413</v>
      </c>
      <c r="L677" s="304">
        <f t="shared" ca="1" si="290"/>
        <v>928.66052807876099</v>
      </c>
      <c r="M677" s="306">
        <f t="shared" ca="1" si="306"/>
        <v>-1.4248584686578158</v>
      </c>
      <c r="N677" s="304">
        <f t="shared" ca="1" si="307"/>
        <v>-81.63837665756634</v>
      </c>
      <c r="P677" s="310">
        <f t="shared" ca="1" si="308"/>
        <v>23</v>
      </c>
      <c r="Q677" s="304">
        <f t="shared" ca="1" si="309"/>
        <v>0</v>
      </c>
      <c r="R677" s="306">
        <f t="shared" ca="1" si="310"/>
        <v>0</v>
      </c>
      <c r="S677" s="307">
        <f t="shared" ca="1" si="311"/>
        <v>7.8079999999999892</v>
      </c>
      <c r="T677" s="304">
        <f t="shared" ca="1" si="291"/>
        <v>76.5964799999999</v>
      </c>
      <c r="U677" s="311">
        <f t="shared" ca="1" si="292"/>
        <v>0</v>
      </c>
      <c r="V677" s="306">
        <f t="shared" ca="1" si="293"/>
        <v>1.1725163174760469</v>
      </c>
      <c r="W677" s="304">
        <f t="shared" ca="1" si="294"/>
        <v>47.116884990665916</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3.7163282016939627</v>
      </c>
      <c r="AH677" s="304">
        <f t="shared" ca="1" si="318"/>
        <v>-5.9875342907497027</v>
      </c>
    </row>
    <row r="678" spans="1:34" x14ac:dyDescent="0.2">
      <c r="A678" s="347">
        <f t="shared" ca="1" si="296"/>
        <v>0.1</v>
      </c>
      <c r="B678" s="304">
        <f t="shared" ca="1" si="297"/>
        <v>31.400000000000134</v>
      </c>
      <c r="D678" s="306">
        <f t="shared" ca="1" si="298"/>
        <v>-0.87753015152730629</v>
      </c>
      <c r="E678" s="307">
        <f t="shared" ca="1" si="299"/>
        <v>-3.8397092095091194</v>
      </c>
      <c r="F678" s="304">
        <f t="shared" ca="1" si="300"/>
        <v>3.9387086691488982</v>
      </c>
      <c r="G678" s="306">
        <f t="shared" ca="1" si="301"/>
        <v>16.062278226197318</v>
      </c>
      <c r="H678" s="307">
        <f t="shared" ca="1" si="302"/>
        <v>-110.26097357271894</v>
      </c>
      <c r="I678" s="304">
        <f t="shared" ca="1" si="303"/>
        <v>111.42476867833111</v>
      </c>
      <c r="J678" s="306">
        <f t="shared" ca="1" si="304"/>
        <v>820.58958957100526</v>
      </c>
      <c r="K678" s="307">
        <f t="shared" ca="1" si="305"/>
        <v>426.81020500898978</v>
      </c>
      <c r="L678" s="304">
        <f t="shared" ca="1" si="290"/>
        <v>924.9509314618407</v>
      </c>
      <c r="M678" s="306">
        <f t="shared" ca="1" si="306"/>
        <v>-1.4261387713732507</v>
      </c>
      <c r="N678" s="304">
        <f t="shared" ca="1" si="307"/>
        <v>-81.711732599659896</v>
      </c>
      <c r="P678" s="310">
        <f t="shared" ca="1" si="308"/>
        <v>23</v>
      </c>
      <c r="Q678" s="304">
        <f t="shared" ca="1" si="309"/>
        <v>0</v>
      </c>
      <c r="R678" s="306">
        <f t="shared" ca="1" si="310"/>
        <v>0</v>
      </c>
      <c r="S678" s="307">
        <f t="shared" ca="1" si="311"/>
        <v>7.8079999999999892</v>
      </c>
      <c r="T678" s="304">
        <f t="shared" ca="1" si="291"/>
        <v>76.5964799999999</v>
      </c>
      <c r="U678" s="311">
        <f t="shared" ca="1" si="292"/>
        <v>0</v>
      </c>
      <c r="V678" s="306">
        <f t="shared" ca="1" si="293"/>
        <v>1.1738082088305883</v>
      </c>
      <c r="W678" s="304">
        <f t="shared" ca="1" si="294"/>
        <v>47.481248460144521</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3.6712821667022721</v>
      </c>
      <c r="AH678" s="304">
        <f t="shared" ca="1" si="318"/>
        <v>-6.0344371145832456</v>
      </c>
    </row>
    <row r="679" spans="1:34" x14ac:dyDescent="0.2">
      <c r="A679" s="347">
        <f t="shared" ca="1" si="296"/>
        <v>0.1</v>
      </c>
      <c r="B679" s="304">
        <f t="shared" ca="1" si="297"/>
        <v>31.500000000000135</v>
      </c>
      <c r="D679" s="306">
        <f t="shared" ca="1" si="298"/>
        <v>-0.8766126393971021</v>
      </c>
      <c r="E679" s="307">
        <f t="shared" ca="1" si="299"/>
        <v>-3.7924126001982295</v>
      </c>
      <c r="F679" s="304">
        <f t="shared" ca="1" si="300"/>
        <v>3.8924083868079733</v>
      </c>
      <c r="G679" s="306">
        <f t="shared" ca="1" si="301"/>
        <v>15.974616962257608</v>
      </c>
      <c r="H679" s="307">
        <f t="shared" ca="1" si="302"/>
        <v>-110.64021483273876</v>
      </c>
      <c r="I679" s="304">
        <f t="shared" ca="1" si="303"/>
        <v>111.78750165079026</v>
      </c>
      <c r="J679" s="306">
        <f t="shared" ca="1" si="304"/>
        <v>822.19143433042802</v>
      </c>
      <c r="K679" s="307">
        <f t="shared" ca="1" si="305"/>
        <v>415.7651455887169</v>
      </c>
      <c r="L679" s="304">
        <f t="shared" ca="1" si="290"/>
        <v>921.33566682981154</v>
      </c>
      <c r="M679" s="306">
        <f t="shared" ca="1" si="306"/>
        <v>-1.4274038026880735</v>
      </c>
      <c r="N679" s="304">
        <f t="shared" ca="1" si="307"/>
        <v>-81.784213554951123</v>
      </c>
      <c r="P679" s="310">
        <f t="shared" ca="1" si="308"/>
        <v>23</v>
      </c>
      <c r="Q679" s="304">
        <f t="shared" ca="1" si="309"/>
        <v>0</v>
      </c>
      <c r="R679" s="306">
        <f t="shared" ca="1" si="310"/>
        <v>0</v>
      </c>
      <c r="S679" s="307">
        <f t="shared" ca="1" si="311"/>
        <v>7.8079999999999892</v>
      </c>
      <c r="T679" s="304">
        <f t="shared" ca="1" si="291"/>
        <v>76.5964799999999</v>
      </c>
      <c r="U679" s="311">
        <f t="shared" ca="1" si="292"/>
        <v>0</v>
      </c>
      <c r="V679" s="306">
        <f t="shared" ca="1" si="293"/>
        <v>1.1751059794022731</v>
      </c>
      <c r="W679" s="304">
        <f t="shared" ca="1" si="294"/>
        <v>47.84373117470011</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3.6264352546534546</v>
      </c>
      <c r="AH679" s="304">
        <f t="shared" ca="1" si="318"/>
        <v>-6.081102517948846</v>
      </c>
    </row>
    <row r="680" spans="1:34" x14ac:dyDescent="0.2">
      <c r="A680" s="347">
        <f t="shared" ca="1" si="296"/>
        <v>0.1</v>
      </c>
      <c r="B680" s="304">
        <f t="shared" ca="1" si="297"/>
        <v>31.600000000000136</v>
      </c>
      <c r="D680" s="306">
        <f t="shared" ca="1" si="298"/>
        <v>-0.87563364454236126</v>
      </c>
      <c r="E680" s="307">
        <f t="shared" ca="1" si="299"/>
        <v>-3.7453604048325611</v>
      </c>
      <c r="F680" s="304">
        <f t="shared" ca="1" si="300"/>
        <v>3.8463565671349382</v>
      </c>
      <c r="G680" s="306">
        <f t="shared" ca="1" si="301"/>
        <v>15.887053597803371</v>
      </c>
      <c r="H680" s="307">
        <f t="shared" ca="1" si="302"/>
        <v>-111.01475087322201</v>
      </c>
      <c r="I680" s="304">
        <f t="shared" ca="1" si="303"/>
        <v>112.14576845990679</v>
      </c>
      <c r="J680" s="306">
        <f t="shared" ca="1" si="304"/>
        <v>823.78451785843106</v>
      </c>
      <c r="K680" s="307">
        <f t="shared" ca="1" si="305"/>
        <v>404.68239730341884</v>
      </c>
      <c r="L680" s="304">
        <f t="shared" ca="1" si="290"/>
        <v>917.81739717140351</v>
      </c>
      <c r="M680" s="306">
        <f t="shared" ca="1" si="306"/>
        <v>-1.4286538413133176</v>
      </c>
      <c r="N680" s="304">
        <f t="shared" ca="1" si="307"/>
        <v>-81.855835492405944</v>
      </c>
      <c r="P680" s="310">
        <f t="shared" ca="1" si="308"/>
        <v>23</v>
      </c>
      <c r="Q680" s="304">
        <f t="shared" ca="1" si="309"/>
        <v>0</v>
      </c>
      <c r="R680" s="306">
        <f t="shared" ca="1" si="310"/>
        <v>0</v>
      </c>
      <c r="S680" s="307">
        <f t="shared" ca="1" si="311"/>
        <v>7.8079999999999892</v>
      </c>
      <c r="T680" s="304">
        <f t="shared" ca="1" si="291"/>
        <v>76.5964799999999</v>
      </c>
      <c r="U680" s="311">
        <f t="shared" ca="1" si="292"/>
        <v>0</v>
      </c>
      <c r="V680" s="306">
        <f t="shared" ca="1" si="293"/>
        <v>1.176409590500443</v>
      </c>
      <c r="W680" s="304">
        <f t="shared" ca="1" si="294"/>
        <v>48.204307012810297</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3.5817918983168155</v>
      </c>
      <c r="AH680" s="304">
        <f t="shared" ca="1" si="318"/>
        <v>-6.1275270459400843</v>
      </c>
    </row>
    <row r="681" spans="1:34" x14ac:dyDescent="0.2">
      <c r="A681" s="347">
        <f t="shared" ca="1" si="296"/>
        <v>0.1</v>
      </c>
      <c r="B681" s="304">
        <f t="shared" ca="1" si="297"/>
        <v>31.700000000000138</v>
      </c>
      <c r="D681" s="306">
        <f t="shared" ca="1" si="298"/>
        <v>-0.87459403027339566</v>
      </c>
      <c r="E681" s="307">
        <f t="shared" ca="1" si="299"/>
        <v>-3.6985560001237303</v>
      </c>
      <c r="F681" s="304">
        <f t="shared" ca="1" si="300"/>
        <v>3.8005566965697417</v>
      </c>
      <c r="G681" s="306">
        <f t="shared" ca="1" si="301"/>
        <v>15.799594194776031</v>
      </c>
      <c r="H681" s="307">
        <f t="shared" ca="1" si="302"/>
        <v>-111.38460647323438</v>
      </c>
      <c r="I681" s="304">
        <f t="shared" ca="1" si="303"/>
        <v>112.49958993666105</v>
      </c>
      <c r="J681" s="306">
        <f t="shared" ca="1" si="304"/>
        <v>825.36885024806008</v>
      </c>
      <c r="K681" s="307">
        <f t="shared" ca="1" si="305"/>
        <v>393.56242943609601</v>
      </c>
      <c r="L681" s="304">
        <f t="shared" ca="1" si="290"/>
        <v>914.39877778978178</v>
      </c>
      <c r="M681" s="306">
        <f t="shared" ca="1" si="306"/>
        <v>-1.4298891589670566</v>
      </c>
      <c r="N681" s="304">
        <f t="shared" ca="1" si="307"/>
        <v>-81.926613980323197</v>
      </c>
      <c r="P681" s="310">
        <f t="shared" ca="1" si="308"/>
        <v>23</v>
      </c>
      <c r="Q681" s="304">
        <f t="shared" ca="1" si="309"/>
        <v>0</v>
      </c>
      <c r="R681" s="306">
        <f t="shared" ca="1" si="310"/>
        <v>0</v>
      </c>
      <c r="S681" s="307">
        <f t="shared" ca="1" si="311"/>
        <v>7.8079999999999892</v>
      </c>
      <c r="T681" s="304">
        <f t="shared" ca="1" si="291"/>
        <v>76.5964799999999</v>
      </c>
      <c r="U681" s="311">
        <f t="shared" ca="1" si="292"/>
        <v>0</v>
      </c>
      <c r="V681" s="306">
        <f t="shared" ca="1" si="293"/>
        <v>1.1777190035848437</v>
      </c>
      <c r="W681" s="304">
        <f t="shared" ca="1" si="294"/>
        <v>48.562950700570887</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3.5373563903211211</v>
      </c>
      <c r="AH681" s="304">
        <f t="shared" ca="1" si="318"/>
        <v>-6.1737073530750974</v>
      </c>
    </row>
    <row r="682" spans="1:34" x14ac:dyDescent="0.2">
      <c r="A682" s="347">
        <f t="shared" ca="1" si="296"/>
        <v>0.1</v>
      </c>
      <c r="B682" s="304">
        <f t="shared" ca="1" si="297"/>
        <v>31.800000000000139</v>
      </c>
      <c r="D682" s="306">
        <f t="shared" ca="1" si="298"/>
        <v>-0.87349466154703237</v>
      </c>
      <c r="E682" s="307">
        <f t="shared" ca="1" si="299"/>
        <v>-3.6520026531405225</v>
      </c>
      <c r="F682" s="304">
        <f t="shared" ca="1" si="300"/>
        <v>3.7550121574099573</v>
      </c>
      <c r="G682" s="306">
        <f t="shared" ca="1" si="301"/>
        <v>15.712244728621327</v>
      </c>
      <c r="H682" s="307">
        <f t="shared" ca="1" si="302"/>
        <v>-111.74980673854844</v>
      </c>
      <c r="I682" s="304">
        <f t="shared" ca="1" si="303"/>
        <v>112.84898732605009</v>
      </c>
      <c r="J682" s="306">
        <f t="shared" ca="1" si="304"/>
        <v>826.94444219422996</v>
      </c>
      <c r="K682" s="307">
        <f t="shared" ca="1" si="305"/>
        <v>382.40570877550687</v>
      </c>
      <c r="L682" s="304">
        <f t="shared" ca="1" si="290"/>
        <v>911.08245322804021</v>
      </c>
      <c r="M682" s="306">
        <f t="shared" ca="1" si="306"/>
        <v>-1.4311100205897582</v>
      </c>
      <c r="N682" s="304">
        <f t="shared" ca="1" si="307"/>
        <v>-81.996564198673497</v>
      </c>
      <c r="P682" s="310">
        <f t="shared" ca="1" si="308"/>
        <v>23</v>
      </c>
      <c r="Q682" s="304">
        <f t="shared" ca="1" si="309"/>
        <v>0</v>
      </c>
      <c r="R682" s="306">
        <f t="shared" ca="1" si="310"/>
        <v>0</v>
      </c>
      <c r="S682" s="307">
        <f t="shared" ca="1" si="311"/>
        <v>7.8079999999999892</v>
      </c>
      <c r="T682" s="304">
        <f t="shared" ca="1" si="291"/>
        <v>76.5964799999999</v>
      </c>
      <c r="U682" s="311">
        <f t="shared" ca="1" si="292"/>
        <v>0</v>
      </c>
      <c r="V682" s="306">
        <f t="shared" ca="1" si="293"/>
        <v>1.1790341802686906</v>
      </c>
      <c r="W682" s="304">
        <f t="shared" ca="1" si="294"/>
        <v>48.919637804682019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3.493132885166693</v>
      </c>
      <c r="AH682" s="304">
        <f t="shared" ca="1" si="318"/>
        <v>-6.219640202429682</v>
      </c>
    </row>
    <row r="683" spans="1:34" x14ac:dyDescent="0.2">
      <c r="A683" s="347">
        <f t="shared" ca="1" si="296"/>
        <v>0.1</v>
      </c>
      <c r="B683" s="304">
        <f t="shared" ca="1" si="297"/>
        <v>31.900000000000141</v>
      </c>
      <c r="D683" s="306">
        <f t="shared" ca="1" si="298"/>
        <v>-0.87233640462614592</v>
      </c>
      <c r="E683" s="307">
        <f t="shared" ca="1" si="299"/>
        <v>-3.6057035222092217</v>
      </c>
      <c r="F683" s="304">
        <f t="shared" ca="1" si="300"/>
        <v>3.7097262288352302</v>
      </c>
      <c r="G683" s="306">
        <f t="shared" ca="1" si="301"/>
        <v>15.625011088158713</v>
      </c>
      <c r="H683" s="307">
        <f t="shared" ca="1" si="302"/>
        <v>-112.11037709076936</v>
      </c>
      <c r="I683" s="304">
        <f t="shared" ca="1" si="303"/>
        <v>113.19398227352718</v>
      </c>
      <c r="J683" s="306">
        <f t="shared" ca="1" si="304"/>
        <v>828.51130498506893</v>
      </c>
      <c r="K683" s="307">
        <f t="shared" ca="1" si="305"/>
        <v>371.21269958404099</v>
      </c>
      <c r="L683" s="304">
        <f t="shared" ca="1" si="290"/>
        <v>907.87105407130002</v>
      </c>
      <c r="M683" s="306">
        <f t="shared" ca="1" si="306"/>
        <v>-1.4323166845518553</v>
      </c>
      <c r="N683" s="304">
        <f t="shared" ca="1" si="307"/>
        <v>-82.065700950992195</v>
      </c>
      <c r="P683" s="310">
        <f t="shared" ca="1" si="308"/>
        <v>23</v>
      </c>
      <c r="Q683" s="304">
        <f t="shared" ca="1" si="309"/>
        <v>0</v>
      </c>
      <c r="R683" s="306">
        <f t="shared" ca="1" si="310"/>
        <v>0</v>
      </c>
      <c r="S683" s="307">
        <f t="shared" ca="1" si="311"/>
        <v>7.8079999999999892</v>
      </c>
      <c r="T683" s="304">
        <f t="shared" ca="1" si="291"/>
        <v>76.5964799999999</v>
      </c>
      <c r="U683" s="311">
        <f t="shared" ca="1" si="292"/>
        <v>0</v>
      </c>
      <c r="V683" s="306">
        <f t="shared" ca="1" si="293"/>
        <v>1.1803550823216593</v>
      </c>
      <c r="W683" s="304">
        <f t="shared" ca="1" si="294"/>
        <v>49.274344725199121</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3.4491254012198134</v>
      </c>
      <c r="AH683" s="304">
        <f t="shared" ca="1" si="318"/>
        <v>-6.2653224647389969</v>
      </c>
    </row>
    <row r="684" spans="1:34" x14ac:dyDescent="0.2">
      <c r="A684" s="347">
        <f t="shared" ca="1" si="296"/>
        <v>0.1</v>
      </c>
      <c r="B684" s="304">
        <f t="shared" ca="1" si="297"/>
        <v>32.000000000000142</v>
      </c>
      <c r="D684" s="306">
        <f t="shared" ca="1" si="298"/>
        <v>-0.87112012674658401</v>
      </c>
      <c r="E684" s="307">
        <f t="shared" ca="1" si="299"/>
        <v>-3.5596616578448135</v>
      </c>
      <c r="F684" s="304">
        <f t="shared" ca="1" si="300"/>
        <v>3.6647020879675156</v>
      </c>
      <c r="G684" s="306">
        <f t="shared" ca="1" si="301"/>
        <v>15.537899075484054</v>
      </c>
      <c r="H684" s="307">
        <f t="shared" ca="1" si="302"/>
        <v>-112.46634325655384</v>
      </c>
      <c r="I684" s="304">
        <f t="shared" ca="1" si="303"/>
        <v>113.53459681163677</v>
      </c>
      <c r="J684" s="306">
        <f t="shared" ca="1" si="304"/>
        <v>830.06945049325111</v>
      </c>
      <c r="K684" s="307">
        <f t="shared" ca="1" si="305"/>
        <v>359.98386356667481</v>
      </c>
      <c r="L684" s="304">
        <f t="shared" ca="1" si="290"/>
        <v>904.76719363080258</v>
      </c>
      <c r="M684" s="306">
        <f t="shared" ca="1" si="306"/>
        <v>-1.4335094028538551</v>
      </c>
      <c r="N684" s="304">
        <f t="shared" ca="1" si="307"/>
        <v>-82.134038675844778</v>
      </c>
      <c r="P684" s="310">
        <f t="shared" ca="1" si="308"/>
        <v>23</v>
      </c>
      <c r="Q684" s="304">
        <f t="shared" ca="1" si="309"/>
        <v>0</v>
      </c>
      <c r="R684" s="306">
        <f t="shared" ca="1" si="310"/>
        <v>0</v>
      </c>
      <c r="S684" s="307">
        <f t="shared" ca="1" si="311"/>
        <v>7.8079999999999892</v>
      </c>
      <c r="T684" s="304">
        <f t="shared" ca="1" si="291"/>
        <v>76.5964799999999</v>
      </c>
      <c r="U684" s="311">
        <f t="shared" ca="1" si="292"/>
        <v>0</v>
      </c>
      <c r="V684" s="306">
        <f t="shared" ca="1" si="293"/>
        <v>1.1816816716728062</v>
      </c>
      <c r="W684" s="304">
        <f t="shared" ca="1" si="294"/>
        <v>49.62704868805821</v>
      </c>
      <c r="Y684" s="314" t="str">
        <f t="shared" ca="1" si="312"/>
        <v/>
      </c>
      <c r="Z684" s="315" t="str">
        <f t="shared" ca="1" si="313"/>
        <v/>
      </c>
      <c r="AA684" s="316" t="str">
        <f t="shared" ca="1" si="314"/>
        <v/>
      </c>
      <c r="AC684" s="310">
        <f t="shared" ca="1" si="315"/>
        <v>32.000000000000142</v>
      </c>
      <c r="AD684" s="323">
        <f t="shared" ca="1" si="316"/>
        <v>830.06945049325111</v>
      </c>
      <c r="AE684" s="324" t="e">
        <f t="shared" ca="1" si="295"/>
        <v>#N/A</v>
      </c>
      <c r="AG684" s="306">
        <f t="shared" ca="1" si="317"/>
        <v>3.4053378226905151</v>
      </c>
      <c r="AH684" s="304">
        <f t="shared" ca="1" si="318"/>
        <v>-6.3107511174691586</v>
      </c>
    </row>
    <row r="685" spans="1:34" x14ac:dyDescent="0.2">
      <c r="A685" s="347">
        <f t="shared" ca="1" si="296"/>
        <v>0.1</v>
      </c>
      <c r="B685" s="304">
        <f t="shared" ca="1" si="297"/>
        <v>32.100000000000144</v>
      </c>
      <c r="D685" s="306">
        <f t="shared" ca="1" si="298"/>
        <v>-0.86984669579146745</v>
      </c>
      <c r="E685" s="307">
        <f t="shared" ca="1" si="299"/>
        <v>-3.5138800037118489</v>
      </c>
      <c r="F685" s="304">
        <f t="shared" ca="1" si="300"/>
        <v>3.6199428109661231</v>
      </c>
      <c r="G685" s="306">
        <f t="shared" ca="1" si="301"/>
        <v>15.450914405904907</v>
      </c>
      <c r="H685" s="307">
        <f t="shared" ca="1" si="302"/>
        <v>-112.81773125692503</v>
      </c>
      <c r="I685" s="304">
        <f t="shared" ca="1" si="303"/>
        <v>113.87085334684359</v>
      </c>
      <c r="J685" s="306">
        <f t="shared" ca="1" si="304"/>
        <v>831.61889116732061</v>
      </c>
      <c r="K685" s="307">
        <f t="shared" ca="1" si="305"/>
        <v>348.71965984100086</v>
      </c>
      <c r="L685" s="304">
        <f t="shared" ca="1" si="290"/>
        <v>901.77346451644235</v>
      </c>
      <c r="M685" s="306">
        <f t="shared" ca="1" si="306"/>
        <v>-1.434688421319293</v>
      </c>
      <c r="N685" s="304">
        <f t="shared" ca="1" si="307"/>
        <v>-82.201591457882373</v>
      </c>
      <c r="P685" s="310">
        <f t="shared" ca="1" si="308"/>
        <v>23</v>
      </c>
      <c r="Q685" s="304">
        <f t="shared" ca="1" si="309"/>
        <v>0</v>
      </c>
      <c r="R685" s="306">
        <f t="shared" ca="1" si="310"/>
        <v>0</v>
      </c>
      <c r="S685" s="307">
        <f t="shared" ca="1" si="311"/>
        <v>7.8079999999999892</v>
      </c>
      <c r="T685" s="304">
        <f t="shared" ca="1" si="291"/>
        <v>76.5964799999999</v>
      </c>
      <c r="U685" s="311">
        <f t="shared" ca="1" si="292"/>
        <v>0</v>
      </c>
      <c r="V685" s="306">
        <f t="shared" ca="1" si="293"/>
        <v>1.1830139104134119</v>
      </c>
      <c r="W685" s="304">
        <f t="shared" ca="1" si="294"/>
        <v>49.977727737385308</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3.3617739015947805</v>
      </c>
      <c r="AH685" s="304">
        <f t="shared" ca="1" si="318"/>
        <v>-6.3559232438599231</v>
      </c>
    </row>
    <row r="686" spans="1:34" x14ac:dyDescent="0.2">
      <c r="A686" s="347">
        <f t="shared" ca="1" si="296"/>
        <v>0.1</v>
      </c>
      <c r="B686" s="304">
        <f t="shared" ca="1" si="297"/>
        <v>32.200000000000145</v>
      </c>
      <c r="D686" s="306">
        <f t="shared" ca="1" si="298"/>
        <v>-0.86851697997285782</v>
      </c>
      <c r="E686" s="307">
        <f t="shared" ca="1" si="299"/>
        <v>-3.4683613976136485</v>
      </c>
      <c r="F686" s="304">
        <f t="shared" ca="1" si="300"/>
        <v>3.5754513741565099</v>
      </c>
      <c r="G686" s="306">
        <f t="shared" ca="1" si="301"/>
        <v>15.364062707907621</v>
      </c>
      <c r="H686" s="307">
        <f t="shared" ca="1" si="302"/>
        <v>-113.16456739668639</v>
      </c>
      <c r="I686" s="304">
        <f t="shared" ca="1" si="303"/>
        <v>114.20277464655443</v>
      </c>
      <c r="J686" s="306">
        <f t="shared" ca="1" si="304"/>
        <v>833.15964002301121</v>
      </c>
      <c r="K686" s="307">
        <f t="shared" ca="1" si="305"/>
        <v>337.42054490832027</v>
      </c>
      <c r="L686" s="304">
        <f t="shared" ca="1" si="290"/>
        <v>898.89243510528081</v>
      </c>
      <c r="M686" s="306">
        <f t="shared" ca="1" si="306"/>
        <v>-1.4358539797808267</v>
      </c>
      <c r="N686" s="304">
        <f t="shared" ca="1" si="307"/>
        <v>-82.268373038504009</v>
      </c>
      <c r="P686" s="310">
        <f t="shared" ca="1" si="308"/>
        <v>23</v>
      </c>
      <c r="Q686" s="304">
        <f t="shared" ca="1" si="309"/>
        <v>0</v>
      </c>
      <c r="R686" s="306">
        <f t="shared" ca="1" si="310"/>
        <v>0</v>
      </c>
      <c r="S686" s="307">
        <f t="shared" ca="1" si="311"/>
        <v>7.8079999999999892</v>
      </c>
      <c r="T686" s="304">
        <f t="shared" ca="1" si="291"/>
        <v>76.5964799999999</v>
      </c>
      <c r="U686" s="311">
        <f t="shared" ca="1" si="292"/>
        <v>0</v>
      </c>
      <c r="V686" s="306">
        <f t="shared" ca="1" si="293"/>
        <v>1.1843517607997562</v>
      </c>
      <c r="W686" s="304">
        <f t="shared" ca="1" si="294"/>
        <v>50.326360727599713</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3.3184372597020531</v>
      </c>
      <c r="AH686" s="304">
        <f t="shared" ca="1" si="318"/>
        <v>-6.4008360319397255</v>
      </c>
    </row>
    <row r="687" spans="1:34" x14ac:dyDescent="0.2">
      <c r="A687" s="347">
        <f t="shared" ca="1" si="296"/>
        <v>0.1</v>
      </c>
      <c r="B687" s="304">
        <f t="shared" ca="1" si="297"/>
        <v>32.300000000000146</v>
      </c>
      <c r="D687" s="306">
        <f t="shared" ca="1" si="298"/>
        <v>-0.86713184752075489</v>
      </c>
      <c r="E687" s="307">
        <f t="shared" ca="1" si="299"/>
        <v>-3.4231085725085926</v>
      </c>
      <c r="F687" s="304">
        <f t="shared" ca="1" si="300"/>
        <v>3.5312306551918371</v>
      </c>
      <c r="G687" s="306">
        <f t="shared" ca="1" si="301"/>
        <v>15.277349523155545</v>
      </c>
      <c r="H687" s="307">
        <f t="shared" ca="1" si="302"/>
        <v>-113.50687825393726</v>
      </c>
      <c r="I687" s="304">
        <f t="shared" ca="1" si="303"/>
        <v>114.53038382633142</v>
      </c>
      <c r="J687" s="306">
        <f t="shared" ca="1" si="304"/>
        <v>834.6917106345644</v>
      </c>
      <c r="K687" s="307">
        <f t="shared" ca="1" si="305"/>
        <v>326.08697262578909</v>
      </c>
      <c r="L687" s="304">
        <f t="shared" ca="1" si="290"/>
        <v>896.1266459146874</v>
      </c>
      <c r="M687" s="306">
        <f t="shared" ca="1" si="306"/>
        <v>-1.4370063122597476</v>
      </c>
      <c r="N687" s="304">
        <f t="shared" ca="1" si="307"/>
        <v>-82.334396826142026</v>
      </c>
      <c r="P687" s="310">
        <f t="shared" ca="1" si="308"/>
        <v>23</v>
      </c>
      <c r="Q687" s="304">
        <f t="shared" ca="1" si="309"/>
        <v>0</v>
      </c>
      <c r="R687" s="306">
        <f t="shared" ca="1" si="310"/>
        <v>0</v>
      </c>
      <c r="S687" s="307">
        <f t="shared" ca="1" si="311"/>
        <v>7.8079999999999892</v>
      </c>
      <c r="T687" s="304">
        <f t="shared" ca="1" si="291"/>
        <v>76.5964799999999</v>
      </c>
      <c r="U687" s="311">
        <f t="shared" ca="1" si="292"/>
        <v>0</v>
      </c>
      <c r="V687" s="306">
        <f t="shared" ca="1" si="293"/>
        <v>1.1856951852558184</v>
      </c>
      <c r="W687" s="304">
        <f t="shared" ca="1" si="294"/>
        <v>50.672927315320202</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3.2753313904687715</v>
      </c>
      <c r="AH687" s="304">
        <f t="shared" ca="1" si="318"/>
        <v>-6.4454867735143164</v>
      </c>
    </row>
    <row r="688" spans="1:34" x14ac:dyDescent="0.2">
      <c r="A688" s="347">
        <f t="shared" ca="1" si="296"/>
        <v>0.1</v>
      </c>
      <c r="B688" s="304">
        <f t="shared" ca="1" si="297"/>
        <v>32.400000000000148</v>
      </c>
      <c r="D688" s="306">
        <f t="shared" ca="1" si="298"/>
        <v>-0.86569216637940583</v>
      </c>
      <c r="E688" s="307">
        <f t="shared" ca="1" si="299"/>
        <v>-3.3781241575522811</v>
      </c>
      <c r="F688" s="304">
        <f t="shared" ca="1" si="300"/>
        <v>3.4872834342463443</v>
      </c>
      <c r="G688" s="306">
        <f t="shared" ca="1" si="301"/>
        <v>15.190780306517604</v>
      </c>
      <c r="H688" s="307">
        <f t="shared" ca="1" si="302"/>
        <v>-113.84469066969248</v>
      </c>
      <c r="I688" s="304">
        <f t="shared" ca="1" si="303"/>
        <v>114.85370433729531</v>
      </c>
      <c r="J688" s="306">
        <f t="shared" ca="1" si="304"/>
        <v>836.21511712604809</v>
      </c>
      <c r="K688" s="307">
        <f t="shared" ca="1" si="305"/>
        <v>314.7193941796076</v>
      </c>
      <c r="L688" s="304">
        <f t="shared" ca="1" si="290"/>
        <v>893.47860588987226</v>
      </c>
      <c r="M688" s="306">
        <f t="shared" ca="1" si="306"/>
        <v>-1.4381456471391787</v>
      </c>
      <c r="N688" s="304">
        <f t="shared" ca="1" si="307"/>
        <v>-82.399675906185479</v>
      </c>
      <c r="P688" s="310">
        <f t="shared" ca="1" si="308"/>
        <v>23</v>
      </c>
      <c r="Q688" s="304">
        <f t="shared" ca="1" si="309"/>
        <v>0</v>
      </c>
      <c r="R688" s="306">
        <f t="shared" ca="1" si="310"/>
        <v>0</v>
      </c>
      <c r="S688" s="307">
        <f t="shared" ca="1" si="311"/>
        <v>7.8079999999999892</v>
      </c>
      <c r="T688" s="304">
        <f t="shared" ca="1" si="291"/>
        <v>76.5964799999999</v>
      </c>
      <c r="U688" s="311">
        <f t="shared" ca="1" si="292"/>
        <v>0</v>
      </c>
      <c r="V688" s="306">
        <f t="shared" ca="1" si="293"/>
        <v>1.1870441463759054</v>
      </c>
      <c r="W688" s="304">
        <f t="shared" ca="1" si="294"/>
        <v>51.017407951083861</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3.2324596609587211</v>
      </c>
      <c r="AH688" s="304">
        <f t="shared" ca="1" si="318"/>
        <v>-6.4898728631301577</v>
      </c>
    </row>
    <row r="689" spans="1:34" x14ac:dyDescent="0.2">
      <c r="A689" s="347">
        <f t="shared" ca="1" si="296"/>
        <v>0.1</v>
      </c>
      <c r="B689" s="304">
        <f t="shared" ca="1" si="297"/>
        <v>32.500000000000149</v>
      </c>
      <c r="D689" s="306">
        <f t="shared" ca="1" si="298"/>
        <v>-0.86419880391088622</v>
      </c>
      <c r="E689" s="307">
        <f t="shared" ca="1" si="299"/>
        <v>-3.3334106791643086</v>
      </c>
      <c r="F689" s="304">
        <f t="shared" ca="1" si="300"/>
        <v>3.4436123952395779</v>
      </c>
      <c r="G689" s="306">
        <f t="shared" ca="1" si="301"/>
        <v>15.104360426126515</v>
      </c>
      <c r="H689" s="307">
        <f t="shared" ca="1" si="302"/>
        <v>-114.17803173760892</v>
      </c>
      <c r="I689" s="304">
        <f t="shared" ca="1" si="303"/>
        <v>115.17275995371807</v>
      </c>
      <c r="J689" s="306">
        <f t="shared" ca="1" si="304"/>
        <v>837.72987416268029</v>
      </c>
      <c r="K689" s="307">
        <f t="shared" ca="1" si="305"/>
        <v>303.31825805924251</v>
      </c>
      <c r="L689" s="304">
        <f t="shared" ca="1" si="290"/>
        <v>890.9507886166964</v>
      </c>
      <c r="M689" s="306">
        <f t="shared" ca="1" si="306"/>
        <v>-1.4392722073312114</v>
      </c>
      <c r="N689" s="304">
        <f t="shared" ca="1" si="307"/>
        <v>-82.464223050556399</v>
      </c>
      <c r="P689" s="310">
        <f t="shared" ca="1" si="308"/>
        <v>23</v>
      </c>
      <c r="Q689" s="304">
        <f t="shared" ca="1" si="309"/>
        <v>0</v>
      </c>
      <c r="R689" s="306">
        <f t="shared" ca="1" si="310"/>
        <v>0</v>
      </c>
      <c r="S689" s="307">
        <f t="shared" ca="1" si="311"/>
        <v>7.8079999999999892</v>
      </c>
      <c r="T689" s="304">
        <f t="shared" ca="1" si="291"/>
        <v>76.5964799999999</v>
      </c>
      <c r="U689" s="311">
        <f t="shared" ca="1" si="292"/>
        <v>0</v>
      </c>
      <c r="V689" s="306">
        <f t="shared" ca="1" si="293"/>
        <v>1.1883986069272117</v>
      </c>
      <c r="W689" s="304">
        <f t="shared" ca="1" si="294"/>
        <v>51.359783870886844</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3.1898253137507124</v>
      </c>
      <c r="AH689" s="304">
        <f t="shared" ca="1" si="318"/>
        <v>-6.5339917970138233</v>
      </c>
    </row>
    <row r="690" spans="1:34" x14ac:dyDescent="0.2">
      <c r="A690" s="347">
        <f t="shared" ca="1" si="296"/>
        <v>0.1</v>
      </c>
      <c r="B690" s="304">
        <f t="shared" ca="1" si="297"/>
        <v>32.600000000000151</v>
      </c>
      <c r="D690" s="306">
        <f t="shared" ca="1" si="298"/>
        <v>-0.86265262660593856</v>
      </c>
      <c r="E690" s="307">
        <f t="shared" ca="1" si="299"/>
        <v>-3.2889705621184238</v>
      </c>
      <c r="F690" s="304">
        <f t="shared" ca="1" si="300"/>
        <v>3.4002201270905541</v>
      </c>
      <c r="G690" s="306">
        <f t="shared" ca="1" si="301"/>
        <v>15.018095163465921</v>
      </c>
      <c r="H690" s="307">
        <f t="shared" ca="1" si="302"/>
        <v>-114.50692879382076</v>
      </c>
      <c r="I690" s="304">
        <f t="shared" ca="1" si="303"/>
        <v>115.48757476080299</v>
      </c>
      <c r="J690" s="306">
        <f t="shared" ca="1" si="304"/>
        <v>839.23599694215989</v>
      </c>
      <c r="K690" s="307">
        <f t="shared" ca="1" si="305"/>
        <v>291.88401003267103</v>
      </c>
      <c r="L690" s="304">
        <f t="shared" ca="1" si="290"/>
        <v>888.54562847174782</v>
      </c>
      <c r="M690" s="306">
        <f t="shared" ca="1" si="306"/>
        <v>-1.4403862104382272</v>
      </c>
      <c r="N690" s="304">
        <f t="shared" ca="1" si="307"/>
        <v>-82.52805072695287</v>
      </c>
      <c r="P690" s="310">
        <f t="shared" ca="1" si="308"/>
        <v>23</v>
      </c>
      <c r="Q690" s="304">
        <f t="shared" ca="1" si="309"/>
        <v>0</v>
      </c>
      <c r="R690" s="306">
        <f t="shared" ca="1" si="310"/>
        <v>0</v>
      </c>
      <c r="S690" s="307">
        <f t="shared" ca="1" si="311"/>
        <v>7.8079999999999892</v>
      </c>
      <c r="T690" s="304">
        <f t="shared" ca="1" si="291"/>
        <v>76.5964799999999</v>
      </c>
      <c r="U690" s="311">
        <f t="shared" ca="1" si="292"/>
        <v>0</v>
      </c>
      <c r="V690" s="306">
        <f t="shared" ca="1" si="293"/>
        <v>1.1897585298523057</v>
      </c>
      <c r="W690" s="304">
        <f t="shared" ca="1" si="294"/>
        <v>51.700037087555806</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3.1474314688341858</v>
      </c>
      <c r="AH690" s="304">
        <f t="shared" ca="1" si="318"/>
        <v>-6.5778411719885908</v>
      </c>
    </row>
    <row r="691" spans="1:34" x14ac:dyDescent="0.2">
      <c r="A691" s="347">
        <f t="shared" ca="1" si="296"/>
        <v>0.1</v>
      </c>
      <c r="B691" s="304">
        <f t="shared" ca="1" si="297"/>
        <v>32.700000000000152</v>
      </c>
      <c r="D691" s="306">
        <f t="shared" ca="1" si="298"/>
        <v>-0.8610544998020081</v>
      </c>
      <c r="E691" s="307">
        <f t="shared" ca="1" si="299"/>
        <v>-3.2448061306549194</v>
      </c>
      <c r="F691" s="304">
        <f t="shared" ca="1" si="300"/>
        <v>3.3571091250010086</v>
      </c>
      <c r="G691" s="306">
        <f t="shared" ca="1" si="301"/>
        <v>14.93198971348572</v>
      </c>
      <c r="H691" s="307">
        <f t="shared" ca="1" si="302"/>
        <v>-114.83140940688625</v>
      </c>
      <c r="I691" s="304">
        <f t="shared" ca="1" si="303"/>
        <v>115.79817314265181</v>
      </c>
      <c r="J691" s="306">
        <f t="shared" ca="1" si="304"/>
        <v>840.73350118600752</v>
      </c>
      <c r="K691" s="307">
        <f t="shared" ca="1" si="305"/>
        <v>280.41709312263566</v>
      </c>
      <c r="L691" s="304">
        <f t="shared" ca="1" si="290"/>
        <v>886.26551672274343</v>
      </c>
      <c r="M691" s="306">
        <f t="shared" ca="1" si="306"/>
        <v>-1.4414878689086337</v>
      </c>
      <c r="N691" s="304">
        <f t="shared" ca="1" si="307"/>
        <v>-82.591171107771984</v>
      </c>
      <c r="P691" s="310">
        <f t="shared" ca="1" si="308"/>
        <v>23</v>
      </c>
      <c r="Q691" s="304">
        <f t="shared" ca="1" si="309"/>
        <v>0</v>
      </c>
      <c r="R691" s="306">
        <f t="shared" ca="1" si="310"/>
        <v>0</v>
      </c>
      <c r="S691" s="307">
        <f t="shared" ca="1" si="311"/>
        <v>7.8079999999999892</v>
      </c>
      <c r="T691" s="304">
        <f t="shared" ca="1" si="291"/>
        <v>76.5964799999999</v>
      </c>
      <c r="U691" s="311">
        <f t="shared" ca="1" si="292"/>
        <v>0</v>
      </c>
      <c r="V691" s="306">
        <f t="shared" ca="1" si="293"/>
        <v>1.1911238782715454</v>
      </c>
      <c r="W691" s="304">
        <f t="shared" ca="1" si="294"/>
        <v>52.038150381959461</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3.1052811254931338</v>
      </c>
      <c r="AH691" s="304">
        <f t="shared" ca="1" si="318"/>
        <v>-6.621418684369349</v>
      </c>
    </row>
    <row r="692" spans="1:34" x14ac:dyDescent="0.2">
      <c r="A692" s="347">
        <f t="shared" ca="1" si="296"/>
        <v>0.1</v>
      </c>
      <c r="B692" s="304">
        <f t="shared" ca="1" si="297"/>
        <v>32.800000000000153</v>
      </c>
      <c r="D692" s="306">
        <f t="shared" ca="1" si="298"/>
        <v>-0.85940528740845878</v>
      </c>
      <c r="E692" s="307">
        <f t="shared" ca="1" si="299"/>
        <v>-3.2009196096140293</v>
      </c>
      <c r="F692" s="304">
        <f t="shared" ca="1" si="300"/>
        <v>3.3142817917668448</v>
      </c>
      <c r="G692" s="306">
        <f t="shared" ca="1" si="301"/>
        <v>14.846049184744874</v>
      </c>
      <c r="H692" s="307">
        <f t="shared" ca="1" si="302"/>
        <v>-115.15150136784766</v>
      </c>
      <c r="I692" s="304">
        <f t="shared" ca="1" si="303"/>
        <v>116.10457977041769</v>
      </c>
      <c r="J692" s="306">
        <f t="shared" ca="1" si="304"/>
        <v>842.22240313091902</v>
      </c>
      <c r="K692" s="307">
        <f t="shared" ca="1" si="305"/>
        <v>268.91794758389898</v>
      </c>
      <c r="L692" s="304">
        <f t="shared" ca="1" si="290"/>
        <v>884.11279759335957</v>
      </c>
      <c r="M692" s="306">
        <f t="shared" ca="1" si="306"/>
        <v>-1.4425773901872376</v>
      </c>
      <c r="N692" s="304">
        <f t="shared" ca="1" si="307"/>
        <v>-82.653596078725698</v>
      </c>
      <c r="P692" s="310">
        <f t="shared" ca="1" si="308"/>
        <v>23</v>
      </c>
      <c r="Q692" s="304">
        <f t="shared" ca="1" si="309"/>
        <v>0</v>
      </c>
      <c r="R692" s="306">
        <f t="shared" ca="1" si="310"/>
        <v>0</v>
      </c>
      <c r="S692" s="307">
        <f t="shared" ca="1" si="311"/>
        <v>7.8079999999999892</v>
      </c>
      <c r="T692" s="304">
        <f t="shared" ca="1" si="291"/>
        <v>76.5964799999999</v>
      </c>
      <c r="U692" s="311">
        <f t="shared" ca="1" si="292"/>
        <v>0</v>
      </c>
      <c r="V692" s="306">
        <f t="shared" ca="1" si="293"/>
        <v>1.1924946154854268</v>
      </c>
      <c r="W692" s="304">
        <f t="shared" ca="1" si="294"/>
        <v>52.374107294069177</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3.0633771641787861</v>
      </c>
      <c r="AH692" s="304">
        <f t="shared" ca="1" si="318"/>
        <v>-6.6647221288370302</v>
      </c>
    </row>
    <row r="693" spans="1:34" x14ac:dyDescent="0.2">
      <c r="A693" s="347">
        <f t="shared" ca="1" si="296"/>
        <v>0.1</v>
      </c>
      <c r="B693" s="304">
        <f t="shared" ca="1" si="297"/>
        <v>32.900000000000155</v>
      </c>
      <c r="D693" s="306">
        <f t="shared" ca="1" si="298"/>
        <v>-0.85770585163892143</v>
      </c>
      <c r="E693" s="307">
        <f t="shared" ca="1" si="299"/>
        <v>-3.15731312558915</v>
      </c>
      <c r="F693" s="304">
        <f t="shared" ca="1" si="300"/>
        <v>3.2717404391169502</v>
      </c>
      <c r="G693" s="306">
        <f t="shared" ca="1" si="301"/>
        <v>14.760278599580982</v>
      </c>
      <c r="H693" s="307">
        <f t="shared" ca="1" si="302"/>
        <v>-115.46723268040657</v>
      </c>
      <c r="I693" s="304">
        <f t="shared" ca="1" si="303"/>
        <v>116.40681959064254</v>
      </c>
      <c r="J693" s="306">
        <f t="shared" ca="1" si="304"/>
        <v>843.70271952013536</v>
      </c>
      <c r="K693" s="307">
        <f t="shared" ca="1" si="305"/>
        <v>257.38701088148628</v>
      </c>
      <c r="L693" s="304">
        <f t="shared" ca="1" si="290"/>
        <v>882.08976430756661</v>
      </c>
      <c r="M693" s="306">
        <f t="shared" ca="1" si="306"/>
        <v>-1.4436549768604692</v>
      </c>
      <c r="N693" s="304">
        <f t="shared" ca="1" si="307"/>
        <v>-82.715337247161401</v>
      </c>
      <c r="P693" s="310">
        <f t="shared" ca="1" si="308"/>
        <v>23</v>
      </c>
      <c r="Q693" s="304">
        <f t="shared" ca="1" si="309"/>
        <v>0</v>
      </c>
      <c r="R693" s="306">
        <f t="shared" ca="1" si="310"/>
        <v>0</v>
      </c>
      <c r="S693" s="307">
        <f t="shared" ca="1" si="311"/>
        <v>7.8079999999999892</v>
      </c>
      <c r="T693" s="304">
        <f t="shared" ca="1" si="291"/>
        <v>76.5964799999999</v>
      </c>
      <c r="U693" s="311">
        <f t="shared" ca="1" si="292"/>
        <v>0</v>
      </c>
      <c r="V693" s="306">
        <f t="shared" ca="1" si="293"/>
        <v>1.1938707049768604</v>
      </c>
      <c r="W693" s="304">
        <f t="shared" ca="1" si="294"/>
        <v>52.707892113876952</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3.0217223483712825</v>
      </c>
      <c r="AH693" s="304">
        <f t="shared" ca="1" si="318"/>
        <v>-6.7077493972937052</v>
      </c>
    </row>
    <row r="694" spans="1:34" x14ac:dyDescent="0.2">
      <c r="A694" s="347">
        <f t="shared" ca="1" si="296"/>
        <v>0.1</v>
      </c>
      <c r="B694" s="304">
        <f t="shared" ca="1" si="297"/>
        <v>33.000000000000156</v>
      </c>
      <c r="D694" s="306">
        <f t="shared" ca="1" si="298"/>
        <v>-0.85595705275071621</v>
      </c>
      <c r="E694" s="307">
        <f t="shared" ca="1" si="299"/>
        <v>-3.1139887080987982</v>
      </c>
      <c r="F694" s="304">
        <f t="shared" ca="1" si="300"/>
        <v>3.2294872890786417</v>
      </c>
      <c r="G694" s="306">
        <f t="shared" ca="1" si="301"/>
        <v>14.67468289430591</v>
      </c>
      <c r="H694" s="307">
        <f t="shared" ca="1" si="302"/>
        <v>-115.77863155121645</v>
      </c>
      <c r="I694" s="304">
        <f t="shared" ca="1" si="303"/>
        <v>116.70491781377838</v>
      </c>
      <c r="J694" s="306">
        <f t="shared" ca="1" si="304"/>
        <v>845.17446759482971</v>
      </c>
      <c r="K694" s="307">
        <f t="shared" ca="1" si="305"/>
        <v>245.82471766990511</v>
      </c>
      <c r="L694" s="304">
        <f t="shared" ca="1" si="290"/>
        <v>880.19865512945</v>
      </c>
      <c r="M694" s="306">
        <f t="shared" ca="1" si="306"/>
        <v>-1.4447208267966554</v>
      </c>
      <c r="N694" s="304">
        <f t="shared" ca="1" si="307"/>
        <v>-82.776405950099161</v>
      </c>
      <c r="P694" s="310">
        <f t="shared" ca="1" si="308"/>
        <v>23</v>
      </c>
      <c r="Q694" s="304">
        <f t="shared" ca="1" si="309"/>
        <v>0</v>
      </c>
      <c r="R694" s="306">
        <f t="shared" ca="1" si="310"/>
        <v>0</v>
      </c>
      <c r="S694" s="307">
        <f t="shared" ca="1" si="311"/>
        <v>7.8079999999999892</v>
      </c>
      <c r="T694" s="304">
        <f t="shared" ca="1" si="291"/>
        <v>76.5964799999999</v>
      </c>
      <c r="U694" s="311">
        <f t="shared" ca="1" si="292"/>
        <v>0</v>
      </c>
      <c r="V694" s="306">
        <f t="shared" ca="1" si="293"/>
        <v>1.1952521104133822</v>
      </c>
      <c r="W694" s="304">
        <f t="shared" ca="1" si="294"/>
        <v>53.039489872179985</v>
      </c>
      <c r="Y694" s="314" t="str">
        <f t="shared" ca="1" si="312"/>
        <v/>
      </c>
      <c r="Z694" s="315" t="str">
        <f t="shared" ca="1" si="313"/>
        <v/>
      </c>
      <c r="AA694" s="316" t="str">
        <f t="shared" ca="1" si="314"/>
        <v/>
      </c>
      <c r="AC694" s="310">
        <f t="shared" ca="1" si="315"/>
        <v>33.000000000000156</v>
      </c>
      <c r="AD694" s="323">
        <f t="shared" ca="1" si="316"/>
        <v>845.17446759482971</v>
      </c>
      <c r="AE694" s="324" t="e">
        <f t="shared" ca="1" si="295"/>
        <v>#N/A</v>
      </c>
      <c r="AG694" s="306">
        <f t="shared" ca="1" si="317"/>
        <v>2.980319326430716</v>
      </c>
      <c r="AH694" s="304">
        <f t="shared" ca="1" si="318"/>
        <v>-6.7504984776994137</v>
      </c>
    </row>
    <row r="695" spans="1:34" x14ac:dyDescent="0.2">
      <c r="A695" s="347">
        <f t="shared" ca="1" si="296"/>
        <v>0.1</v>
      </c>
      <c r="B695" s="304">
        <f t="shared" ca="1" si="297"/>
        <v>33.100000000000158</v>
      </c>
      <c r="D695" s="306">
        <f t="shared" ca="1" si="298"/>
        <v>-0.85415974879132994</v>
      </c>
      <c r="E695" s="307">
        <f t="shared" ca="1" si="299"/>
        <v>-3.0709482907760997</v>
      </c>
      <c r="F695" s="304">
        <f t="shared" ca="1" si="300"/>
        <v>3.1875244753689209</v>
      </c>
      <c r="G695" s="306">
        <f t="shared" ca="1" si="301"/>
        <v>14.589266919426777</v>
      </c>
      <c r="H695" s="307">
        <f t="shared" ca="1" si="302"/>
        <v>-116.08572638029406</v>
      </c>
      <c r="I695" s="304">
        <f t="shared" ca="1" si="303"/>
        <v>116.99889990289131</v>
      </c>
      <c r="J695" s="306">
        <f t="shared" ca="1" si="304"/>
        <v>846.63766508551635</v>
      </c>
      <c r="K695" s="307">
        <f t="shared" ca="1" si="305"/>
        <v>234.23149977332957</v>
      </c>
      <c r="L695" s="304">
        <f t="shared" ca="1" si="290"/>
        <v>878.44164941532586</v>
      </c>
      <c r="M695" s="306">
        <f t="shared" ca="1" si="306"/>
        <v>-1.4457751332815401</v>
      </c>
      <c r="N695" s="304">
        <f t="shared" ca="1" si="307"/>
        <v>-82.836813261996326</v>
      </c>
      <c r="P695" s="310">
        <f t="shared" ca="1" si="308"/>
        <v>23</v>
      </c>
      <c r="Q695" s="304">
        <f t="shared" ca="1" si="309"/>
        <v>0</v>
      </c>
      <c r="R695" s="306">
        <f t="shared" ca="1" si="310"/>
        <v>0</v>
      </c>
      <c r="S695" s="307">
        <f t="shared" ca="1" si="311"/>
        <v>7.8079999999999892</v>
      </c>
      <c r="T695" s="304">
        <f t="shared" ca="1" si="291"/>
        <v>76.5964799999999</v>
      </c>
      <c r="U695" s="311">
        <f t="shared" ca="1" si="292"/>
        <v>0</v>
      </c>
      <c r="V695" s="306">
        <f t="shared" ca="1" si="293"/>
        <v>1.1966387956492894</v>
      </c>
      <c r="W695" s="304">
        <f t="shared" ca="1" si="294"/>
        <v>53.368886331239857</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2.9391706334376444</v>
      </c>
      <c r="AH695" s="304">
        <f t="shared" ca="1" si="318"/>
        <v>-6.7929674528919133</v>
      </c>
    </row>
    <row r="696" spans="1:34" x14ac:dyDescent="0.2">
      <c r="A696" s="347">
        <f t="shared" ca="1" si="296"/>
        <v>0.1</v>
      </c>
      <c r="B696" s="304">
        <f t="shared" ca="1" si="297"/>
        <v>33.200000000000159</v>
      </c>
      <c r="D696" s="306">
        <f t="shared" ca="1" si="298"/>
        <v>-0.85231479535187105</v>
      </c>
      <c r="E696" s="307">
        <f t="shared" ca="1" si="299"/>
        <v>-3.0281937125747547</v>
      </c>
      <c r="F696" s="304">
        <f t="shared" ca="1" si="300"/>
        <v>3.1458540448108803</v>
      </c>
      <c r="G696" s="306">
        <f t="shared" ca="1" si="301"/>
        <v>14.50403543989159</v>
      </c>
      <c r="H696" s="307">
        <f t="shared" ca="1" si="302"/>
        <v>-116.38854575155153</v>
      </c>
      <c r="I696" s="304">
        <f t="shared" ca="1" si="303"/>
        <v>117.28879156254717</v>
      </c>
      <c r="J696" s="306">
        <f t="shared" ca="1" si="304"/>
        <v>848.09233020348222</v>
      </c>
      <c r="K696" s="307">
        <f t="shared" ca="1" si="305"/>
        <v>222.6077861667373</v>
      </c>
      <c r="L696" s="304">
        <f t="shared" ca="1" si="290"/>
        <v>876.82086369567423</v>
      </c>
      <c r="M696" s="306">
        <f t="shared" ca="1" si="306"/>
        <v>-1.4468180851492343</v>
      </c>
      <c r="N696" s="304">
        <f t="shared" ca="1" si="307"/>
        <v>-82.896570002250499</v>
      </c>
      <c r="P696" s="310">
        <f t="shared" ca="1" si="308"/>
        <v>23</v>
      </c>
      <c r="Q696" s="304">
        <f t="shared" ca="1" si="309"/>
        <v>0</v>
      </c>
      <c r="R696" s="306">
        <f t="shared" ca="1" si="310"/>
        <v>0</v>
      </c>
      <c r="S696" s="307">
        <f t="shared" ca="1" si="311"/>
        <v>7.8079999999999892</v>
      </c>
      <c r="T696" s="304">
        <f t="shared" ca="1" si="291"/>
        <v>76.5964799999999</v>
      </c>
      <c r="U696" s="311">
        <f t="shared" ca="1" si="292"/>
        <v>0</v>
      </c>
      <c r="V696" s="306">
        <f t="shared" ca="1" si="293"/>
        <v>1.1980307247277191</v>
      </c>
      <c r="W696" s="304">
        <f t="shared" ca="1" si="294"/>
        <v>53.696067975325271</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2.8982786930232942</v>
      </c>
      <c r="AH696" s="304">
        <f t="shared" ca="1" si="318"/>
        <v>-6.8351544993903603</v>
      </c>
    </row>
    <row r="697" spans="1:34" x14ac:dyDescent="0.2">
      <c r="A697" s="347">
        <f t="shared" ca="1" si="296"/>
        <v>0.1</v>
      </c>
      <c r="B697" s="304">
        <f t="shared" ca="1" si="297"/>
        <v>33.300000000000161</v>
      </c>
      <c r="D697" s="306">
        <f t="shared" ca="1" si="298"/>
        <v>-0.85042304532746815</v>
      </c>
      <c r="E697" s="307">
        <f t="shared" ca="1" si="299"/>
        <v>-2.9857267189903167</v>
      </c>
      <c r="F697" s="304">
        <f t="shared" ca="1" si="300"/>
        <v>3.1044779587745066</v>
      </c>
      <c r="G697" s="306">
        <f t="shared" ca="1" si="301"/>
        <v>14.418993135358843</v>
      </c>
      <c r="H697" s="307">
        <f t="shared" ca="1" si="302"/>
        <v>-116.68711842345057</v>
      </c>
      <c r="I697" s="304">
        <f t="shared" ca="1" si="303"/>
        <v>117.5746187278781</v>
      </c>
      <c r="J697" s="306">
        <f t="shared" ca="1" si="304"/>
        <v>849.53848163224473</v>
      </c>
      <c r="K697" s="307">
        <f t="shared" ca="1" si="305"/>
        <v>210.9540029579872</v>
      </c>
      <c r="L697" s="304">
        <f t="shared" ca="1" si="290"/>
        <v>875.33834780501775</v>
      </c>
      <c r="M697" s="306">
        <f t="shared" ca="1" si="306"/>
        <v>-1.4478498669087738</v>
      </c>
      <c r="N697" s="304">
        <f t="shared" ca="1" si="307"/>
        <v>-82.955686742450695</v>
      </c>
      <c r="P697" s="310">
        <f t="shared" ca="1" si="308"/>
        <v>23</v>
      </c>
      <c r="Q697" s="304">
        <f t="shared" ca="1" si="309"/>
        <v>0</v>
      </c>
      <c r="R697" s="306">
        <f t="shared" ca="1" si="310"/>
        <v>0</v>
      </c>
      <c r="S697" s="307">
        <f t="shared" ca="1" si="311"/>
        <v>7.8079999999999892</v>
      </c>
      <c r="T697" s="304">
        <f t="shared" ca="1" si="291"/>
        <v>76.5964799999999</v>
      </c>
      <c r="U697" s="311">
        <f t="shared" ca="1" si="292"/>
        <v>0</v>
      </c>
      <c r="V697" s="306">
        <f t="shared" ca="1" si="293"/>
        <v>1.199427861882649</v>
      </c>
      <c r="W697" s="304">
        <f t="shared" ca="1" si="294"/>
        <v>54.021022001145887</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2.8576458191895222</v>
      </c>
      <c r="AH697" s="304">
        <f t="shared" ca="1" si="318"/>
        <v>-6.8770578861840859</v>
      </c>
    </row>
    <row r="698" spans="1:34" x14ac:dyDescent="0.2">
      <c r="A698" s="347">
        <f t="shared" ca="1" si="296"/>
        <v>0.1</v>
      </c>
      <c r="B698" s="304">
        <f t="shared" ca="1" si="297"/>
        <v>33.400000000000162</v>
      </c>
      <c r="D698" s="306">
        <f t="shared" ca="1" si="298"/>
        <v>-0.84848534868454184</v>
      </c>
      <c r="E698" s="307">
        <f t="shared" ca="1" si="299"/>
        <v>-2.9435489632957719</v>
      </c>
      <c r="F698" s="304">
        <f t="shared" ca="1" si="300"/>
        <v>3.0633980946412991</v>
      </c>
      <c r="G698" s="306">
        <f t="shared" ca="1" si="301"/>
        <v>14.334144600490388</v>
      </c>
      <c r="H698" s="307">
        <f t="shared" ca="1" si="302"/>
        <v>-116.98147331978015</v>
      </c>
      <c r="I698" s="304">
        <f t="shared" ca="1" si="303"/>
        <v>117.85640755382883</v>
      </c>
      <c r="J698" s="306">
        <f t="shared" ca="1" si="304"/>
        <v>850.97613851903714</v>
      </c>
      <c r="K698" s="307">
        <f t="shared" ca="1" si="305"/>
        <v>199.27057337082567</v>
      </c>
      <c r="L698" s="304">
        <f t="shared" ca="1" si="290"/>
        <v>873.99608107834729</v>
      </c>
      <c r="M698" s="306">
        <f t="shared" ca="1" si="306"/>
        <v>-1.4488706588664515</v>
      </c>
      <c r="N698" s="304">
        <f t="shared" ca="1" si="307"/>
        <v>-83.01417381338652</v>
      </c>
      <c r="P698" s="310">
        <f t="shared" ca="1" si="308"/>
        <v>23</v>
      </c>
      <c r="Q698" s="304">
        <f t="shared" ca="1" si="309"/>
        <v>0</v>
      </c>
      <c r="R698" s="306">
        <f t="shared" ca="1" si="310"/>
        <v>0</v>
      </c>
      <c r="S698" s="307">
        <f t="shared" ca="1" si="311"/>
        <v>7.8079999999999892</v>
      </c>
      <c r="T698" s="304">
        <f t="shared" ca="1" si="291"/>
        <v>76.5964799999999</v>
      </c>
      <c r="U698" s="311">
        <f t="shared" ca="1" si="292"/>
        <v>0</v>
      </c>
      <c r="V698" s="306">
        <f t="shared" ca="1" si="293"/>
        <v>1.2008301715408407</v>
      </c>
      <c r="W698" s="304">
        <f t="shared" ca="1" si="294"/>
        <v>54.343736308186116</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2.8172742181186736</v>
      </c>
      <c r="AH698" s="304">
        <f t="shared" ca="1" si="318"/>
        <v>-6.9186759735074235</v>
      </c>
    </row>
    <row r="699" spans="1:34" x14ac:dyDescent="0.2">
      <c r="A699" s="347">
        <f t="shared" ca="1" si="296"/>
        <v>0.1</v>
      </c>
      <c r="B699" s="304">
        <f t="shared" ca="1" si="297"/>
        <v>33.500000000000163</v>
      </c>
      <c r="D699" s="306">
        <f t="shared" ca="1" si="298"/>
        <v>-0.8465025522349191</v>
      </c>
      <c r="E699" s="307">
        <f t="shared" ca="1" si="299"/>
        <v>-2.901662007790323</v>
      </c>
      <c r="F699" s="304">
        <f t="shared" ca="1" si="300"/>
        <v>3.0226162472920706</v>
      </c>
      <c r="G699" s="306">
        <f t="shared" ca="1" si="301"/>
        <v>14.249494345266896</v>
      </c>
      <c r="H699" s="307">
        <f t="shared" ca="1" si="302"/>
        <v>-117.27163952055918</v>
      </c>
      <c r="I699" s="304">
        <f t="shared" ca="1" si="303"/>
        <v>118.13418440458194</v>
      </c>
      <c r="J699" s="306">
        <f t="shared" ca="1" si="304"/>
        <v>852.40532046632495</v>
      </c>
      <c r="K699" s="307">
        <f t="shared" ca="1" si="305"/>
        <v>187.55791772880872</v>
      </c>
      <c r="L699" s="304">
        <f t="shared" ca="1" si="290"/>
        <v>872.79596863302743</v>
      </c>
      <c r="M699" s="306">
        <f t="shared" ca="1" si="306"/>
        <v>-1.4498806372440902</v>
      </c>
      <c r="N699" s="304">
        <f t="shared" ca="1" si="307"/>
        <v>-83.072041311824691</v>
      </c>
      <c r="P699" s="310">
        <f t="shared" ca="1" si="308"/>
        <v>23</v>
      </c>
      <c r="Q699" s="304">
        <f t="shared" ca="1" si="309"/>
        <v>0</v>
      </c>
      <c r="R699" s="306">
        <f t="shared" ca="1" si="310"/>
        <v>0</v>
      </c>
      <c r="S699" s="307">
        <f t="shared" ca="1" si="311"/>
        <v>7.8079999999999892</v>
      </c>
      <c r="T699" s="304">
        <f t="shared" ca="1" si="291"/>
        <v>76.5964799999999</v>
      </c>
      <c r="U699" s="311">
        <f t="shared" ca="1" si="292"/>
        <v>0</v>
      </c>
      <c r="V699" s="306">
        <f t="shared" ca="1" si="293"/>
        <v>1.2022376183237087</v>
      </c>
      <c r="W699" s="304">
        <f t="shared" ca="1" si="294"/>
        <v>54.664199488946075</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2.7771659899732839</v>
      </c>
      <c r="AH699" s="304">
        <f t="shared" ca="1" si="318"/>
        <v>-6.9600072116017149</v>
      </c>
    </row>
    <row r="700" spans="1:34" x14ac:dyDescent="0.2">
      <c r="A700" s="347">
        <f t="shared" ca="1" si="296"/>
        <v>0.1</v>
      </c>
      <c r="B700" s="304">
        <f t="shared" ca="1" si="297"/>
        <v>33.600000000000165</v>
      </c>
      <c r="D700" s="306">
        <f t="shared" ca="1" si="298"/>
        <v>-0.84447549941669042</v>
      </c>
      <c r="E700" s="307">
        <f t="shared" ca="1" si="299"/>
        <v>-2.8600673250603377</v>
      </c>
      <c r="F700" s="304">
        <f t="shared" ca="1" si="300"/>
        <v>2.9821341306173443</v>
      </c>
      <c r="G700" s="306">
        <f t="shared" ca="1" si="301"/>
        <v>14.165046795325226</v>
      </c>
      <c r="H700" s="307">
        <f t="shared" ca="1" si="302"/>
        <v>-117.55764625306522</v>
      </c>
      <c r="I700" s="304">
        <f t="shared" ca="1" si="303"/>
        <v>118.40797584316088</v>
      </c>
      <c r="J700" s="306">
        <f t="shared" ca="1" si="304"/>
        <v>853.82604752335453</v>
      </c>
      <c r="K700" s="307">
        <f t="shared" ca="1" si="305"/>
        <v>175.8164534401275</v>
      </c>
      <c r="L700" s="304">
        <f t="shared" ca="1" si="290"/>
        <v>871.73983775528939</v>
      </c>
      <c r="M700" s="306">
        <f t="shared" ca="1" si="306"/>
        <v>-1.4508799742934069</v>
      </c>
      <c r="N700" s="304">
        <f t="shared" ca="1" si="307"/>
        <v>-83.129299107061584</v>
      </c>
      <c r="P700" s="310">
        <f t="shared" ca="1" si="308"/>
        <v>23</v>
      </c>
      <c r="Q700" s="304">
        <f t="shared" ca="1" si="309"/>
        <v>0</v>
      </c>
      <c r="R700" s="306">
        <f t="shared" ca="1" si="310"/>
        <v>0</v>
      </c>
      <c r="S700" s="307">
        <f t="shared" ca="1" si="311"/>
        <v>7.8079999999999892</v>
      </c>
      <c r="T700" s="304">
        <f t="shared" ca="1" si="291"/>
        <v>76.5964799999999</v>
      </c>
      <c r="U700" s="311">
        <f t="shared" ca="1" si="292"/>
        <v>0</v>
      </c>
      <c r="V700" s="306">
        <f t="shared" ca="1" si="293"/>
        <v>1.2036501670491326</v>
      </c>
      <c r="W700" s="304">
        <f t="shared" ca="1" si="294"/>
        <v>54.98240081909811</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2.7373231306856951</v>
      </c>
      <c r="AH700" s="304">
        <f t="shared" ca="1" si="318"/>
        <v>-7.0010501394654394</v>
      </c>
    </row>
    <row r="701" spans="1:34" x14ac:dyDescent="0.2">
      <c r="A701" s="347">
        <f t="shared" ca="1" si="296"/>
        <v>0.1</v>
      </c>
      <c r="B701" s="304">
        <f t="shared" ca="1" si="297"/>
        <v>33.700000000000166</v>
      </c>
      <c r="D701" s="306">
        <f t="shared" ca="1" si="298"/>
        <v>-0.84240503008178824</v>
      </c>
      <c r="E701" s="307">
        <f t="shared" ca="1" si="299"/>
        <v>-2.8187662992514682</v>
      </c>
      <c r="F701" s="304">
        <f t="shared" ca="1" si="300"/>
        <v>2.9419533790498646</v>
      </c>
      <c r="G701" s="306">
        <f t="shared" ca="1" si="301"/>
        <v>14.080806292317048</v>
      </c>
      <c r="H701" s="307">
        <f t="shared" ca="1" si="302"/>
        <v>-117.83952288299037</v>
      </c>
      <c r="I701" s="304">
        <f t="shared" ca="1" si="303"/>
        <v>118.67780862121008</v>
      </c>
      <c r="J701" s="306">
        <f t="shared" ca="1" si="304"/>
        <v>855.23834017773663</v>
      </c>
      <c r="K701" s="307">
        <f t="shared" ca="1" si="305"/>
        <v>164.04659498332472</v>
      </c>
      <c r="L701" s="304">
        <f t="shared" ca="1" si="290"/>
        <v>870.82943441043199</v>
      </c>
      <c r="M701" s="306">
        <f t="shared" ca="1" si="306"/>
        <v>-1.451868838406619</v>
      </c>
      <c r="N701" s="304">
        <f t="shared" ca="1" si="307"/>
        <v>-83.185956847260584</v>
      </c>
      <c r="P701" s="310">
        <f t="shared" ca="1" si="308"/>
        <v>23</v>
      </c>
      <c r="Q701" s="304">
        <f t="shared" ca="1" si="309"/>
        <v>0</v>
      </c>
      <c r="R701" s="306">
        <f t="shared" ca="1" si="310"/>
        <v>0</v>
      </c>
      <c r="S701" s="307">
        <f t="shared" ca="1" si="311"/>
        <v>7.8079999999999892</v>
      </c>
      <c r="T701" s="304">
        <f t="shared" ca="1" si="291"/>
        <v>76.5964799999999</v>
      </c>
      <c r="U701" s="311">
        <f t="shared" ca="1" si="292"/>
        <v>0</v>
      </c>
      <c r="V701" s="306">
        <f t="shared" ca="1" si="293"/>
        <v>1.2050677827331975</v>
      </c>
      <c r="W701" s="304">
        <f t="shared" ca="1" si="294"/>
        <v>55.298330247566199</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2.6977475337375285</v>
      </c>
      <c r="AH701" s="304">
        <f t="shared" ca="1" si="318"/>
        <v>-7.0418033835935177</v>
      </c>
    </row>
    <row r="702" spans="1:34" x14ac:dyDescent="0.2">
      <c r="A702" s="347">
        <f t="shared" ca="1" si="296"/>
        <v>0.1</v>
      </c>
      <c r="B702" s="304">
        <f t="shared" ca="1" si="297"/>
        <v>33.800000000000168</v>
      </c>
      <c r="D702" s="306">
        <f t="shared" ca="1" si="298"/>
        <v>-0.84029198029019403</v>
      </c>
      <c r="E702" s="307">
        <f t="shared" ca="1" si="299"/>
        <v>-2.7777602273509032</v>
      </c>
      <c r="F702" s="304">
        <f t="shared" ca="1" si="300"/>
        <v>2.9020755491186923</v>
      </c>
      <c r="G702" s="306">
        <f t="shared" ca="1" si="301"/>
        <v>13.996777094288028</v>
      </c>
      <c r="H702" s="307">
        <f t="shared" ca="1" si="302"/>
        <v>-118.11729890572546</v>
      </c>
      <c r="I702" s="304">
        <f t="shared" ca="1" si="303"/>
        <v>118.94370966895089</v>
      </c>
      <c r="J702" s="306">
        <f t="shared" ca="1" si="304"/>
        <v>856.64221934706688</v>
      </c>
      <c r="K702" s="307">
        <f t="shared" ca="1" si="305"/>
        <v>152.24875389388893</v>
      </c>
      <c r="L702" s="304">
        <f t="shared" ca="1" si="290"/>
        <v>870.06641989569403</v>
      </c>
      <c r="M702" s="306">
        <f t="shared" ca="1" si="306"/>
        <v>-1.4528473942234343</v>
      </c>
      <c r="N702" s="304">
        <f t="shared" ca="1" si="307"/>
        <v>-83.242023965582092</v>
      </c>
      <c r="P702" s="310">
        <f t="shared" ca="1" si="308"/>
        <v>23</v>
      </c>
      <c r="Q702" s="304">
        <f t="shared" ca="1" si="309"/>
        <v>0</v>
      </c>
      <c r="R702" s="306">
        <f t="shared" ca="1" si="310"/>
        <v>0</v>
      </c>
      <c r="S702" s="307">
        <f t="shared" ca="1" si="311"/>
        <v>7.8079999999999892</v>
      </c>
      <c r="T702" s="304">
        <f t="shared" ca="1" si="291"/>
        <v>76.5964799999999</v>
      </c>
      <c r="U702" s="311">
        <f t="shared" ca="1" si="292"/>
        <v>0</v>
      </c>
      <c r="V702" s="306">
        <f t="shared" ca="1" si="293"/>
        <v>1.2064904305918738</v>
      </c>
      <c r="W702" s="304">
        <f t="shared" ca="1" si="294"/>
        <v>55.611978386535718</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2.6584409919289493</v>
      </c>
      <c r="AH702" s="304">
        <f t="shared" ca="1" si="318"/>
        <v>-7.0822656567067463</v>
      </c>
    </row>
    <row r="703" spans="1:34" x14ac:dyDescent="0.2">
      <c r="A703" s="347">
        <f t="shared" ca="1" si="296"/>
        <v>0.1</v>
      </c>
      <c r="B703" s="304">
        <f t="shared" ca="1" si="297"/>
        <v>33.900000000000169</v>
      </c>
      <c r="D703" s="306">
        <f t="shared" ca="1" si="298"/>
        <v>-0.83813718211071575</v>
      </c>
      <c r="E703" s="307">
        <f t="shared" ca="1" si="299"/>
        <v>-2.7370503204788186</v>
      </c>
      <c r="F703" s="304">
        <f t="shared" ca="1" si="300"/>
        <v>2.8625021210244883</v>
      </c>
      <c r="G703" s="306">
        <f t="shared" ca="1" si="301"/>
        <v>13.912963376076956</v>
      </c>
      <c r="H703" s="307">
        <f t="shared" ca="1" si="302"/>
        <v>-118.39100393777335</v>
      </c>
      <c r="I703" s="304">
        <f t="shared" ca="1" si="303"/>
        <v>119.20570608531256</v>
      </c>
      <c r="J703" s="306">
        <f t="shared" ca="1" si="304"/>
        <v>858.03770637058517</v>
      </c>
      <c r="K703" s="307">
        <f t="shared" ca="1" si="305"/>
        <v>140.423338751714</v>
      </c>
      <c r="L703" s="304">
        <f t="shared" ca="1" si="290"/>
        <v>869.45236765441791</v>
      </c>
      <c r="M703" s="306">
        <f t="shared" ca="1" si="306"/>
        <v>-1.4538158027345587</v>
      </c>
      <c r="N703" s="304">
        <f t="shared" ca="1" si="307"/>
        <v>-83.297509686114054</v>
      </c>
      <c r="P703" s="310">
        <f t="shared" ca="1" si="308"/>
        <v>23</v>
      </c>
      <c r="Q703" s="304">
        <f t="shared" ca="1" si="309"/>
        <v>0</v>
      </c>
      <c r="R703" s="306">
        <f t="shared" ca="1" si="310"/>
        <v>0</v>
      </c>
      <c r="S703" s="307">
        <f t="shared" ca="1" si="311"/>
        <v>7.8079999999999892</v>
      </c>
      <c r="T703" s="304">
        <f t="shared" ca="1" si="291"/>
        <v>76.5964799999999</v>
      </c>
      <c r="U703" s="311">
        <f t="shared" ca="1" si="292"/>
        <v>0</v>
      </c>
      <c r="V703" s="306">
        <f t="shared" ca="1" si="293"/>
        <v>1.2079180760426351</v>
      </c>
      <c r="W703" s="304">
        <f t="shared" ca="1" si="294"/>
        <v>55.923336501401181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2.6194051991376561</v>
      </c>
      <c r="AH703" s="304">
        <f t="shared" ca="1" si="318"/>
        <v>-7.12243575647231</v>
      </c>
    </row>
    <row r="704" spans="1:34" x14ac:dyDescent="0.2">
      <c r="A704" s="347">
        <f t="shared" ca="1" si="296"/>
        <v>0.1</v>
      </c>
      <c r="B704" s="304">
        <f t="shared" ca="1" si="297"/>
        <v>34.000000000000171</v>
      </c>
      <c r="D704" s="306">
        <f t="shared" ca="1" si="298"/>
        <v>-0.83594146342828213</v>
      </c>
      <c r="E704" s="307">
        <f t="shared" ca="1" si="299"/>
        <v>-2.6966377051880199</v>
      </c>
      <c r="F704" s="304">
        <f t="shared" ca="1" si="300"/>
        <v>2.8232345002355594</v>
      </c>
      <c r="G704" s="306">
        <f t="shared" ca="1" si="301"/>
        <v>13.829369229734128</v>
      </c>
      <c r="H704" s="307">
        <f t="shared" ca="1" si="302"/>
        <v>-118.66066770829215</v>
      </c>
      <c r="I704" s="304">
        <f t="shared" ca="1" si="303"/>
        <v>119.46382512823723</v>
      </c>
      <c r="J704" s="306">
        <f t="shared" ca="1" si="304"/>
        <v>859.42482300087568</v>
      </c>
      <c r="K704" s="307">
        <f t="shared" ca="1" si="305"/>
        <v>128.57075516941072</v>
      </c>
      <c r="L704" s="304">
        <f t="shared" ca="1" si="290"/>
        <v>868.98876026961307</v>
      </c>
      <c r="M704" s="306">
        <f t="shared" ca="1" si="306"/>
        <v>-1.454774221381854</v>
      </c>
      <c r="N704" s="304">
        <f t="shared" ca="1" si="307"/>
        <v>-83.352423029610719</v>
      </c>
      <c r="P704" s="310">
        <f t="shared" ca="1" si="308"/>
        <v>23</v>
      </c>
      <c r="Q704" s="304">
        <f t="shared" ca="1" si="309"/>
        <v>0</v>
      </c>
      <c r="R704" s="306">
        <f t="shared" ca="1" si="310"/>
        <v>0</v>
      </c>
      <c r="S704" s="307">
        <f t="shared" ca="1" si="311"/>
        <v>7.8079999999999892</v>
      </c>
      <c r="T704" s="304">
        <f t="shared" ca="1" si="291"/>
        <v>76.5964799999999</v>
      </c>
      <c r="U704" s="311">
        <f t="shared" ca="1" si="292"/>
        <v>0</v>
      </c>
      <c r="V704" s="306">
        <f t="shared" ca="1" si="293"/>
        <v>1.2093506847060089</v>
      </c>
      <c r="W704" s="304">
        <f t="shared" ca="1" si="294"/>
        <v>56.232396500658716</v>
      </c>
      <c r="Y704" s="314" t="str">
        <f t="shared" ca="1" si="312"/>
        <v/>
      </c>
      <c r="Z704" s="315" t="str">
        <f t="shared" ca="1" si="313"/>
        <v/>
      </c>
      <c r="AA704" s="316" t="str">
        <f t="shared" ca="1" si="314"/>
        <v/>
      </c>
      <c r="AC704" s="310">
        <f t="shared" ca="1" si="315"/>
        <v>34.000000000000171</v>
      </c>
      <c r="AD704" s="323">
        <f t="shared" ca="1" si="316"/>
        <v>859.42482300087568</v>
      </c>
      <c r="AE704" s="324" t="e">
        <f t="shared" ca="1" si="295"/>
        <v>#N/A</v>
      </c>
      <c r="AG704" s="306">
        <f t="shared" ca="1" si="317"/>
        <v>2.5806417520674714</v>
      </c>
      <c r="AH704" s="304">
        <f t="shared" ca="1" si="318"/>
        <v>-7.1623125642163501</v>
      </c>
    </row>
    <row r="705" spans="1:34" x14ac:dyDescent="0.2">
      <c r="A705" s="347">
        <f t="shared" ca="1" si="296"/>
        <v>0.1</v>
      </c>
      <c r="B705" s="304">
        <f t="shared" ca="1" si="297"/>
        <v>34.100000000000172</v>
      </c>
      <c r="D705" s="306">
        <f t="shared" ca="1" si="298"/>
        <v>-0.8337056477576531</v>
      </c>
      <c r="E705" s="307">
        <f t="shared" ca="1" si="299"/>
        <v>-2.6565234247708958</v>
      </c>
      <c r="F705" s="304">
        <f t="shared" ca="1" si="300"/>
        <v>2.7842740191043513</v>
      </c>
      <c r="G705" s="306">
        <f t="shared" ca="1" si="301"/>
        <v>13.745998664958362</v>
      </c>
      <c r="H705" s="307">
        <f t="shared" ca="1" si="302"/>
        <v>-118.92632005076925</v>
      </c>
      <c r="I705" s="304">
        <f t="shared" ca="1" si="303"/>
        <v>119.7180942051578</v>
      </c>
      <c r="J705" s="306">
        <f t="shared" ca="1" si="304"/>
        <v>860.80359139561028</v>
      </c>
      <c r="K705" s="307">
        <f t="shared" ca="1" si="305"/>
        <v>116.69140578145765</v>
      </c>
      <c r="L705" s="304">
        <f t="shared" ca="1" si="290"/>
        <v>868.67698665432226</v>
      </c>
      <c r="M705" s="306">
        <f t="shared" ca="1" si="306"/>
        <v>-1.4557228041552703</v>
      </c>
      <c r="N705" s="304">
        <f t="shared" ca="1" si="307"/>
        <v>-83.406772819046282</v>
      </c>
      <c r="P705" s="310">
        <f t="shared" ca="1" si="308"/>
        <v>23</v>
      </c>
      <c r="Q705" s="304">
        <f t="shared" ca="1" si="309"/>
        <v>0</v>
      </c>
      <c r="R705" s="306">
        <f t="shared" ca="1" si="310"/>
        <v>0</v>
      </c>
      <c r="S705" s="307">
        <f t="shared" ca="1" si="311"/>
        <v>7.8079999999999892</v>
      </c>
      <c r="T705" s="304">
        <f t="shared" ca="1" si="291"/>
        <v>76.5964799999999</v>
      </c>
      <c r="U705" s="311">
        <f t="shared" ca="1" si="292"/>
        <v>0</v>
      </c>
      <c r="V705" s="306">
        <f t="shared" ca="1" si="293"/>
        <v>1.2107882224070701</v>
      </c>
      <c r="W705" s="304">
        <f t="shared" ca="1" si="294"/>
        <v>56.539150925750668</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2.542152151986425</v>
      </c>
      <c r="AH705" s="304">
        <f t="shared" ca="1" si="318"/>
        <v>-7.201895043629456</v>
      </c>
    </row>
    <row r="706" spans="1:34" x14ac:dyDescent="0.2">
      <c r="A706" s="347">
        <f t="shared" ca="1" si="296"/>
        <v>0.1</v>
      </c>
      <c r="B706" s="304">
        <f t="shared" ca="1" si="297"/>
        <v>34.200000000000173</v>
      </c>
      <c r="D706" s="306">
        <f t="shared" ca="1" si="298"/>
        <v>-0.83143055406349664</v>
      </c>
      <c r="E706" s="307">
        <f t="shared" ca="1" si="299"/>
        <v>-2.6167084405727099</v>
      </c>
      <c r="F706" s="304">
        <f t="shared" ca="1" si="300"/>
        <v>2.7456219385040606</v>
      </c>
      <c r="G706" s="306">
        <f t="shared" ca="1" si="301"/>
        <v>13.662855609552013</v>
      </c>
      <c r="H706" s="307">
        <f t="shared" ca="1" si="302"/>
        <v>-119.18799089482653</v>
      </c>
      <c r="I706" s="304">
        <f t="shared" ca="1" si="303"/>
        <v>119.96854086364775</v>
      </c>
      <c r="J706" s="306">
        <f t="shared" ca="1" si="304"/>
        <v>862.17403410933582</v>
      </c>
      <c r="K706" s="307">
        <f t="shared" ca="1" si="305"/>
        <v>104.78569023417785</v>
      </c>
      <c r="L706" s="304">
        <f t="shared" ca="1" si="290"/>
        <v>868.51833945531587</v>
      </c>
      <c r="M706" s="306">
        <f t="shared" ca="1" si="306"/>
        <v>-1.4566617016866696</v>
      </c>
      <c r="N706" s="304">
        <f t="shared" ca="1" si="307"/>
        <v>-83.460567684990721</v>
      </c>
      <c r="P706" s="310">
        <f t="shared" ca="1" si="308"/>
        <v>23</v>
      </c>
      <c r="Q706" s="304">
        <f t="shared" ca="1" si="309"/>
        <v>0</v>
      </c>
      <c r="R706" s="306">
        <f t="shared" ca="1" si="310"/>
        <v>0</v>
      </c>
      <c r="S706" s="307">
        <f t="shared" ca="1" si="311"/>
        <v>7.8079999999999892</v>
      </c>
      <c r="T706" s="304">
        <f t="shared" ca="1" si="291"/>
        <v>76.5964799999999</v>
      </c>
      <c r="U706" s="311">
        <f t="shared" ca="1" si="292"/>
        <v>0</v>
      </c>
      <c r="V706" s="306">
        <f t="shared" ca="1" si="293"/>
        <v>1.21223065517687</v>
      </c>
      <c r="W706" s="304">
        <f t="shared" ca="1" si="294"/>
        <v>56.843592940868902</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2.5039378064541733</v>
      </c>
      <c r="AH706" s="304">
        <f t="shared" ca="1" si="318"/>
        <v>-7.2411822394660277</v>
      </c>
    </row>
    <row r="707" spans="1:34" x14ac:dyDescent="0.2">
      <c r="A707" s="347">
        <f t="shared" ca="1" si="296"/>
        <v>0.1</v>
      </c>
      <c r="B707" s="304">
        <f t="shared" ca="1" si="297"/>
        <v>34.300000000000175</v>
      </c>
      <c r="D707" s="306">
        <f t="shared" ca="1" si="298"/>
        <v>-0.82911699658676008</v>
      </c>
      <c r="E707" s="307">
        <f t="shared" ca="1" si="299"/>
        <v>-2.5771936333103822</v>
      </c>
      <c r="F707" s="304">
        <f t="shared" ca="1" si="300"/>
        <v>2.7072794494851502</v>
      </c>
      <c r="G707" s="306">
        <f t="shared" ca="1" si="301"/>
        <v>13.579943909893338</v>
      </c>
      <c r="H707" s="307">
        <f t="shared" ca="1" si="302"/>
        <v>-119.44571025815756</v>
      </c>
      <c r="I707" s="304">
        <f t="shared" ca="1" si="303"/>
        <v>120.21519278224186</v>
      </c>
      <c r="J707" s="306">
        <f t="shared" ca="1" si="304"/>
        <v>863.53617408530806</v>
      </c>
      <c r="K707" s="307">
        <f t="shared" ca="1" si="305"/>
        <v>92.854005176528645</v>
      </c>
      <c r="L707" s="304">
        <f t="shared" ca="1" si="290"/>
        <v>868.51401268558368</v>
      </c>
      <c r="M707" s="306">
        <f t="shared" ca="1" si="306"/>
        <v>-1.4575910613406586</v>
      </c>
      <c r="N707" s="304">
        <f t="shared" ca="1" si="307"/>
        <v>-83.51381607081403</v>
      </c>
      <c r="P707" s="310">
        <f t="shared" ca="1" si="308"/>
        <v>23</v>
      </c>
      <c r="Q707" s="304">
        <f t="shared" ca="1" si="309"/>
        <v>0</v>
      </c>
      <c r="R707" s="306">
        <f t="shared" ca="1" si="310"/>
        <v>0</v>
      </c>
      <c r="S707" s="307">
        <f t="shared" ca="1" si="311"/>
        <v>7.8079999999999892</v>
      </c>
      <c r="T707" s="304">
        <f t="shared" ca="1" si="291"/>
        <v>76.5964799999999</v>
      </c>
      <c r="U707" s="311">
        <f t="shared" ca="1" si="292"/>
        <v>0</v>
      </c>
      <c r="V707" s="306">
        <f t="shared" ca="1" si="293"/>
        <v>1.213677949253805</v>
      </c>
      <c r="W707" s="304">
        <f t="shared" ca="1" si="294"/>
        <v>57.145716322723722</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2.4660000310386136</v>
      </c>
      <c r="AH707" s="304">
        <f t="shared" ca="1" si="318"/>
        <v>-7.2801732762383429</v>
      </c>
    </row>
    <row r="708" spans="1:34" x14ac:dyDescent="0.2">
      <c r="A708" s="347">
        <f t="shared" ca="1" si="296"/>
        <v>0.1</v>
      </c>
      <c r="B708" s="304">
        <f t="shared" ca="1" si="297"/>
        <v>34.400000000000176</v>
      </c>
      <c r="D708" s="306">
        <f t="shared" ca="1" si="298"/>
        <v>-0.82676578467723927</v>
      </c>
      <c r="E708" s="307">
        <f t="shared" ca="1" si="299"/>
        <v>-2.5379798043958566</v>
      </c>
      <c r="F708" s="304">
        <f t="shared" ca="1" si="300"/>
        <v>2.6692476749515399</v>
      </c>
      <c r="G708" s="306">
        <f t="shared" ca="1" si="301"/>
        <v>13.497267331425613</v>
      </c>
      <c r="H708" s="307">
        <f t="shared" ca="1" si="302"/>
        <v>-119.69950823859715</v>
      </c>
      <c r="I708" s="304">
        <f t="shared" ca="1" si="303"/>
        <v>120.45807776142685</v>
      </c>
      <c r="J708" s="306">
        <f t="shared" ca="1" si="304"/>
        <v>864.89003464737402</v>
      </c>
      <c r="K708" s="307">
        <f t="shared" ca="1" si="305"/>
        <v>80.896744251690905</v>
      </c>
      <c r="L708" s="304">
        <f t="shared" ref="L708:L771" ca="1" si="319">SQRT(pos_x^2+pos_z^2)</f>
        <v>868.66509959987422</v>
      </c>
      <c r="M708" s="306">
        <f t="shared" ca="1" si="306"/>
        <v>-1.458511027302539</v>
      </c>
      <c r="N708" s="304">
        <f t="shared" ca="1" si="307"/>
        <v>-83.566526237725469</v>
      </c>
      <c r="P708" s="310">
        <f t="shared" ca="1" si="308"/>
        <v>23</v>
      </c>
      <c r="Q708" s="304">
        <f t="shared" ca="1" si="309"/>
        <v>0</v>
      </c>
      <c r="R708" s="306">
        <f t="shared" ca="1" si="310"/>
        <v>0</v>
      </c>
      <c r="S708" s="307">
        <f t="shared" ca="1" si="311"/>
        <v>7.8079999999999892</v>
      </c>
      <c r="T708" s="304">
        <f t="shared" ref="T708:T771" ca="1" si="320">m*g</f>
        <v>76.5964799999999</v>
      </c>
      <c r="U708" s="311">
        <f t="shared" ref="U708:U771" ca="1" si="321">IF(pos_xz&lt;L_rampe,Poids*COS(Beta),0)</f>
        <v>0</v>
      </c>
      <c r="V708" s="306">
        <f t="shared" ref="V708:V771" ca="1" si="322">Rho_moyen*(20000-Alt_rampe-pos_z)/(20000+Alt_rampe+pos_z)</f>
        <v>1.2151300710849291</v>
      </c>
      <c r="W708" s="304">
        <f t="shared" ref="W708:W771" ca="1" si="323">1/2*Rho*Sref*Cx*vit_xz^2</f>
        <v>57.445515450284816</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2.4283400510214861</v>
      </c>
      <c r="AH708" s="304">
        <f t="shared" ca="1" si="318"/>
        <v>-7.3188673569062246</v>
      </c>
    </row>
    <row r="709" spans="1:34" x14ac:dyDescent="0.2">
      <c r="A709" s="347">
        <f t="shared" ref="A709:A772" ca="1" si="325">IF(B708+0.01&lt;=T_ini+ROUNDUP(Temps_fin_propu,0), 0.01, IF(K708&gt;0, 0.1, 0.0001))</f>
        <v>0.1</v>
      </c>
      <c r="B709" s="304">
        <f t="shared" ref="B709:B772" ca="1" si="326">B708+pas</f>
        <v>34.500000000000178</v>
      </c>
      <c r="D709" s="306">
        <f t="shared" ref="D709:D772" ca="1" si="327">IF(AND(L708&lt;L_rampe,Poussee&lt;Poids*SIN(M708)),0,(-W708+Poussee)/m*COS(M708)-U708/m*SIN(M708))</f>
        <v>-0.82437772263228304</v>
      </c>
      <c r="E709" s="307">
        <f t="shared" ref="E709:E772" ca="1" si="328">IF(AND(L708&lt;L_rampe,Poussee&lt;Poids*SIN(M708)),0,(-W708+Poussee)/m*SIN(M708)+U708/m*COS(M708)-Poids/m)</f>
        <v>-2.4990676772632066</v>
      </c>
      <c r="F709" s="304">
        <f t="shared" ref="F709:F772" ca="1" si="329">SQRT(acc_x^2+acc_z^2)</f>
        <v>2.6315276713563374</v>
      </c>
      <c r="G709" s="306">
        <f t="shared" ref="G709:G772" ca="1" si="330">G708+acc_x*pas</f>
        <v>13.414829559162385</v>
      </c>
      <c r="H709" s="307">
        <f t="shared" ref="H709:H772" ca="1" si="331">H708+acc_z*pas</f>
        <v>-119.94941500632346</v>
      </c>
      <c r="I709" s="304">
        <f t="shared" ref="I709:I772" ca="1" si="332">SQRT(vit_x^2+vit_z^2)</f>
        <v>120.69722371480047</v>
      </c>
      <c r="J709" s="306">
        <f t="shared" ref="J709:J772" ca="1" si="333">J708+0.5*(vit_x+G708)*pas*(K708&gt;=0)</f>
        <v>866.23563949190338</v>
      </c>
      <c r="K709" s="307">
        <f t="shared" ref="K709:K772" ca="1" si="334">K708+0.5*(vit_z+H708)*pas</f>
        <v>68.91429808944487</v>
      </c>
      <c r="L709" s="304">
        <f t="shared" ca="1" si="319"/>
        <v>868.97259082614778</v>
      </c>
      <c r="M709" s="306">
        <f t="shared" ref="M709:M772" ca="1" si="335">IF(AND(L708&gt;L_rampe,G709&gt;0),ATAN2(G709,H709),$M$4)</f>
        <v>-1.4594217406634791</v>
      </c>
      <c r="N709" s="304">
        <f t="shared" ref="N709:N772" ca="1" si="336">DEGREES(Beta)</f>
        <v>-83.618706269653501</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7.8079999999999892</v>
      </c>
      <c r="T709" s="304">
        <f t="shared" ca="1" si="320"/>
        <v>76.5964799999999</v>
      </c>
      <c r="U709" s="311">
        <f t="shared" ca="1" si="321"/>
        <v>0</v>
      </c>
      <c r="V709" s="306">
        <f t="shared" ca="1" si="322"/>
        <v>1.2165869873272011</v>
      </c>
      <c r="W709" s="304">
        <f t="shared" ca="1" si="323"/>
        <v>57.742985294500414</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2.3909590030928261</v>
      </c>
      <c r="AH709" s="304">
        <f t="shared" ref="AH709:AH772" ca="1" si="347">IF(AND(L708&lt;L_rampe,Poussee&lt;Poids*SIN(M708)), g*SIN(M708), (-W708+Poussee)/m)</f>
        <v>-7.3572637615631269</v>
      </c>
    </row>
    <row r="710" spans="1:34" x14ac:dyDescent="0.2">
      <c r="A710" s="347">
        <f t="shared" ca="1" si="325"/>
        <v>0.1</v>
      </c>
      <c r="B710" s="304">
        <f t="shared" ca="1" si="326"/>
        <v>34.600000000000179</v>
      </c>
      <c r="D710" s="306">
        <f t="shared" ca="1" si="327"/>
        <v>-0.82195360954155405</v>
      </c>
      <c r="E710" s="307">
        <f t="shared" ca="1" si="328"/>
        <v>-2.4604578986986843</v>
      </c>
      <c r="F710" s="304">
        <f t="shared" ca="1" si="329"/>
        <v>2.5941204304170489</v>
      </c>
      <c r="G710" s="306">
        <f t="shared" ca="1" si="330"/>
        <v>13.332634198208229</v>
      </c>
      <c r="H710" s="307">
        <f t="shared" ca="1" si="331"/>
        <v>-120.19546079619333</v>
      </c>
      <c r="I710" s="304">
        <f t="shared" ca="1" si="332"/>
        <v>120.93265866039859</v>
      </c>
      <c r="J710" s="306">
        <f t="shared" ca="1" si="333"/>
        <v>867.57301267977186</v>
      </c>
      <c r="K710" s="307">
        <f t="shared" ca="1" si="334"/>
        <v>56.907054299319029</v>
      </c>
      <c r="L710" s="304">
        <f t="shared" ca="1" si="319"/>
        <v>869.4373727642959</v>
      </c>
      <c r="M710" s="306">
        <f t="shared" ca="1" si="335"/>
        <v>-1.4603233395030097</v>
      </c>
      <c r="N710" s="304">
        <f t="shared" ca="1" si="336"/>
        <v>-83.670364077972508</v>
      </c>
      <c r="P710" s="310">
        <f t="shared" ca="1" si="337"/>
        <v>23</v>
      </c>
      <c r="Q710" s="304">
        <f t="shared" ca="1" si="338"/>
        <v>0</v>
      </c>
      <c r="R710" s="306">
        <f t="shared" ca="1" si="339"/>
        <v>0</v>
      </c>
      <c r="S710" s="307">
        <f t="shared" ca="1" si="340"/>
        <v>7.8079999999999892</v>
      </c>
      <c r="T710" s="304">
        <f t="shared" ca="1" si="320"/>
        <v>76.5964799999999</v>
      </c>
      <c r="U710" s="311">
        <f t="shared" ca="1" si="321"/>
        <v>0</v>
      </c>
      <c r="V710" s="306">
        <f t="shared" ca="1" si="322"/>
        <v>1.2180486648486792</v>
      </c>
      <c r="W710" s="304">
        <f t="shared" ca="1" si="323"/>
        <v>58.038121408001395</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2.3538579370340447</v>
      </c>
      <c r="AH710" s="304">
        <f t="shared" ca="1" si="347"/>
        <v>-7.3953618461194282</v>
      </c>
    </row>
    <row r="711" spans="1:34" x14ac:dyDescent="0.2">
      <c r="A711" s="347">
        <f t="shared" ca="1" si="325"/>
        <v>0.1</v>
      </c>
      <c r="B711" s="304">
        <f t="shared" ca="1" si="326"/>
        <v>34.70000000000018</v>
      </c>
      <c r="D711" s="306">
        <f t="shared" ca="1" si="327"/>
        <v>-0.81949423913775898</v>
      </c>
      <c r="E711" s="307">
        <f t="shared" ca="1" si="328"/>
        <v>-2.4221510401728352</v>
      </c>
      <c r="F711" s="304">
        <f t="shared" ca="1" si="329"/>
        <v>2.5570268808501648</v>
      </c>
      <c r="G711" s="306">
        <f t="shared" ca="1" si="330"/>
        <v>13.250684774294452</v>
      </c>
      <c r="H711" s="307">
        <f t="shared" ca="1" si="331"/>
        <v>-120.43767590021062</v>
      </c>
      <c r="I711" s="304">
        <f t="shared" ca="1" si="332"/>
        <v>121.16441071218847</v>
      </c>
      <c r="J711" s="306">
        <f t="shared" ca="1" si="333"/>
        <v>868.902178628397</v>
      </c>
      <c r="K711" s="307">
        <f t="shared" ca="1" si="334"/>
        <v>44.875397464498832</v>
      </c>
      <c r="L711" s="304">
        <f t="shared" ca="1" si="319"/>
        <v>870.06022626182119</v>
      </c>
      <c r="M711" s="306">
        <f t="shared" ca="1" si="335"/>
        <v>-1.4612159589689393</v>
      </c>
      <c r="N711" s="304">
        <f t="shared" ca="1" si="336"/>
        <v>-83.721507406081486</v>
      </c>
      <c r="P711" s="310">
        <f t="shared" ca="1" si="337"/>
        <v>23</v>
      </c>
      <c r="Q711" s="304">
        <f t="shared" ca="1" si="338"/>
        <v>0</v>
      </c>
      <c r="R711" s="306">
        <f t="shared" ca="1" si="339"/>
        <v>0</v>
      </c>
      <c r="S711" s="307">
        <f t="shared" ca="1" si="340"/>
        <v>7.8079999999999892</v>
      </c>
      <c r="T711" s="304">
        <f t="shared" ca="1" si="320"/>
        <v>76.5964799999999</v>
      </c>
      <c r="U711" s="311">
        <f t="shared" ca="1" si="321"/>
        <v>0</v>
      </c>
      <c r="V711" s="306">
        <f t="shared" ca="1" si="322"/>
        <v>1.2195150707296523</v>
      </c>
      <c r="W711" s="304">
        <f t="shared" ca="1" si="323"/>
        <v>58.330919914795572</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2.3170378173894255</v>
      </c>
      <c r="AH711" s="304">
        <f t="shared" ca="1" si="347"/>
        <v>-7.4331610409837952</v>
      </c>
    </row>
    <row r="712" spans="1:34" x14ac:dyDescent="0.2">
      <c r="A712" s="347">
        <f t="shared" ca="1" si="325"/>
        <v>0.1</v>
      </c>
      <c r="B712" s="304">
        <f t="shared" ca="1" si="326"/>
        <v>34.800000000000182</v>
      </c>
      <c r="D712" s="306">
        <f t="shared" ca="1" si="327"/>
        <v>-0.81700039965327209</v>
      </c>
      <c r="E712" s="307">
        <f t="shared" ca="1" si="328"/>
        <v>-2.3841475991739776</v>
      </c>
      <c r="F712" s="304">
        <f t="shared" ca="1" si="329"/>
        <v>2.520247890125225</v>
      </c>
      <c r="G712" s="306">
        <f t="shared" ca="1" si="330"/>
        <v>13.168984734329126</v>
      </c>
      <c r="H712" s="307">
        <f t="shared" ca="1" si="331"/>
        <v>-120.67609066012803</v>
      </c>
      <c r="I712" s="304">
        <f t="shared" ca="1" si="332"/>
        <v>121.39250807172752</v>
      </c>
      <c r="J712" s="306">
        <f t="shared" ca="1" si="333"/>
        <v>870.22316210382814</v>
      </c>
      <c r="K712" s="307">
        <f t="shared" ca="1" si="334"/>
        <v>32.819709136481897</v>
      </c>
      <c r="L712" s="304">
        <f t="shared" ca="1" si="319"/>
        <v>870.84182557442011</v>
      </c>
      <c r="M712" s="306">
        <f t="shared" ca="1" si="335"/>
        <v>-1.4620997313547823</v>
      </c>
      <c r="N712" s="304">
        <f t="shared" ca="1" si="336"/>
        <v>-83.772143833840502</v>
      </c>
      <c r="P712" s="310">
        <f t="shared" ca="1" si="337"/>
        <v>23</v>
      </c>
      <c r="Q712" s="304">
        <f t="shared" ca="1" si="338"/>
        <v>0</v>
      </c>
      <c r="R712" s="306">
        <f t="shared" ca="1" si="339"/>
        <v>0</v>
      </c>
      <c r="S712" s="307">
        <f t="shared" ca="1" si="340"/>
        <v>7.8079999999999892</v>
      </c>
      <c r="T712" s="304">
        <f t="shared" ca="1" si="320"/>
        <v>76.5964799999999</v>
      </c>
      <c r="U712" s="311">
        <f t="shared" ca="1" si="321"/>
        <v>0</v>
      </c>
      <c r="V712" s="306">
        <f t="shared" ca="1" si="322"/>
        <v>1.2209861722637225</v>
      </c>
      <c r="W712" s="304">
        <f t="shared" ca="1" si="323"/>
        <v>58.621377499959024</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2.2804995251258786</v>
      </c>
      <c r="AH712" s="304">
        <f t="shared" ca="1" si="347"/>
        <v>-7.4706608497432958</v>
      </c>
    </row>
    <row r="713" spans="1:34" x14ac:dyDescent="0.2">
      <c r="A713" s="347">
        <f t="shared" ca="1" si="325"/>
        <v>0.1</v>
      </c>
      <c r="B713" s="304">
        <f t="shared" ca="1" si="326"/>
        <v>34.900000000000183</v>
      </c>
      <c r="D713" s="306">
        <f t="shared" ca="1" si="327"/>
        <v>-0.8144728736825616</v>
      </c>
      <c r="E713" s="307">
        <f t="shared" ca="1" si="328"/>
        <v>-2.346448000542174</v>
      </c>
      <c r="F713" s="304">
        <f t="shared" ca="1" si="329"/>
        <v>2.4837842662383331</v>
      </c>
      <c r="G713" s="306">
        <f t="shared" ca="1" si="330"/>
        <v>13.087537446960869</v>
      </c>
      <c r="H713" s="307">
        <f t="shared" ca="1" si="331"/>
        <v>-120.91073546018224</v>
      </c>
      <c r="I713" s="304">
        <f t="shared" ca="1" si="332"/>
        <v>121.61697901998625</v>
      </c>
      <c r="J713" s="306">
        <f t="shared" ca="1" si="333"/>
        <v>871.53598821289268</v>
      </c>
      <c r="K713" s="307">
        <f t="shared" ca="1" si="334"/>
        <v>20.740367830466383</v>
      </c>
      <c r="L713" s="304">
        <f t="shared" ca="1" si="319"/>
        <v>871.78273761755941</v>
      </c>
      <c r="M713" s="306">
        <f t="shared" ca="1" si="335"/>
        <v>-1.4629747861747893</v>
      </c>
      <c r="N713" s="304">
        <f t="shared" ca="1" si="336"/>
        <v>-83.82228078186948</v>
      </c>
      <c r="P713" s="310">
        <f t="shared" ca="1" si="337"/>
        <v>23</v>
      </c>
      <c r="Q713" s="304">
        <f t="shared" ca="1" si="338"/>
        <v>0</v>
      </c>
      <c r="R713" s="306">
        <f t="shared" ca="1" si="339"/>
        <v>0</v>
      </c>
      <c r="S713" s="307">
        <f t="shared" ca="1" si="340"/>
        <v>7.8079999999999892</v>
      </c>
      <c r="T713" s="304">
        <f t="shared" ca="1" si="320"/>
        <v>76.5964799999999</v>
      </c>
      <c r="U713" s="311">
        <f t="shared" ca="1" si="321"/>
        <v>0</v>
      </c>
      <c r="V713" s="306">
        <f t="shared" ca="1" si="322"/>
        <v>1.2224619369588205</v>
      </c>
      <c r="W713" s="304">
        <f t="shared" ca="1" si="323"/>
        <v>58.909491399329049</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2.2442438592806635</v>
      </c>
      <c r="AH713" s="304">
        <f t="shared" ca="1" si="347"/>
        <v>-7.5078608478431228</v>
      </c>
    </row>
    <row r="714" spans="1:34" x14ac:dyDescent="0.2">
      <c r="A714" s="347">
        <f t="shared" ca="1" si="325"/>
        <v>0.1</v>
      </c>
      <c r="B714" s="304">
        <f t="shared" ca="1" si="326"/>
        <v>35.000000000000185</v>
      </c>
      <c r="D714" s="306">
        <f t="shared" ca="1" si="327"/>
        <v>-0.8119124380503383</v>
      </c>
      <c r="E714" s="307">
        <f t="shared" ca="1" si="328"/>
        <v>-2.3090525978030838</v>
      </c>
      <c r="F714" s="304">
        <f t="shared" ca="1" si="329"/>
        <v>2.4476367595053836</v>
      </c>
      <c r="G714" s="306">
        <f t="shared" ca="1" si="330"/>
        <v>13.006346203155836</v>
      </c>
      <c r="H714" s="307">
        <f t="shared" ca="1" si="331"/>
        <v>-121.14164071996255</v>
      </c>
      <c r="I714" s="304">
        <f t="shared" ca="1" si="332"/>
        <v>121.83785190933413</v>
      </c>
      <c r="J714" s="306">
        <f t="shared" ca="1" si="333"/>
        <v>872.84068239539852</v>
      </c>
      <c r="K714" s="307">
        <f t="shared" ca="1" si="334"/>
        <v>8.6377490214591433</v>
      </c>
      <c r="L714" s="304">
        <f t="shared" ca="1" si="319"/>
        <v>872.88342151321831</v>
      </c>
      <c r="M714" s="306">
        <f t="shared" ca="1" si="335"/>
        <v>-1.4638412502366633</v>
      </c>
      <c r="N714" s="304">
        <f t="shared" ca="1" si="336"/>
        <v>-83.871925515714636</v>
      </c>
      <c r="P714" s="310">
        <f t="shared" ca="1" si="337"/>
        <v>23</v>
      </c>
      <c r="Q714" s="304">
        <f t="shared" ca="1" si="338"/>
        <v>0</v>
      </c>
      <c r="R714" s="306">
        <f t="shared" ca="1" si="339"/>
        <v>0</v>
      </c>
      <c r="S714" s="307">
        <f t="shared" ca="1" si="340"/>
        <v>7.8079999999999892</v>
      </c>
      <c r="T714" s="304">
        <f t="shared" ca="1" si="320"/>
        <v>76.5964799999999</v>
      </c>
      <c r="U714" s="311">
        <f t="shared" ca="1" si="321"/>
        <v>0</v>
      </c>
      <c r="V714" s="306">
        <f t="shared" ca="1" si="322"/>
        <v>1.2239423325381755</v>
      </c>
      <c r="W714" s="304">
        <f t="shared" ca="1" si="323"/>
        <v>59.195259389205312</v>
      </c>
      <c r="Y714" s="314" t="str">
        <f t="shared" ca="1" si="341"/>
        <v/>
      </c>
      <c r="Z714" s="315" t="str">
        <f t="shared" ca="1" si="342"/>
        <v/>
      </c>
      <c r="AA714" s="316" t="str">
        <f t="shared" ca="1" si="343"/>
        <v/>
      </c>
      <c r="AC714" s="310">
        <f t="shared" ca="1" si="344"/>
        <v>35.000000000000185</v>
      </c>
      <c r="AD714" s="323">
        <f t="shared" ca="1" si="345"/>
        <v>872.84068239539852</v>
      </c>
      <c r="AE714" s="324" t="e">
        <f t="shared" ca="1" si="324"/>
        <v>#N/A</v>
      </c>
      <c r="AG714" s="306">
        <f t="shared" ca="1" si="346"/>
        <v>2.20827153859695</v>
      </c>
      <c r="AH714" s="304">
        <f t="shared" ca="1" si="347"/>
        <v>-7.5447606812665384</v>
      </c>
    </row>
    <row r="715" spans="1:34" x14ac:dyDescent="0.2">
      <c r="A715" s="347">
        <f t="shared" ca="1" si="325"/>
        <v>0.1</v>
      </c>
      <c r="B715" s="304">
        <f t="shared" ca="1" si="326"/>
        <v>35.100000000000186</v>
      </c>
      <c r="D715" s="306">
        <f t="shared" ca="1" si="327"/>
        <v>-0.80931986368534536</v>
      </c>
      <c r="E715" s="307">
        <f t="shared" ca="1" si="328"/>
        <v>-2.2719616745008464</v>
      </c>
      <c r="F715" s="304">
        <f t="shared" ca="1" si="329"/>
        <v>2.4118060643750683</v>
      </c>
      <c r="G715" s="306">
        <f t="shared" ca="1" si="330"/>
        <v>12.925414216787301</v>
      </c>
      <c r="H715" s="307">
        <f t="shared" ca="1" si="331"/>
        <v>-121.36883688741264</v>
      </c>
      <c r="I715" s="304">
        <f t="shared" ca="1" si="332"/>
        <v>122.0551551556873</v>
      </c>
      <c r="J715" s="306">
        <f t="shared" ca="1" si="333"/>
        <v>874.13727041639572</v>
      </c>
      <c r="K715" s="307">
        <f t="shared" ca="1" si="334"/>
        <v>-3.4877748589096171</v>
      </c>
      <c r="L715" s="304">
        <f t="shared" ca="1" si="319"/>
        <v>874.14422843401155</v>
      </c>
      <c r="M715" s="306">
        <f t="shared" ca="1" si="335"/>
        <v>-1.4646992477120468</v>
      </c>
      <c r="N715" s="304">
        <f t="shared" ca="1" si="336"/>
        <v>-83.921085149886977</v>
      </c>
      <c r="P715" s="310">
        <f t="shared" ca="1" si="337"/>
        <v>23</v>
      </c>
      <c r="Q715" s="304">
        <f t="shared" ca="1" si="338"/>
        <v>0</v>
      </c>
      <c r="R715" s="306">
        <f t="shared" ca="1" si="339"/>
        <v>0</v>
      </c>
      <c r="S715" s="307">
        <f t="shared" ca="1" si="340"/>
        <v>7.8079999999999892</v>
      </c>
      <c r="T715" s="304">
        <f t="shared" ca="1" si="320"/>
        <v>76.5964799999999</v>
      </c>
      <c r="U715" s="311">
        <f t="shared" ca="1" si="321"/>
        <v>0</v>
      </c>
      <c r="V715" s="306">
        <f t="shared" ca="1" si="322"/>
        <v>1.2254273269412246</v>
      </c>
      <c r="W715" s="304">
        <f t="shared" ca="1" si="323"/>
        <v>59.478679776063984</v>
      </c>
      <c r="Y715" s="314" t="str">
        <f t="shared" ca="1" si="341"/>
        <v>Impact balistique</v>
      </c>
      <c r="Z715" s="315" t="str">
        <f t="shared" ca="1" si="342"/>
        <v/>
      </c>
      <c r="AA715" s="316" t="str">
        <f t="shared" ca="1" si="343"/>
        <v/>
      </c>
      <c r="AC715" s="310" t="e">
        <f t="shared" ca="1" si="344"/>
        <v>#N/A</v>
      </c>
      <c r="AD715" s="323" t="e">
        <f t="shared" ca="1" si="345"/>
        <v>#N/A</v>
      </c>
      <c r="AE715" s="324" t="e">
        <f t="shared" ca="1" si="324"/>
        <v>#N/A</v>
      </c>
      <c r="AG715" s="306">
        <f t="shared" ca="1" si="346"/>
        <v>2.1725832031469396</v>
      </c>
      <c r="AH715" s="304">
        <f t="shared" ca="1" si="347"/>
        <v>-7.581360065215855</v>
      </c>
    </row>
    <row r="716" spans="1:34" x14ac:dyDescent="0.2">
      <c r="A716" s="347">
        <f t="shared" ca="1" si="325"/>
        <v>1E-4</v>
      </c>
      <c r="B716" s="304">
        <f t="shared" ca="1" si="326"/>
        <v>35.100100000000189</v>
      </c>
      <c r="D716" s="306">
        <f t="shared" ca="1" si="327"/>
        <v>-0.80669591549969333</v>
      </c>
      <c r="E716" s="307">
        <f t="shared" ca="1" si="328"/>
        <v>-2.2351754455293626</v>
      </c>
      <c r="F716" s="304">
        <f t="shared" ca="1" si="329"/>
        <v>2.3762928212619912</v>
      </c>
      <c r="G716" s="306">
        <f t="shared" ca="1" si="330"/>
        <v>12.92533354719575</v>
      </c>
      <c r="H716" s="307">
        <f t="shared" ca="1" si="331"/>
        <v>-121.3690604049572</v>
      </c>
      <c r="I716" s="304">
        <f t="shared" ca="1" si="332"/>
        <v>122.05536887367312</v>
      </c>
      <c r="J716" s="306">
        <f t="shared" ca="1" si="333"/>
        <v>874.13727041639572</v>
      </c>
      <c r="K716" s="307">
        <f t="shared" ca="1" si="334"/>
        <v>-3.4999117537742355</v>
      </c>
      <c r="L716" s="304">
        <f t="shared" ca="1" si="319"/>
        <v>874.14427694363542</v>
      </c>
      <c r="M716" s="306">
        <f t="shared" ca="1" si="335"/>
        <v>-1.4647000988509913</v>
      </c>
      <c r="N716" s="304">
        <f t="shared" ca="1" si="336"/>
        <v>-83.921133916556286</v>
      </c>
      <c r="P716" s="310">
        <f t="shared" ca="1" si="337"/>
        <v>23</v>
      </c>
      <c r="Q716" s="304">
        <f t="shared" ca="1" si="338"/>
        <v>0</v>
      </c>
      <c r="R716" s="306">
        <f t="shared" ca="1" si="339"/>
        <v>0</v>
      </c>
      <c r="S716" s="307">
        <f t="shared" ca="1" si="340"/>
        <v>7.8079999999999892</v>
      </c>
      <c r="T716" s="304">
        <f t="shared" ca="1" si="320"/>
        <v>76.5964799999999</v>
      </c>
      <c r="U716" s="311">
        <f t="shared" ca="1" si="321"/>
        <v>0</v>
      </c>
      <c r="V716" s="306">
        <f t="shared" ca="1" si="322"/>
        <v>1.2254288142304357</v>
      </c>
      <c r="W716" s="304">
        <f t="shared" ca="1" si="323"/>
        <v>59.478960258954189</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2.1371794159423052</v>
      </c>
      <c r="AH716" s="304">
        <f t="shared" ca="1" si="347"/>
        <v>-7.6176587827950906</v>
      </c>
    </row>
    <row r="717" spans="1:34" x14ac:dyDescent="0.2">
      <c r="A717" s="347">
        <f t="shared" ca="1" si="325"/>
        <v>1E-4</v>
      </c>
      <c r="B717" s="304">
        <f t="shared" ca="1" si="326"/>
        <v>35.100200000000193</v>
      </c>
      <c r="D717" s="306">
        <f t="shared" ca="1" si="327"/>
        <v>-0.80669327236698574</v>
      </c>
      <c r="E717" s="307">
        <f t="shared" ca="1" si="328"/>
        <v>-2.2351390384101038</v>
      </c>
      <c r="F717" s="304">
        <f t="shared" ca="1" si="329"/>
        <v>2.3762576789369874</v>
      </c>
      <c r="G717" s="306">
        <f t="shared" ca="1" si="330"/>
        <v>12.925252877868514</v>
      </c>
      <c r="H717" s="307">
        <f t="shared" ca="1" si="331"/>
        <v>-121.36928391886104</v>
      </c>
      <c r="I717" s="304">
        <f t="shared" ca="1" si="332"/>
        <v>122.0555825881551</v>
      </c>
      <c r="J717" s="306">
        <f t="shared" ca="1" si="333"/>
        <v>874.13727041639572</v>
      </c>
      <c r="K717" s="307">
        <f t="shared" ca="1" si="334"/>
        <v>-3.5120486709904264</v>
      </c>
      <c r="L717" s="304">
        <f t="shared" ca="1" si="319"/>
        <v>874.1443256218588</v>
      </c>
      <c r="M717" s="306">
        <f t="shared" ca="1" si="335"/>
        <v>-1.4647009499816428</v>
      </c>
      <c r="N717" s="304">
        <f t="shared" ca="1" si="336"/>
        <v>-83.921182682750427</v>
      </c>
      <c r="P717" s="310">
        <f t="shared" ca="1" si="337"/>
        <v>23</v>
      </c>
      <c r="Q717" s="304">
        <f t="shared" ca="1" si="338"/>
        <v>0</v>
      </c>
      <c r="R717" s="306">
        <f t="shared" ca="1" si="339"/>
        <v>0</v>
      </c>
      <c r="S717" s="307">
        <f t="shared" ca="1" si="340"/>
        <v>7.8079999999999892</v>
      </c>
      <c r="T717" s="304">
        <f t="shared" ca="1" si="320"/>
        <v>76.5964799999999</v>
      </c>
      <c r="U717" s="311">
        <f t="shared" ca="1" si="321"/>
        <v>0</v>
      </c>
      <c r="V717" s="306">
        <f t="shared" ca="1" si="322"/>
        <v>1.225430301524191</v>
      </c>
      <c r="W717" s="304">
        <f t="shared" ca="1" si="323"/>
        <v>59.479240739520364</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2.1371443776523318</v>
      </c>
      <c r="AH717" s="304">
        <f t="shared" ca="1" si="347"/>
        <v>-7.6176947052963975</v>
      </c>
    </row>
    <row r="718" spans="1:34" x14ac:dyDescent="0.2">
      <c r="A718" s="347">
        <f t="shared" ca="1" si="325"/>
        <v>1E-4</v>
      </c>
      <c r="B718" s="304">
        <f t="shared" ca="1" si="326"/>
        <v>35.100300000000196</v>
      </c>
      <c r="D718" s="306">
        <f t="shared" ca="1" si="327"/>
        <v>-0.80669062920418577</v>
      </c>
      <c r="E718" s="307">
        <f t="shared" ca="1" si="328"/>
        <v>-2.23510263159252</v>
      </c>
      <c r="F718" s="304">
        <f t="shared" ca="1" si="329"/>
        <v>2.3762225369265511</v>
      </c>
      <c r="G718" s="306">
        <f t="shared" ca="1" si="330"/>
        <v>12.925172208805593</v>
      </c>
      <c r="H718" s="307">
        <f t="shared" ca="1" si="331"/>
        <v>-121.3695074291242</v>
      </c>
      <c r="I718" s="304">
        <f t="shared" ca="1" si="332"/>
        <v>122.05579629913326</v>
      </c>
      <c r="J718" s="306">
        <f t="shared" ca="1" si="333"/>
        <v>874.13727041639572</v>
      </c>
      <c r="K718" s="307">
        <f t="shared" ca="1" si="334"/>
        <v>-3.5241856105578258</v>
      </c>
      <c r="L718" s="304">
        <f t="shared" ca="1" si="319"/>
        <v>874.14437446868271</v>
      </c>
      <c r="M718" s="306">
        <f t="shared" ca="1" si="335"/>
        <v>-1.4647018011040018</v>
      </c>
      <c r="N718" s="304">
        <f t="shared" ca="1" si="336"/>
        <v>-83.921231448469442</v>
      </c>
      <c r="P718" s="310">
        <f t="shared" ca="1" si="337"/>
        <v>23</v>
      </c>
      <c r="Q718" s="304">
        <f t="shared" ca="1" si="338"/>
        <v>0</v>
      </c>
      <c r="R718" s="306">
        <f t="shared" ca="1" si="339"/>
        <v>0</v>
      </c>
      <c r="S718" s="307">
        <f t="shared" ca="1" si="340"/>
        <v>7.8079999999999892</v>
      </c>
      <c r="T718" s="304">
        <f t="shared" ca="1" si="320"/>
        <v>76.5964799999999</v>
      </c>
      <c r="U718" s="311">
        <f t="shared" ca="1" si="321"/>
        <v>0</v>
      </c>
      <c r="V718" s="306">
        <f t="shared" ca="1" si="322"/>
        <v>1.225431788822491</v>
      </c>
      <c r="W718" s="304">
        <f t="shared" ca="1" si="323"/>
        <v>59.479521217762503</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2.1371093396443221</v>
      </c>
      <c r="AH718" s="304">
        <f t="shared" ca="1" si="347"/>
        <v>-7.6177306275000571</v>
      </c>
    </row>
    <row r="719" spans="1:34" x14ac:dyDescent="0.2">
      <c r="A719" s="347">
        <f t="shared" ca="1" si="325"/>
        <v>1E-4</v>
      </c>
      <c r="B719" s="304">
        <f t="shared" ca="1" si="326"/>
        <v>35.100400000000199</v>
      </c>
      <c r="D719" s="306">
        <f t="shared" ca="1" si="327"/>
        <v>-0.80668798601129155</v>
      </c>
      <c r="E719" s="307">
        <f t="shared" ca="1" si="328"/>
        <v>-2.2350662250766131</v>
      </c>
      <c r="F719" s="304">
        <f t="shared" ca="1" si="329"/>
        <v>2.3761873952306827</v>
      </c>
      <c r="G719" s="306">
        <f t="shared" ca="1" si="330"/>
        <v>12.925091540006992</v>
      </c>
      <c r="H719" s="307">
        <f t="shared" ca="1" si="331"/>
        <v>-121.3697309357467</v>
      </c>
      <c r="I719" s="304">
        <f t="shared" ca="1" si="332"/>
        <v>122.05601000660766</v>
      </c>
      <c r="J719" s="306">
        <f t="shared" ca="1" si="333"/>
        <v>874.13727041639572</v>
      </c>
      <c r="K719" s="307">
        <f t="shared" ca="1" si="334"/>
        <v>-3.5363225724760694</v>
      </c>
      <c r="L719" s="304">
        <f t="shared" ca="1" si="319"/>
        <v>874.14442348410796</v>
      </c>
      <c r="M719" s="306">
        <f t="shared" ca="1" si="335"/>
        <v>-1.4647026522180684</v>
      </c>
      <c r="N719" s="304">
        <f t="shared" ca="1" si="336"/>
        <v>-83.921280213713345</v>
      </c>
      <c r="P719" s="310">
        <f t="shared" ca="1" si="337"/>
        <v>23</v>
      </c>
      <c r="Q719" s="304">
        <f t="shared" ca="1" si="338"/>
        <v>0</v>
      </c>
      <c r="R719" s="306">
        <f t="shared" ca="1" si="339"/>
        <v>0</v>
      </c>
      <c r="S719" s="307">
        <f t="shared" ca="1" si="340"/>
        <v>7.8079999999999892</v>
      </c>
      <c r="T719" s="304">
        <f t="shared" ca="1" si="320"/>
        <v>76.5964799999999</v>
      </c>
      <c r="U719" s="311">
        <f t="shared" ca="1" si="321"/>
        <v>0</v>
      </c>
      <c r="V719" s="306">
        <f t="shared" ca="1" si="322"/>
        <v>1.2254332761253355</v>
      </c>
      <c r="W719" s="304">
        <f t="shared" ca="1" si="323"/>
        <v>59.479801693680642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2.1370743019182807</v>
      </c>
      <c r="AH719" s="304">
        <f t="shared" ca="1" si="347"/>
        <v>-7.6177665494060687</v>
      </c>
    </row>
    <row r="720" spans="1:34" x14ac:dyDescent="0.2">
      <c r="A720" s="347">
        <f t="shared" ca="1" si="325"/>
        <v>1E-4</v>
      </c>
      <c r="B720" s="304">
        <f t="shared" ca="1" si="326"/>
        <v>35.100500000000203</v>
      </c>
      <c r="D720" s="306">
        <f t="shared" ca="1" si="327"/>
        <v>-0.8066853427883055</v>
      </c>
      <c r="E720" s="307">
        <f t="shared" ca="1" si="328"/>
        <v>-2.2350298188623761</v>
      </c>
      <c r="F720" s="304">
        <f t="shared" ca="1" si="329"/>
        <v>2.3761522538493765</v>
      </c>
      <c r="G720" s="306">
        <f t="shared" ca="1" si="330"/>
        <v>12.925010871472713</v>
      </c>
      <c r="H720" s="307">
        <f t="shared" ca="1" si="331"/>
        <v>-121.36995443872858</v>
      </c>
      <c r="I720" s="304">
        <f t="shared" ca="1" si="332"/>
        <v>122.05622371057832</v>
      </c>
      <c r="J720" s="306">
        <f t="shared" ca="1" si="333"/>
        <v>874.13727041639572</v>
      </c>
      <c r="K720" s="307">
        <f t="shared" ca="1" si="334"/>
        <v>-3.5484595567447932</v>
      </c>
      <c r="L720" s="304">
        <f t="shared" ca="1" si="319"/>
        <v>874.14447266813556</v>
      </c>
      <c r="M720" s="306">
        <f t="shared" ca="1" si="335"/>
        <v>-1.4647035033238427</v>
      </c>
      <c r="N720" s="304">
        <f t="shared" ca="1" si="336"/>
        <v>-83.921328978482137</v>
      </c>
      <c r="P720" s="310">
        <f t="shared" ca="1" si="337"/>
        <v>23</v>
      </c>
      <c r="Q720" s="304">
        <f t="shared" ca="1" si="338"/>
        <v>0</v>
      </c>
      <c r="R720" s="306">
        <f t="shared" ca="1" si="339"/>
        <v>0</v>
      </c>
      <c r="S720" s="307">
        <f t="shared" ca="1" si="340"/>
        <v>7.8079999999999892</v>
      </c>
      <c r="T720" s="304">
        <f t="shared" ca="1" si="320"/>
        <v>76.5964799999999</v>
      </c>
      <c r="U720" s="311">
        <f t="shared" ca="1" si="321"/>
        <v>0</v>
      </c>
      <c r="V720" s="306">
        <f t="shared" ca="1" si="322"/>
        <v>1.2254347634327241</v>
      </c>
      <c r="W720" s="304">
        <f t="shared" ca="1" si="323"/>
        <v>59.480082167274773</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2.1370392644742005</v>
      </c>
      <c r="AH720" s="304">
        <f t="shared" ca="1" si="347"/>
        <v>-7.6178024710144374</v>
      </c>
    </row>
    <row r="721" spans="1:34" x14ac:dyDescent="0.2">
      <c r="A721" s="347">
        <f t="shared" ca="1" si="325"/>
        <v>1E-4</v>
      </c>
      <c r="B721" s="304">
        <f t="shared" ca="1" si="326"/>
        <v>35.100600000000206</v>
      </c>
      <c r="D721" s="306">
        <f t="shared" ca="1" si="327"/>
        <v>-0.8066826995352272</v>
      </c>
      <c r="E721" s="307">
        <f t="shared" ca="1" si="328"/>
        <v>-2.2349934129498115</v>
      </c>
      <c r="F721" s="304">
        <f t="shared" ca="1" si="329"/>
        <v>2.3761171127826355</v>
      </c>
      <c r="G721" s="306">
        <f t="shared" ca="1" si="330"/>
        <v>12.924930203202759</v>
      </c>
      <c r="H721" s="307">
        <f t="shared" ca="1" si="331"/>
        <v>-121.37017793806987</v>
      </c>
      <c r="I721" s="304">
        <f t="shared" ca="1" si="332"/>
        <v>122.05643741104524</v>
      </c>
      <c r="J721" s="306">
        <f t="shared" ca="1" si="333"/>
        <v>874.13727041639572</v>
      </c>
      <c r="K721" s="307">
        <f t="shared" ca="1" si="334"/>
        <v>-3.5605965633636329</v>
      </c>
      <c r="L721" s="304">
        <f t="shared" ca="1" si="319"/>
        <v>874.14452202076632</v>
      </c>
      <c r="M721" s="306">
        <f t="shared" ca="1" si="335"/>
        <v>-1.4647043544213247</v>
      </c>
      <c r="N721" s="304">
        <f t="shared" ca="1" si="336"/>
        <v>-83.921377742775803</v>
      </c>
      <c r="P721" s="310">
        <f t="shared" ca="1" si="337"/>
        <v>23</v>
      </c>
      <c r="Q721" s="304">
        <f t="shared" ca="1" si="338"/>
        <v>0</v>
      </c>
      <c r="R721" s="306">
        <f t="shared" ca="1" si="339"/>
        <v>0</v>
      </c>
      <c r="S721" s="307">
        <f t="shared" ca="1" si="340"/>
        <v>7.8079999999999892</v>
      </c>
      <c r="T721" s="304">
        <f t="shared" ca="1" si="320"/>
        <v>76.5964799999999</v>
      </c>
      <c r="U721" s="311">
        <f t="shared" ca="1" si="321"/>
        <v>0</v>
      </c>
      <c r="V721" s="306">
        <f t="shared" ca="1" si="322"/>
        <v>1.2254362507446572</v>
      </c>
      <c r="W721" s="304">
        <f t="shared" ca="1" si="323"/>
        <v>59.480362638544861</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2.1370042273120857</v>
      </c>
      <c r="AH721" s="304">
        <f t="shared" ca="1" si="347"/>
        <v>-7.6178383923251607</v>
      </c>
    </row>
    <row r="722" spans="1:34" x14ac:dyDescent="0.2">
      <c r="A722" s="347">
        <f t="shared" ca="1" si="325"/>
        <v>1E-4</v>
      </c>
      <c r="B722" s="304">
        <f t="shared" ca="1" si="326"/>
        <v>35.100700000000209</v>
      </c>
      <c r="D722" s="306">
        <f t="shared" ca="1" si="327"/>
        <v>-0.80668005625205774</v>
      </c>
      <c r="E722" s="307">
        <f t="shared" ca="1" si="328"/>
        <v>-2.2349570073389238</v>
      </c>
      <c r="F722" s="304">
        <f t="shared" ca="1" si="329"/>
        <v>2.3760819720304647</v>
      </c>
      <c r="G722" s="306">
        <f t="shared" ca="1" si="330"/>
        <v>12.924849535197135</v>
      </c>
      <c r="H722" s="307">
        <f t="shared" ca="1" si="331"/>
        <v>-121.37040143377061</v>
      </c>
      <c r="I722" s="304">
        <f t="shared" ca="1" si="332"/>
        <v>122.05665110800851</v>
      </c>
      <c r="J722" s="306">
        <f t="shared" ca="1" si="333"/>
        <v>874.13727041639572</v>
      </c>
      <c r="K722" s="307">
        <f t="shared" ca="1" si="334"/>
        <v>-3.572733592332225</v>
      </c>
      <c r="L722" s="304">
        <f t="shared" ca="1" si="319"/>
        <v>874.14457154200113</v>
      </c>
      <c r="M722" s="306">
        <f t="shared" ca="1" si="335"/>
        <v>-1.4647052055105145</v>
      </c>
      <c r="N722" s="304">
        <f t="shared" ca="1" si="336"/>
        <v>-83.921426506594372</v>
      </c>
      <c r="P722" s="310">
        <f t="shared" ca="1" si="337"/>
        <v>23</v>
      </c>
      <c r="Q722" s="304">
        <f t="shared" ca="1" si="338"/>
        <v>0</v>
      </c>
      <c r="R722" s="306">
        <f t="shared" ca="1" si="339"/>
        <v>0</v>
      </c>
      <c r="S722" s="307">
        <f t="shared" ca="1" si="340"/>
        <v>7.8079999999999892</v>
      </c>
      <c r="T722" s="304">
        <f t="shared" ca="1" si="320"/>
        <v>76.5964799999999</v>
      </c>
      <c r="U722" s="311">
        <f t="shared" ca="1" si="321"/>
        <v>0</v>
      </c>
      <c r="V722" s="306">
        <f t="shared" ca="1" si="322"/>
        <v>1.2254377380611348</v>
      </c>
      <c r="W722" s="304">
        <f t="shared" ca="1" si="323"/>
        <v>59.480643107490991</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2.1369691904319374</v>
      </c>
      <c r="AH722" s="304">
        <f t="shared" ca="1" si="347"/>
        <v>-7.6178743133382358</v>
      </c>
    </row>
    <row r="723" spans="1:34" x14ac:dyDescent="0.2">
      <c r="A723" s="347">
        <f t="shared" ca="1" si="325"/>
        <v>1E-4</v>
      </c>
      <c r="B723" s="304">
        <f t="shared" ca="1" si="326"/>
        <v>35.100800000000213</v>
      </c>
      <c r="D723" s="306">
        <f t="shared" ca="1" si="327"/>
        <v>-0.80667741293880024</v>
      </c>
      <c r="E723" s="307">
        <f t="shared" ca="1" si="328"/>
        <v>-2.2349206020297032</v>
      </c>
      <c r="F723" s="304">
        <f t="shared" ca="1" si="329"/>
        <v>2.3760468315928551</v>
      </c>
      <c r="G723" s="306">
        <f t="shared" ca="1" si="330"/>
        <v>12.924768867455841</v>
      </c>
      <c r="H723" s="307">
        <f t="shared" ca="1" si="331"/>
        <v>-121.37062492583081</v>
      </c>
      <c r="I723" s="304">
        <f t="shared" ca="1" si="332"/>
        <v>122.05686480146809</v>
      </c>
      <c r="J723" s="306">
        <f t="shared" ca="1" si="333"/>
        <v>874.13727041639572</v>
      </c>
      <c r="K723" s="307">
        <f t="shared" ca="1" si="334"/>
        <v>-3.5848706436502051</v>
      </c>
      <c r="L723" s="304">
        <f t="shared" ca="1" si="319"/>
        <v>874.14462123184092</v>
      </c>
      <c r="M723" s="306">
        <f t="shared" ca="1" si="335"/>
        <v>-1.4647060565914123</v>
      </c>
      <c r="N723" s="304">
        <f t="shared" ca="1" si="336"/>
        <v>-83.921475269937844</v>
      </c>
      <c r="P723" s="310">
        <f t="shared" ca="1" si="337"/>
        <v>23</v>
      </c>
      <c r="Q723" s="304">
        <f t="shared" ca="1" si="338"/>
        <v>0</v>
      </c>
      <c r="R723" s="306">
        <f t="shared" ca="1" si="339"/>
        <v>0</v>
      </c>
      <c r="S723" s="307">
        <f t="shared" ca="1" si="340"/>
        <v>7.8079999999999892</v>
      </c>
      <c r="T723" s="304">
        <f t="shared" ca="1" si="320"/>
        <v>76.5964799999999</v>
      </c>
      <c r="U723" s="311">
        <f t="shared" ca="1" si="321"/>
        <v>0</v>
      </c>
      <c r="V723" s="306">
        <f t="shared" ca="1" si="322"/>
        <v>1.2254392253821564</v>
      </c>
      <c r="W723" s="304">
        <f t="shared" ca="1" si="323"/>
        <v>59.480923574113056</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2.1369341538337476</v>
      </c>
      <c r="AH723" s="304">
        <f t="shared" ca="1" si="347"/>
        <v>-7.6179102340536726</v>
      </c>
    </row>
    <row r="724" spans="1:34" x14ac:dyDescent="0.2">
      <c r="A724" s="347">
        <f t="shared" ca="1" si="325"/>
        <v>1E-4</v>
      </c>
      <c r="B724" s="304">
        <f t="shared" ca="1" si="326"/>
        <v>35.100900000000216</v>
      </c>
      <c r="D724" s="306">
        <f t="shared" ca="1" si="327"/>
        <v>-0.80667476959545314</v>
      </c>
      <c r="E724" s="307">
        <f t="shared" ca="1" si="328"/>
        <v>-2.2348841970221613</v>
      </c>
      <c r="F724" s="304">
        <f t="shared" ca="1" si="329"/>
        <v>2.3760116914698184</v>
      </c>
      <c r="G724" s="306">
        <f t="shared" ca="1" si="330"/>
        <v>12.924688199978881</v>
      </c>
      <c r="H724" s="307">
        <f t="shared" ca="1" si="331"/>
        <v>-121.37084841425052</v>
      </c>
      <c r="I724" s="304">
        <f t="shared" ca="1" si="332"/>
        <v>122.05707849142405</v>
      </c>
      <c r="J724" s="306">
        <f t="shared" ca="1" si="333"/>
        <v>874.13727041639572</v>
      </c>
      <c r="K724" s="307">
        <f t="shared" ca="1" si="334"/>
        <v>-3.5970077173172093</v>
      </c>
      <c r="L724" s="304">
        <f t="shared" ca="1" si="319"/>
        <v>874.14467109028658</v>
      </c>
      <c r="M724" s="306">
        <f t="shared" ca="1" si="335"/>
        <v>-1.4647069076640182</v>
      </c>
      <c r="N724" s="304">
        <f t="shared" ca="1" si="336"/>
        <v>-83.921524032806218</v>
      </c>
      <c r="P724" s="310">
        <f t="shared" ca="1" si="337"/>
        <v>23</v>
      </c>
      <c r="Q724" s="304">
        <f t="shared" ca="1" si="338"/>
        <v>0</v>
      </c>
      <c r="R724" s="306">
        <f t="shared" ca="1" si="339"/>
        <v>0</v>
      </c>
      <c r="S724" s="307">
        <f t="shared" ca="1" si="340"/>
        <v>7.8079999999999892</v>
      </c>
      <c r="T724" s="304">
        <f t="shared" ca="1" si="320"/>
        <v>76.5964799999999</v>
      </c>
      <c r="U724" s="311">
        <f t="shared" ca="1" si="321"/>
        <v>0</v>
      </c>
      <c r="V724" s="306">
        <f t="shared" ca="1" si="322"/>
        <v>1.2254407127077223</v>
      </c>
      <c r="W724" s="304">
        <f t="shared" ca="1" si="323"/>
        <v>59.481204038411107</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2.1368991175175331</v>
      </c>
      <c r="AH724" s="304">
        <f t="shared" ca="1" si="347"/>
        <v>-7.6179461544714577</v>
      </c>
    </row>
    <row r="725" spans="1:34" x14ac:dyDescent="0.2">
      <c r="A725" s="347">
        <f t="shared" ca="1" si="325"/>
        <v>1E-4</v>
      </c>
      <c r="B725" s="304">
        <f t="shared" ca="1" si="326"/>
        <v>35.101000000000219</v>
      </c>
      <c r="D725" s="306">
        <f t="shared" ca="1" si="327"/>
        <v>-0.80667212622201701</v>
      </c>
      <c r="E725" s="307">
        <f t="shared" ca="1" si="328"/>
        <v>-2.2348477923162928</v>
      </c>
      <c r="F725" s="304">
        <f t="shared" ca="1" si="329"/>
        <v>2.3759765516613496</v>
      </c>
      <c r="G725" s="306">
        <f t="shared" ca="1" si="330"/>
        <v>12.92460753276626</v>
      </c>
      <c r="H725" s="307">
        <f t="shared" ca="1" si="331"/>
        <v>-121.37107189902974</v>
      </c>
      <c r="I725" s="304">
        <f t="shared" ca="1" si="332"/>
        <v>122.05729217787639</v>
      </c>
      <c r="J725" s="306">
        <f t="shared" ca="1" si="333"/>
        <v>874.13727041639572</v>
      </c>
      <c r="K725" s="307">
        <f t="shared" ca="1" si="334"/>
        <v>-3.6091448133328732</v>
      </c>
      <c r="L725" s="304">
        <f t="shared" ca="1" si="319"/>
        <v>874.14472111733903</v>
      </c>
      <c r="M725" s="306">
        <f t="shared" ca="1" si="335"/>
        <v>-1.4647077587283324</v>
      </c>
      <c r="N725" s="304">
        <f t="shared" ca="1" si="336"/>
        <v>-83.921572795199509</v>
      </c>
      <c r="P725" s="310">
        <f t="shared" ca="1" si="337"/>
        <v>23</v>
      </c>
      <c r="Q725" s="304">
        <f t="shared" ca="1" si="338"/>
        <v>0</v>
      </c>
      <c r="R725" s="306">
        <f t="shared" ca="1" si="339"/>
        <v>0</v>
      </c>
      <c r="S725" s="307">
        <f t="shared" ca="1" si="340"/>
        <v>7.8079999999999892</v>
      </c>
      <c r="T725" s="304">
        <f t="shared" ca="1" si="320"/>
        <v>76.5964799999999</v>
      </c>
      <c r="U725" s="311">
        <f t="shared" ca="1" si="321"/>
        <v>0</v>
      </c>
      <c r="V725" s="306">
        <f t="shared" ca="1" si="322"/>
        <v>1.2254422000378322</v>
      </c>
      <c r="W725" s="304">
        <f t="shared" ca="1" si="323"/>
        <v>59.481484500385108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2.1368640814832807</v>
      </c>
      <c r="AH725" s="304">
        <f t="shared" ca="1" si="347"/>
        <v>-7.6179820745915974</v>
      </c>
    </row>
    <row r="726" spans="1:34" x14ac:dyDescent="0.2">
      <c r="A726" s="347">
        <f t="shared" ca="1" si="325"/>
        <v>1E-4</v>
      </c>
      <c r="B726" s="304">
        <f t="shared" ca="1" si="326"/>
        <v>35.101100000000223</v>
      </c>
      <c r="D726" s="306">
        <f t="shared" ca="1" si="327"/>
        <v>-0.80666948281849304</v>
      </c>
      <c r="E726" s="307">
        <f t="shared" ca="1" si="328"/>
        <v>-2.2348113879121021</v>
      </c>
      <c r="F726" s="304">
        <f t="shared" ca="1" si="329"/>
        <v>2.3759414121674531</v>
      </c>
      <c r="G726" s="306">
        <f t="shared" ca="1" si="330"/>
        <v>12.924526865817977</v>
      </c>
      <c r="H726" s="307">
        <f t="shared" ca="1" si="331"/>
        <v>-121.37129538016853</v>
      </c>
      <c r="I726" s="304">
        <f t="shared" ca="1" si="332"/>
        <v>122.05750586082517</v>
      </c>
      <c r="J726" s="306">
        <f t="shared" ca="1" si="333"/>
        <v>874.13727041639572</v>
      </c>
      <c r="K726" s="307">
        <f t="shared" ca="1" si="334"/>
        <v>-3.6212819316968332</v>
      </c>
      <c r="L726" s="304">
        <f t="shared" ca="1" si="319"/>
        <v>874.1447713129993</v>
      </c>
      <c r="M726" s="306">
        <f t="shared" ca="1" si="335"/>
        <v>-1.4647086097843549</v>
      </c>
      <c r="N726" s="304">
        <f t="shared" ca="1" si="336"/>
        <v>-83.921621557117732</v>
      </c>
      <c r="P726" s="310">
        <f t="shared" ca="1" si="337"/>
        <v>23</v>
      </c>
      <c r="Q726" s="304">
        <f t="shared" ca="1" si="338"/>
        <v>0</v>
      </c>
      <c r="R726" s="306">
        <f t="shared" ca="1" si="339"/>
        <v>0</v>
      </c>
      <c r="S726" s="307">
        <f t="shared" ca="1" si="340"/>
        <v>7.8079999999999892</v>
      </c>
      <c r="T726" s="304">
        <f t="shared" ca="1" si="320"/>
        <v>76.5964799999999</v>
      </c>
      <c r="U726" s="311">
        <f t="shared" ca="1" si="321"/>
        <v>0</v>
      </c>
      <c r="V726" s="306">
        <f t="shared" ca="1" si="322"/>
        <v>1.2254436873724861</v>
      </c>
      <c r="W726" s="304">
        <f t="shared" ca="1" si="323"/>
        <v>59.481764960035115</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2.1368290457310017</v>
      </c>
      <c r="AH726" s="304">
        <f t="shared" ca="1" si="347"/>
        <v>-7.6180179944140871</v>
      </c>
    </row>
    <row r="727" spans="1:34" x14ac:dyDescent="0.2">
      <c r="A727" s="347">
        <f t="shared" ca="1" si="325"/>
        <v>1E-4</v>
      </c>
      <c r="B727" s="304">
        <f t="shared" ca="1" si="326"/>
        <v>35.101200000000226</v>
      </c>
      <c r="D727" s="306">
        <f t="shared" ca="1" si="327"/>
        <v>-0.80666683938488193</v>
      </c>
      <c r="E727" s="307">
        <f t="shared" ca="1" si="328"/>
        <v>-2.2347749838095829</v>
      </c>
      <c r="F727" s="304">
        <f t="shared" ca="1" si="329"/>
        <v>2.3759062729881237</v>
      </c>
      <c r="G727" s="306">
        <f t="shared" ca="1" si="330"/>
        <v>12.924446199134039</v>
      </c>
      <c r="H727" s="307">
        <f t="shared" ca="1" si="331"/>
        <v>-121.37151885766691</v>
      </c>
      <c r="I727" s="304">
        <f t="shared" ca="1" si="332"/>
        <v>122.0577195402704</v>
      </c>
      <c r="J727" s="306">
        <f t="shared" ca="1" si="333"/>
        <v>874.13727041639572</v>
      </c>
      <c r="K727" s="307">
        <f t="shared" ca="1" si="334"/>
        <v>-3.6334190724087252</v>
      </c>
      <c r="L727" s="304">
        <f t="shared" ca="1" si="319"/>
        <v>874.14482167726806</v>
      </c>
      <c r="M727" s="306">
        <f t="shared" ca="1" si="335"/>
        <v>-1.4647094608320859</v>
      </c>
      <c r="N727" s="304">
        <f t="shared" ca="1" si="336"/>
        <v>-83.921670318560885</v>
      </c>
      <c r="P727" s="310">
        <f t="shared" ca="1" si="337"/>
        <v>23</v>
      </c>
      <c r="Q727" s="304">
        <f t="shared" ca="1" si="338"/>
        <v>0</v>
      </c>
      <c r="R727" s="306">
        <f t="shared" ca="1" si="339"/>
        <v>0</v>
      </c>
      <c r="S727" s="307">
        <f t="shared" ca="1" si="340"/>
        <v>7.8079999999999892</v>
      </c>
      <c r="T727" s="304">
        <f t="shared" ca="1" si="320"/>
        <v>76.5964799999999</v>
      </c>
      <c r="U727" s="311">
        <f t="shared" ca="1" si="321"/>
        <v>0</v>
      </c>
      <c r="V727" s="306">
        <f t="shared" ca="1" si="322"/>
        <v>1.2254451747116846</v>
      </c>
      <c r="W727" s="304">
        <f t="shared" ca="1" si="323"/>
        <v>59.482045417361093</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2.1367940102606857</v>
      </c>
      <c r="AH727" s="304">
        <f t="shared" ca="1" si="347"/>
        <v>-7.6180539139389341</v>
      </c>
    </row>
    <row r="728" spans="1:34" x14ac:dyDescent="0.2">
      <c r="A728" s="347">
        <f t="shared" ca="1" si="325"/>
        <v>1E-4</v>
      </c>
      <c r="B728" s="304">
        <f t="shared" ca="1" si="326"/>
        <v>35.101300000000229</v>
      </c>
      <c r="D728" s="306">
        <f t="shared" ca="1" si="327"/>
        <v>-0.80666419592118499</v>
      </c>
      <c r="E728" s="307">
        <f t="shared" ca="1" si="328"/>
        <v>-2.234738580008738</v>
      </c>
      <c r="F728" s="304">
        <f t="shared" ca="1" si="329"/>
        <v>2.3758711341233645</v>
      </c>
      <c r="G728" s="306">
        <f t="shared" ca="1" si="330"/>
        <v>12.924365532714447</v>
      </c>
      <c r="H728" s="307">
        <f t="shared" ca="1" si="331"/>
        <v>-121.37174233152491</v>
      </c>
      <c r="I728" s="304">
        <f t="shared" ca="1" si="332"/>
        <v>122.05793321621211</v>
      </c>
      <c r="J728" s="306">
        <f t="shared" ca="1" si="333"/>
        <v>874.13727041639572</v>
      </c>
      <c r="K728" s="307">
        <f t="shared" ca="1" si="334"/>
        <v>-3.645556235468185</v>
      </c>
      <c r="L728" s="304">
        <f t="shared" ca="1" si="319"/>
        <v>874.14487221014622</v>
      </c>
      <c r="M728" s="306">
        <f t="shared" ca="1" si="335"/>
        <v>-1.4647103118715254</v>
      </c>
      <c r="N728" s="304">
        <f t="shared" ca="1" si="336"/>
        <v>-83.92171907952897</v>
      </c>
      <c r="P728" s="310">
        <f t="shared" ca="1" si="337"/>
        <v>23</v>
      </c>
      <c r="Q728" s="304">
        <f t="shared" ca="1" si="338"/>
        <v>0</v>
      </c>
      <c r="R728" s="306">
        <f t="shared" ca="1" si="339"/>
        <v>0</v>
      </c>
      <c r="S728" s="307">
        <f t="shared" ca="1" si="340"/>
        <v>7.8079999999999892</v>
      </c>
      <c r="T728" s="304">
        <f t="shared" ca="1" si="320"/>
        <v>76.5964799999999</v>
      </c>
      <c r="U728" s="311">
        <f t="shared" ca="1" si="321"/>
        <v>0</v>
      </c>
      <c r="V728" s="306">
        <f t="shared" ca="1" si="322"/>
        <v>1.225446662055427</v>
      </c>
      <c r="W728" s="304">
        <f t="shared" ca="1" si="323"/>
        <v>59.482325872363049</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2.1367589750723388</v>
      </c>
      <c r="AH728" s="304">
        <f t="shared" ca="1" si="347"/>
        <v>-7.6180898331661338</v>
      </c>
    </row>
    <row r="729" spans="1:34" x14ac:dyDescent="0.2">
      <c r="A729" s="347">
        <f t="shared" ca="1" si="325"/>
        <v>1E-4</v>
      </c>
      <c r="B729" s="304">
        <f t="shared" ca="1" si="326"/>
        <v>35.101400000000233</v>
      </c>
      <c r="D729" s="306">
        <f t="shared" ca="1" si="327"/>
        <v>-0.80666155242740223</v>
      </c>
      <c r="E729" s="307">
        <f t="shared" ca="1" si="328"/>
        <v>-2.2347021765095665</v>
      </c>
      <c r="F729" s="304">
        <f t="shared" ca="1" si="329"/>
        <v>2.3758359955731754</v>
      </c>
      <c r="G729" s="306">
        <f t="shared" ca="1" si="330"/>
        <v>12.924284866559203</v>
      </c>
      <c r="H729" s="307">
        <f t="shared" ca="1" si="331"/>
        <v>-121.37196580174256</v>
      </c>
      <c r="I729" s="304">
        <f t="shared" ca="1" si="332"/>
        <v>122.05814688865031</v>
      </c>
      <c r="J729" s="306">
        <f t="shared" ca="1" si="333"/>
        <v>874.13727041639572</v>
      </c>
      <c r="K729" s="307">
        <f t="shared" ca="1" si="334"/>
        <v>-3.6576934208748484</v>
      </c>
      <c r="L729" s="304">
        <f t="shared" ca="1" si="319"/>
        <v>874.14492291163492</v>
      </c>
      <c r="M729" s="306">
        <f t="shared" ca="1" si="335"/>
        <v>-1.4647111629026737</v>
      </c>
      <c r="N729" s="304">
        <f t="shared" ca="1" si="336"/>
        <v>-83.921767840022</v>
      </c>
      <c r="P729" s="310">
        <f t="shared" ca="1" si="337"/>
        <v>23</v>
      </c>
      <c r="Q729" s="304">
        <f t="shared" ca="1" si="338"/>
        <v>0</v>
      </c>
      <c r="R729" s="306">
        <f t="shared" ca="1" si="339"/>
        <v>0</v>
      </c>
      <c r="S729" s="307">
        <f t="shared" ca="1" si="340"/>
        <v>7.8079999999999892</v>
      </c>
      <c r="T729" s="304">
        <f t="shared" ca="1" si="320"/>
        <v>76.5964799999999</v>
      </c>
      <c r="U729" s="311">
        <f t="shared" ca="1" si="321"/>
        <v>0</v>
      </c>
      <c r="V729" s="306">
        <f t="shared" ca="1" si="322"/>
        <v>1.2254481494037135</v>
      </c>
      <c r="W729" s="304">
        <f t="shared" ca="1" si="323"/>
        <v>59.482606325040983</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2.136723940165961</v>
      </c>
      <c r="AH729" s="304">
        <f t="shared" ca="1" si="347"/>
        <v>-7.618125752095688</v>
      </c>
    </row>
    <row r="730" spans="1:34" x14ac:dyDescent="0.2">
      <c r="A730" s="347">
        <f t="shared" ca="1" si="325"/>
        <v>1E-4</v>
      </c>
      <c r="B730" s="304">
        <f t="shared" ca="1" si="326"/>
        <v>35.101500000000236</v>
      </c>
      <c r="D730" s="306">
        <f t="shared" ca="1" si="327"/>
        <v>-0.80665890890353542</v>
      </c>
      <c r="E730" s="307">
        <f t="shared" ca="1" si="328"/>
        <v>-2.2346657733120692</v>
      </c>
      <c r="F730" s="304">
        <f t="shared" ca="1" si="329"/>
        <v>2.3758008573375569</v>
      </c>
      <c r="G730" s="306">
        <f t="shared" ca="1" si="330"/>
        <v>12.924204200668314</v>
      </c>
      <c r="H730" s="307">
        <f t="shared" ca="1" si="331"/>
        <v>-121.37218926831989</v>
      </c>
      <c r="I730" s="304">
        <f t="shared" ca="1" si="332"/>
        <v>122.05836055758506</v>
      </c>
      <c r="J730" s="306">
        <f t="shared" ca="1" si="333"/>
        <v>874.13727041639572</v>
      </c>
      <c r="K730" s="307">
        <f t="shared" ca="1" si="334"/>
        <v>-3.6698306286283513</v>
      </c>
      <c r="L730" s="304">
        <f t="shared" ca="1" si="319"/>
        <v>874.14497378173473</v>
      </c>
      <c r="M730" s="306">
        <f t="shared" ca="1" si="335"/>
        <v>-1.4647120139255307</v>
      </c>
      <c r="N730" s="304">
        <f t="shared" ca="1" si="336"/>
        <v>-83.921816600039975</v>
      </c>
      <c r="P730" s="310">
        <f t="shared" ca="1" si="337"/>
        <v>23</v>
      </c>
      <c r="Q730" s="304">
        <f t="shared" ca="1" si="338"/>
        <v>0</v>
      </c>
      <c r="R730" s="306">
        <f t="shared" ca="1" si="339"/>
        <v>0</v>
      </c>
      <c r="S730" s="307">
        <f t="shared" ca="1" si="340"/>
        <v>7.8079999999999892</v>
      </c>
      <c r="T730" s="304">
        <f t="shared" ca="1" si="320"/>
        <v>76.5964799999999</v>
      </c>
      <c r="U730" s="311">
        <f t="shared" ca="1" si="321"/>
        <v>0</v>
      </c>
      <c r="V730" s="306">
        <f t="shared" ca="1" si="322"/>
        <v>1.2254496367565439</v>
      </c>
      <c r="W730" s="304">
        <f t="shared" ca="1" si="323"/>
        <v>59.482886775394874</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2.1366889055415497</v>
      </c>
      <c r="AH730" s="304">
        <f t="shared" ca="1" si="347"/>
        <v>-7.6181616707275959</v>
      </c>
    </row>
    <row r="731" spans="1:34" x14ac:dyDescent="0.2">
      <c r="A731" s="347">
        <f t="shared" ca="1" si="325"/>
        <v>1E-4</v>
      </c>
      <c r="B731" s="304">
        <f t="shared" ca="1" si="326"/>
        <v>35.101600000000239</v>
      </c>
      <c r="D731" s="306">
        <f t="shared" ca="1" si="327"/>
        <v>-0.8066562653495839</v>
      </c>
      <c r="E731" s="307">
        <f t="shared" ca="1" si="328"/>
        <v>-2.2346293704162505</v>
      </c>
      <c r="F731" s="304">
        <f t="shared" ca="1" si="329"/>
        <v>2.3757657194165138</v>
      </c>
      <c r="G731" s="306">
        <f t="shared" ca="1" si="330"/>
        <v>12.924123535041778</v>
      </c>
      <c r="H731" s="307">
        <f t="shared" ca="1" si="331"/>
        <v>-121.37241273125693</v>
      </c>
      <c r="I731" s="304">
        <f t="shared" ca="1" si="332"/>
        <v>122.05857422301638</v>
      </c>
      <c r="J731" s="306">
        <f t="shared" ca="1" si="333"/>
        <v>874.13727041639572</v>
      </c>
      <c r="K731" s="307">
        <f t="shared" ca="1" si="334"/>
        <v>-3.68196785872833</v>
      </c>
      <c r="L731" s="304">
        <f t="shared" ca="1" si="319"/>
        <v>874.14502482044679</v>
      </c>
      <c r="M731" s="306">
        <f t="shared" ca="1" si="335"/>
        <v>-1.4647128649400969</v>
      </c>
      <c r="N731" s="304">
        <f t="shared" ca="1" si="336"/>
        <v>-83.921865359582924</v>
      </c>
      <c r="P731" s="310">
        <f t="shared" ca="1" si="337"/>
        <v>23</v>
      </c>
      <c r="Q731" s="304">
        <f t="shared" ca="1" si="338"/>
        <v>0</v>
      </c>
      <c r="R731" s="306">
        <f t="shared" ca="1" si="339"/>
        <v>0</v>
      </c>
      <c r="S731" s="307">
        <f t="shared" ca="1" si="340"/>
        <v>7.8079999999999892</v>
      </c>
      <c r="T731" s="304">
        <f t="shared" ca="1" si="320"/>
        <v>76.5964799999999</v>
      </c>
      <c r="U731" s="311">
        <f t="shared" ca="1" si="321"/>
        <v>0</v>
      </c>
      <c r="V731" s="306">
        <f t="shared" ca="1" si="322"/>
        <v>1.2254511241139185</v>
      </c>
      <c r="W731" s="304">
        <f t="shared" ca="1" si="323"/>
        <v>59.483167223424772</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2.1366538711991119</v>
      </c>
      <c r="AH731" s="304">
        <f t="shared" ca="1" si="347"/>
        <v>-7.6181975890618538</v>
      </c>
    </row>
    <row r="732" spans="1:34" x14ac:dyDescent="0.2">
      <c r="A732" s="347">
        <f t="shared" ca="1" si="325"/>
        <v>1E-4</v>
      </c>
      <c r="B732" s="304">
        <f t="shared" ca="1" si="326"/>
        <v>35.101700000000243</v>
      </c>
      <c r="D732" s="306">
        <f t="shared" ca="1" si="327"/>
        <v>-0.80665362176554867</v>
      </c>
      <c r="E732" s="307">
        <f t="shared" ca="1" si="328"/>
        <v>-2.2345929678221008</v>
      </c>
      <c r="F732" s="304">
        <f t="shared" ca="1" si="329"/>
        <v>2.3757305818100378</v>
      </c>
      <c r="G732" s="306">
        <f t="shared" ca="1" si="330"/>
        <v>12.924042869679601</v>
      </c>
      <c r="H732" s="307">
        <f t="shared" ca="1" si="331"/>
        <v>-121.37263619055371</v>
      </c>
      <c r="I732" s="304">
        <f t="shared" ca="1" si="332"/>
        <v>122.05878788494429</v>
      </c>
      <c r="J732" s="306">
        <f t="shared" ca="1" si="333"/>
        <v>874.13727041639572</v>
      </c>
      <c r="K732" s="307">
        <f t="shared" ca="1" si="334"/>
        <v>-3.6941051111744203</v>
      </c>
      <c r="L732" s="304">
        <f t="shared" ca="1" si="319"/>
        <v>874.14507602777201</v>
      </c>
      <c r="M732" s="306">
        <f t="shared" ca="1" si="335"/>
        <v>-1.4647137159463721</v>
      </c>
      <c r="N732" s="304">
        <f t="shared" ca="1" si="336"/>
        <v>-83.921914118650832</v>
      </c>
      <c r="P732" s="310">
        <f t="shared" ca="1" si="337"/>
        <v>23</v>
      </c>
      <c r="Q732" s="304">
        <f t="shared" ca="1" si="338"/>
        <v>0</v>
      </c>
      <c r="R732" s="306">
        <f t="shared" ca="1" si="339"/>
        <v>0</v>
      </c>
      <c r="S732" s="307">
        <f t="shared" ca="1" si="340"/>
        <v>7.8079999999999892</v>
      </c>
      <c r="T732" s="304">
        <f t="shared" ca="1" si="320"/>
        <v>76.5964799999999</v>
      </c>
      <c r="U732" s="311">
        <f t="shared" ca="1" si="321"/>
        <v>0</v>
      </c>
      <c r="V732" s="306">
        <f t="shared" ca="1" si="322"/>
        <v>1.2254526114758373</v>
      </c>
      <c r="W732" s="304">
        <f t="shared" ca="1" si="323"/>
        <v>59.483447669130634</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2.1366188371386396</v>
      </c>
      <c r="AH732" s="304">
        <f t="shared" ca="1" si="347"/>
        <v>-7.6182335070984699</v>
      </c>
    </row>
    <row r="733" spans="1:34" x14ac:dyDescent="0.2">
      <c r="A733" s="347">
        <f t="shared" ca="1" si="325"/>
        <v>1E-4</v>
      </c>
      <c r="B733" s="304">
        <f t="shared" ca="1" si="326"/>
        <v>35.101800000000246</v>
      </c>
      <c r="D733" s="306">
        <f t="shared" ca="1" si="327"/>
        <v>-0.80665097815143072</v>
      </c>
      <c r="E733" s="307">
        <f t="shared" ca="1" si="328"/>
        <v>-2.2345565655296271</v>
      </c>
      <c r="F733" s="304">
        <f t="shared" ca="1" si="329"/>
        <v>2.375695444518136</v>
      </c>
      <c r="G733" s="306">
        <f t="shared" ca="1" si="330"/>
        <v>12.923962204581786</v>
      </c>
      <c r="H733" s="307">
        <f t="shared" ca="1" si="331"/>
        <v>-121.37285964621026</v>
      </c>
      <c r="I733" s="304">
        <f t="shared" ca="1" si="332"/>
        <v>122.05900154336882</v>
      </c>
      <c r="J733" s="306">
        <f t="shared" ca="1" si="333"/>
        <v>874.13727041639572</v>
      </c>
      <c r="K733" s="307">
        <f t="shared" ca="1" si="334"/>
        <v>-3.7062423859662585</v>
      </c>
      <c r="L733" s="304">
        <f t="shared" ca="1" si="319"/>
        <v>874.14512740371117</v>
      </c>
      <c r="M733" s="306">
        <f t="shared" ca="1" si="335"/>
        <v>-1.4647145669443564</v>
      </c>
      <c r="N733" s="304">
        <f t="shared" ca="1" si="336"/>
        <v>-83.921962877243701</v>
      </c>
      <c r="P733" s="310">
        <f t="shared" ca="1" si="337"/>
        <v>23</v>
      </c>
      <c r="Q733" s="304">
        <f t="shared" ca="1" si="338"/>
        <v>0</v>
      </c>
      <c r="R733" s="306">
        <f t="shared" ca="1" si="339"/>
        <v>0</v>
      </c>
      <c r="S733" s="307">
        <f t="shared" ca="1" si="340"/>
        <v>7.8079999999999892</v>
      </c>
      <c r="T733" s="304">
        <f t="shared" ca="1" si="320"/>
        <v>76.5964799999999</v>
      </c>
      <c r="U733" s="311">
        <f t="shared" ca="1" si="321"/>
        <v>0</v>
      </c>
      <c r="V733" s="306">
        <f t="shared" ca="1" si="322"/>
        <v>1.2254540988422999</v>
      </c>
      <c r="W733" s="304">
        <f t="shared" ca="1" si="323"/>
        <v>59.483728112512466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2.1365838033601392</v>
      </c>
      <c r="AH733" s="304">
        <f t="shared" ca="1" si="347"/>
        <v>-7.6182694248374379</v>
      </c>
    </row>
    <row r="734" spans="1:34" x14ac:dyDescent="0.2">
      <c r="A734" s="347">
        <f t="shared" ca="1" si="325"/>
        <v>1E-4</v>
      </c>
      <c r="B734" s="304">
        <f t="shared" ca="1" si="326"/>
        <v>35.101900000000249</v>
      </c>
      <c r="D734" s="306">
        <f t="shared" ca="1" si="327"/>
        <v>-0.80664833450723172</v>
      </c>
      <c r="E734" s="307">
        <f t="shared" ca="1" si="328"/>
        <v>-2.2345201635388294</v>
      </c>
      <c r="F734" s="304">
        <f t="shared" ca="1" si="329"/>
        <v>2.3756603075408083</v>
      </c>
      <c r="G734" s="306">
        <f t="shared" ca="1" si="330"/>
        <v>12.923881539748335</v>
      </c>
      <c r="H734" s="307">
        <f t="shared" ca="1" si="331"/>
        <v>-121.37308309822662</v>
      </c>
      <c r="I734" s="304">
        <f t="shared" ca="1" si="332"/>
        <v>122.05921519829</v>
      </c>
      <c r="J734" s="306">
        <f t="shared" ca="1" si="333"/>
        <v>874.13727041639572</v>
      </c>
      <c r="K734" s="307">
        <f t="shared" ca="1" si="334"/>
        <v>-3.7183796831034805</v>
      </c>
      <c r="L734" s="304">
        <f t="shared" ca="1" si="319"/>
        <v>874.1451789482652</v>
      </c>
      <c r="M734" s="306">
        <f t="shared" ca="1" si="335"/>
        <v>-1.46471541793405</v>
      </c>
      <c r="N734" s="304">
        <f t="shared" ca="1" si="336"/>
        <v>-83.922011635361557</v>
      </c>
      <c r="P734" s="310">
        <f t="shared" ca="1" si="337"/>
        <v>23</v>
      </c>
      <c r="Q734" s="304">
        <f t="shared" ca="1" si="338"/>
        <v>0</v>
      </c>
      <c r="R734" s="306">
        <f t="shared" ca="1" si="339"/>
        <v>0</v>
      </c>
      <c r="S734" s="307">
        <f t="shared" ca="1" si="340"/>
        <v>7.8079999999999892</v>
      </c>
      <c r="T734" s="304">
        <f t="shared" ca="1" si="320"/>
        <v>76.5964799999999</v>
      </c>
      <c r="U734" s="311">
        <f t="shared" ca="1" si="321"/>
        <v>0</v>
      </c>
      <c r="V734" s="306">
        <f t="shared" ca="1" si="322"/>
        <v>1.2254555862133063</v>
      </c>
      <c r="W734" s="304">
        <f t="shared" ca="1" si="323"/>
        <v>59.48400855357027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2.1365487698636061</v>
      </c>
      <c r="AH734" s="304">
        <f t="shared" ca="1" si="347"/>
        <v>-7.6183053422787586</v>
      </c>
    </row>
    <row r="735" spans="1:34" x14ac:dyDescent="0.2">
      <c r="A735" s="347">
        <f t="shared" ca="1" si="325"/>
        <v>1E-4</v>
      </c>
      <c r="B735" s="304">
        <f t="shared" ca="1" si="326"/>
        <v>35.102000000000253</v>
      </c>
      <c r="D735" s="306">
        <f t="shared" ca="1" si="327"/>
        <v>-0.80664569083295168</v>
      </c>
      <c r="E735" s="307">
        <f t="shared" ca="1" si="328"/>
        <v>-2.2344837618497051</v>
      </c>
      <c r="F735" s="304">
        <f t="shared" ca="1" si="329"/>
        <v>2.3756251708780529</v>
      </c>
      <c r="G735" s="306">
        <f t="shared" ca="1" si="330"/>
        <v>12.923800875179252</v>
      </c>
      <c r="H735" s="307">
        <f t="shared" ca="1" si="331"/>
        <v>-121.37330654660281</v>
      </c>
      <c r="I735" s="304">
        <f t="shared" ca="1" si="332"/>
        <v>122.05942884970787</v>
      </c>
      <c r="J735" s="306">
        <f t="shared" ca="1" si="333"/>
        <v>874.13727041639572</v>
      </c>
      <c r="K735" s="307">
        <f t="shared" ca="1" si="334"/>
        <v>-3.7305170025857222</v>
      </c>
      <c r="L735" s="304">
        <f t="shared" ca="1" si="319"/>
        <v>874.14523066143499</v>
      </c>
      <c r="M735" s="306">
        <f t="shared" ca="1" si="335"/>
        <v>-1.4647162689154529</v>
      </c>
      <c r="N735" s="304">
        <f t="shared" ca="1" si="336"/>
        <v>-83.922060393004386</v>
      </c>
      <c r="P735" s="310">
        <f t="shared" ca="1" si="337"/>
        <v>23</v>
      </c>
      <c r="Q735" s="304">
        <f t="shared" ca="1" si="338"/>
        <v>0</v>
      </c>
      <c r="R735" s="306">
        <f t="shared" ca="1" si="339"/>
        <v>0</v>
      </c>
      <c r="S735" s="307">
        <f t="shared" ca="1" si="340"/>
        <v>7.8079999999999892</v>
      </c>
      <c r="T735" s="304">
        <f t="shared" ca="1" si="320"/>
        <v>76.5964799999999</v>
      </c>
      <c r="U735" s="311">
        <f t="shared" ca="1" si="321"/>
        <v>0</v>
      </c>
      <c r="V735" s="306">
        <f t="shared" ca="1" si="322"/>
        <v>1.2254570735888568</v>
      </c>
      <c r="W735" s="304">
        <f t="shared" ca="1" si="323"/>
        <v>59.484288992304059</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2.1365137366490492</v>
      </c>
      <c r="AH735" s="304">
        <f t="shared" ca="1" si="347"/>
        <v>-7.618341259422432</v>
      </c>
    </row>
    <row r="736" spans="1:34" x14ac:dyDescent="0.2">
      <c r="A736" s="347">
        <f t="shared" ca="1" si="325"/>
        <v>1E-4</v>
      </c>
      <c r="B736" s="304">
        <f t="shared" ca="1" si="326"/>
        <v>35.102100000000256</v>
      </c>
      <c r="D736" s="306">
        <f t="shared" ca="1" si="327"/>
        <v>-0.80664304712859258</v>
      </c>
      <c r="E736" s="307">
        <f t="shared" ca="1" si="328"/>
        <v>-2.234447360462255</v>
      </c>
      <c r="F736" s="304">
        <f t="shared" ca="1" si="329"/>
        <v>2.3755900345298722</v>
      </c>
      <c r="G736" s="306">
        <f t="shared" ca="1" si="330"/>
        <v>12.923720210874539</v>
      </c>
      <c r="H736" s="307">
        <f t="shared" ca="1" si="331"/>
        <v>-121.37352999133886</v>
      </c>
      <c r="I736" s="304">
        <f t="shared" ca="1" si="332"/>
        <v>122.05964249762243</v>
      </c>
      <c r="J736" s="306">
        <f t="shared" ca="1" si="333"/>
        <v>874.13727041639572</v>
      </c>
      <c r="K736" s="307">
        <f t="shared" ca="1" si="334"/>
        <v>-3.7426543444126192</v>
      </c>
      <c r="L736" s="304">
        <f t="shared" ca="1" si="319"/>
        <v>874.14528254322158</v>
      </c>
      <c r="M736" s="306">
        <f t="shared" ca="1" si="335"/>
        <v>-1.4647171198885656</v>
      </c>
      <c r="N736" s="304">
        <f t="shared" ca="1" si="336"/>
        <v>-83.922109150172219</v>
      </c>
      <c r="P736" s="310">
        <f t="shared" ca="1" si="337"/>
        <v>23</v>
      </c>
      <c r="Q736" s="304">
        <f t="shared" ca="1" si="338"/>
        <v>0</v>
      </c>
      <c r="R736" s="306">
        <f t="shared" ca="1" si="339"/>
        <v>0</v>
      </c>
      <c r="S736" s="307">
        <f t="shared" ca="1" si="340"/>
        <v>7.8079999999999892</v>
      </c>
      <c r="T736" s="304">
        <f t="shared" ca="1" si="320"/>
        <v>76.5964799999999</v>
      </c>
      <c r="U736" s="311">
        <f t="shared" ca="1" si="321"/>
        <v>0</v>
      </c>
      <c r="V736" s="306">
        <f t="shared" ca="1" si="322"/>
        <v>1.2254585609689508</v>
      </c>
      <c r="W736" s="304">
        <f t="shared" ca="1" si="323"/>
        <v>59.484569428713783</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2.136478703716457</v>
      </c>
      <c r="AH736" s="304">
        <f t="shared" ca="1" si="347"/>
        <v>-7.6183771762684609</v>
      </c>
    </row>
    <row r="737" spans="1:34" x14ac:dyDescent="0.2">
      <c r="A737" s="347">
        <f t="shared" ca="1" si="325"/>
        <v>1E-4</v>
      </c>
      <c r="B737" s="304">
        <f t="shared" ca="1" si="326"/>
        <v>35.102200000000259</v>
      </c>
      <c r="D737" s="306">
        <f t="shared" ca="1" si="327"/>
        <v>-0.80664040339415188</v>
      </c>
      <c r="E737" s="307">
        <f t="shared" ca="1" si="328"/>
        <v>-2.2344109593764845</v>
      </c>
      <c r="F737" s="304">
        <f t="shared" ca="1" si="329"/>
        <v>2.3755548984962696</v>
      </c>
      <c r="G737" s="306">
        <f t="shared" ca="1" si="330"/>
        <v>12.923639546834199</v>
      </c>
      <c r="H737" s="307">
        <f t="shared" ca="1" si="331"/>
        <v>-121.3737534324348</v>
      </c>
      <c r="I737" s="304">
        <f t="shared" ca="1" si="332"/>
        <v>122.05985614203375</v>
      </c>
      <c r="J737" s="306">
        <f t="shared" ca="1" si="333"/>
        <v>874.13727041639572</v>
      </c>
      <c r="K737" s="307">
        <f t="shared" ca="1" si="334"/>
        <v>-3.7547917085838081</v>
      </c>
      <c r="L737" s="304">
        <f t="shared" ca="1" si="319"/>
        <v>874.14533459362565</v>
      </c>
      <c r="M737" s="306">
        <f t="shared" ca="1" si="335"/>
        <v>-1.4647179708533877</v>
      </c>
      <c r="N737" s="304">
        <f t="shared" ca="1" si="336"/>
        <v>-83.922157906865039</v>
      </c>
      <c r="P737" s="310">
        <f t="shared" ca="1" si="337"/>
        <v>23</v>
      </c>
      <c r="Q737" s="304">
        <f t="shared" ca="1" si="338"/>
        <v>0</v>
      </c>
      <c r="R737" s="306">
        <f t="shared" ca="1" si="339"/>
        <v>0</v>
      </c>
      <c r="S737" s="307">
        <f t="shared" ca="1" si="340"/>
        <v>7.8079999999999892</v>
      </c>
      <c r="T737" s="304">
        <f t="shared" ca="1" si="320"/>
        <v>76.5964799999999</v>
      </c>
      <c r="U737" s="311">
        <f t="shared" ca="1" si="321"/>
        <v>0</v>
      </c>
      <c r="V737" s="306">
        <f t="shared" ca="1" si="322"/>
        <v>1.2254600483535887</v>
      </c>
      <c r="W737" s="304">
        <f t="shared" ca="1" si="323"/>
        <v>59.484849862799521</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2.1364436710658428</v>
      </c>
      <c r="AH737" s="304">
        <f t="shared" ca="1" si="347"/>
        <v>-7.6184130928168372</v>
      </c>
    </row>
    <row r="738" spans="1:34" x14ac:dyDescent="0.2">
      <c r="A738" s="347">
        <f t="shared" ca="1" si="325"/>
        <v>1E-4</v>
      </c>
      <c r="B738" s="304">
        <f t="shared" ca="1" si="326"/>
        <v>35.102300000000263</v>
      </c>
      <c r="D738" s="306">
        <f t="shared" ca="1" si="327"/>
        <v>-0.80663775962963402</v>
      </c>
      <c r="E738" s="307">
        <f t="shared" ca="1" si="328"/>
        <v>-2.2343745585923829</v>
      </c>
      <c r="F738" s="304">
        <f t="shared" ca="1" si="329"/>
        <v>2.3755197627772371</v>
      </c>
      <c r="G738" s="306">
        <f t="shared" ca="1" si="330"/>
        <v>12.923558883058236</v>
      </c>
      <c r="H738" s="307">
        <f t="shared" ca="1" si="331"/>
        <v>-121.37397686989065</v>
      </c>
      <c r="I738" s="304">
        <f t="shared" ca="1" si="332"/>
        <v>122.06006978294181</v>
      </c>
      <c r="J738" s="306">
        <f t="shared" ca="1" si="333"/>
        <v>874.13727041639572</v>
      </c>
      <c r="K738" s="307">
        <f t="shared" ca="1" si="334"/>
        <v>-3.7669290950989245</v>
      </c>
      <c r="L738" s="304">
        <f t="shared" ca="1" si="319"/>
        <v>874.14538681264821</v>
      </c>
      <c r="M738" s="306">
        <f t="shared" ca="1" si="335"/>
        <v>-1.4647188218099199</v>
      </c>
      <c r="N738" s="304">
        <f t="shared" ca="1" si="336"/>
        <v>-83.922206663082889</v>
      </c>
      <c r="P738" s="310">
        <f t="shared" ca="1" si="337"/>
        <v>23</v>
      </c>
      <c r="Q738" s="304">
        <f t="shared" ca="1" si="338"/>
        <v>0</v>
      </c>
      <c r="R738" s="306">
        <f t="shared" ca="1" si="339"/>
        <v>0</v>
      </c>
      <c r="S738" s="307">
        <f t="shared" ca="1" si="340"/>
        <v>7.8079999999999892</v>
      </c>
      <c r="T738" s="304">
        <f t="shared" ca="1" si="320"/>
        <v>76.5964799999999</v>
      </c>
      <c r="U738" s="311">
        <f t="shared" ca="1" si="321"/>
        <v>0</v>
      </c>
      <c r="V738" s="306">
        <f t="shared" ca="1" si="322"/>
        <v>1.2254615357427705</v>
      </c>
      <c r="W738" s="304">
        <f t="shared" ca="1" si="323"/>
        <v>59.485130294561195</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2.136408638697195</v>
      </c>
      <c r="AH738" s="304">
        <f t="shared" ca="1" si="347"/>
        <v>-7.6184490090675725</v>
      </c>
    </row>
    <row r="739" spans="1:34" x14ac:dyDescent="0.2">
      <c r="A739" s="347">
        <f t="shared" ca="1" si="325"/>
        <v>1E-4</v>
      </c>
      <c r="B739" s="304">
        <f t="shared" ca="1" si="326"/>
        <v>35.102400000000266</v>
      </c>
      <c r="D739" s="306">
        <f t="shared" ca="1" si="327"/>
        <v>-0.80663511583503622</v>
      </c>
      <c r="E739" s="307">
        <f t="shared" ca="1" si="328"/>
        <v>-2.2343381581099617</v>
      </c>
      <c r="F739" s="304">
        <f t="shared" ca="1" si="329"/>
        <v>2.3754846273727845</v>
      </c>
      <c r="G739" s="306">
        <f t="shared" ca="1" si="330"/>
        <v>12.923478219546652</v>
      </c>
      <c r="H739" s="307">
        <f t="shared" ca="1" si="331"/>
        <v>-121.37420030370646</v>
      </c>
      <c r="I739" s="304">
        <f t="shared" ca="1" si="332"/>
        <v>122.06028342034666</v>
      </c>
      <c r="J739" s="306">
        <f t="shared" ca="1" si="333"/>
        <v>874.13727041639572</v>
      </c>
      <c r="K739" s="307">
        <f t="shared" ca="1" si="334"/>
        <v>-3.7790665039576044</v>
      </c>
      <c r="L739" s="304">
        <f t="shared" ca="1" si="319"/>
        <v>874.14543920029018</v>
      </c>
      <c r="M739" s="306">
        <f t="shared" ca="1" si="335"/>
        <v>-1.4647196727581617</v>
      </c>
      <c r="N739" s="304">
        <f t="shared" ca="1" si="336"/>
        <v>-83.922255418825728</v>
      </c>
      <c r="P739" s="310">
        <f t="shared" ca="1" si="337"/>
        <v>23</v>
      </c>
      <c r="Q739" s="304">
        <f t="shared" ca="1" si="338"/>
        <v>0</v>
      </c>
      <c r="R739" s="306">
        <f t="shared" ca="1" si="339"/>
        <v>0</v>
      </c>
      <c r="S739" s="307">
        <f t="shared" ca="1" si="340"/>
        <v>7.8079999999999892</v>
      </c>
      <c r="T739" s="304">
        <f t="shared" ca="1" si="320"/>
        <v>76.5964799999999</v>
      </c>
      <c r="U739" s="311">
        <f t="shared" ca="1" si="321"/>
        <v>0</v>
      </c>
      <c r="V739" s="306">
        <f t="shared" ca="1" si="322"/>
        <v>1.2254630231364962</v>
      </c>
      <c r="W739" s="304">
        <f t="shared" ca="1" si="323"/>
        <v>59.485410723998868</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2.136373606610527</v>
      </c>
      <c r="AH739" s="304">
        <f t="shared" ca="1" si="347"/>
        <v>-7.6184849250206552</v>
      </c>
    </row>
    <row r="740" spans="1:34" x14ac:dyDescent="0.2">
      <c r="A740" s="347">
        <f t="shared" ca="1" si="325"/>
        <v>1E-4</v>
      </c>
      <c r="B740" s="304">
        <f t="shared" ca="1" si="326"/>
        <v>35.102500000000269</v>
      </c>
      <c r="D740" s="306">
        <f t="shared" ca="1" si="327"/>
        <v>-0.8066324720103627</v>
      </c>
      <c r="E740" s="307">
        <f t="shared" ca="1" si="328"/>
        <v>-2.2343017579292113</v>
      </c>
      <c r="F740" s="304">
        <f t="shared" ca="1" si="329"/>
        <v>2.3754494922829053</v>
      </c>
      <c r="G740" s="306">
        <f t="shared" ca="1" si="330"/>
        <v>12.923397556299451</v>
      </c>
      <c r="H740" s="307">
        <f t="shared" ca="1" si="331"/>
        <v>-121.37442373388225</v>
      </c>
      <c r="I740" s="304">
        <f t="shared" ca="1" si="332"/>
        <v>122.06049705424833</v>
      </c>
      <c r="J740" s="306">
        <f t="shared" ca="1" si="333"/>
        <v>874.13727041639572</v>
      </c>
      <c r="K740" s="307">
        <f t="shared" ca="1" si="334"/>
        <v>-3.791203935159484</v>
      </c>
      <c r="L740" s="304">
        <f t="shared" ca="1" si="319"/>
        <v>874.14549175655247</v>
      </c>
      <c r="M740" s="306">
        <f t="shared" ca="1" si="335"/>
        <v>-1.4647205236981136</v>
      </c>
      <c r="N740" s="304">
        <f t="shared" ca="1" si="336"/>
        <v>-83.922304174093583</v>
      </c>
      <c r="P740" s="310">
        <f t="shared" ca="1" si="337"/>
        <v>23</v>
      </c>
      <c r="Q740" s="304">
        <f t="shared" ca="1" si="338"/>
        <v>0</v>
      </c>
      <c r="R740" s="306">
        <f t="shared" ca="1" si="339"/>
        <v>0</v>
      </c>
      <c r="S740" s="307">
        <f t="shared" ca="1" si="340"/>
        <v>7.8079999999999892</v>
      </c>
      <c r="T740" s="304">
        <f t="shared" ca="1" si="320"/>
        <v>76.5964799999999</v>
      </c>
      <c r="U740" s="311">
        <f t="shared" ca="1" si="321"/>
        <v>0</v>
      </c>
      <c r="V740" s="306">
        <f t="shared" ca="1" si="322"/>
        <v>1.2254645105347652</v>
      </c>
      <c r="W740" s="304">
        <f t="shared" ca="1" si="323"/>
        <v>59.485691151112455</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2.1363385748058255</v>
      </c>
      <c r="AH740" s="304">
        <f t="shared" ca="1" si="347"/>
        <v>-7.6185208406760951</v>
      </c>
    </row>
    <row r="741" spans="1:34" x14ac:dyDescent="0.2">
      <c r="A741" s="347">
        <f t="shared" ca="1" si="325"/>
        <v>1E-4</v>
      </c>
      <c r="B741" s="304">
        <f t="shared" ca="1" si="326"/>
        <v>35.102600000000272</v>
      </c>
      <c r="D741" s="306">
        <f t="shared" ca="1" si="327"/>
        <v>-0.80662982815561235</v>
      </c>
      <c r="E741" s="307">
        <f t="shared" ca="1" si="328"/>
        <v>-2.234265358050143</v>
      </c>
      <c r="F741" s="304">
        <f t="shared" ca="1" si="329"/>
        <v>2.375414357507609</v>
      </c>
      <c r="G741" s="306">
        <f t="shared" ca="1" si="330"/>
        <v>12.923316893316635</v>
      </c>
      <c r="H741" s="307">
        <f t="shared" ca="1" si="331"/>
        <v>-121.37464716041806</v>
      </c>
      <c r="I741" s="304">
        <f t="shared" ca="1" si="332"/>
        <v>122.06071068464686</v>
      </c>
      <c r="J741" s="306">
        <f t="shared" ca="1" si="333"/>
        <v>874.13727041639572</v>
      </c>
      <c r="K741" s="307">
        <f t="shared" ca="1" si="334"/>
        <v>-3.8033413887041991</v>
      </c>
      <c r="L741" s="304">
        <f t="shared" ca="1" si="319"/>
        <v>874.14554448143588</v>
      </c>
      <c r="M741" s="306">
        <f t="shared" ca="1" si="335"/>
        <v>-1.4647213746297756</v>
      </c>
      <c r="N741" s="304">
        <f t="shared" ca="1" si="336"/>
        <v>-83.922352928886468</v>
      </c>
      <c r="P741" s="310">
        <f t="shared" ca="1" si="337"/>
        <v>23</v>
      </c>
      <c r="Q741" s="304">
        <f t="shared" ca="1" si="338"/>
        <v>0</v>
      </c>
      <c r="R741" s="306">
        <f t="shared" ca="1" si="339"/>
        <v>0</v>
      </c>
      <c r="S741" s="307">
        <f t="shared" ca="1" si="340"/>
        <v>7.8079999999999892</v>
      </c>
      <c r="T741" s="304">
        <f t="shared" ca="1" si="320"/>
        <v>76.5964799999999</v>
      </c>
      <c r="U741" s="311">
        <f t="shared" ca="1" si="321"/>
        <v>0</v>
      </c>
      <c r="V741" s="306">
        <f t="shared" ca="1" si="322"/>
        <v>1.2254659979375782</v>
      </c>
      <c r="W741" s="304">
        <f t="shared" ca="1" si="323"/>
        <v>59.48597157590207</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2.1363035432831055</v>
      </c>
      <c r="AH741" s="304">
        <f t="shared" ca="1" si="347"/>
        <v>-7.6185567560338807</v>
      </c>
    </row>
    <row r="742" spans="1:34" x14ac:dyDescent="0.2">
      <c r="A742" s="347">
        <f t="shared" ca="1" si="325"/>
        <v>1E-4</v>
      </c>
      <c r="B742" s="304">
        <f t="shared" ca="1" si="326"/>
        <v>35.102700000000276</v>
      </c>
      <c r="D742" s="306">
        <f t="shared" ca="1" si="327"/>
        <v>-0.8066271842707865</v>
      </c>
      <c r="E742" s="307">
        <f t="shared" ca="1" si="328"/>
        <v>-2.2342289584727437</v>
      </c>
      <c r="F742" s="304">
        <f t="shared" ca="1" si="329"/>
        <v>2.3753792230468842</v>
      </c>
      <c r="G742" s="306">
        <f t="shared" ca="1" si="330"/>
        <v>12.923236230598208</v>
      </c>
      <c r="H742" s="307">
        <f t="shared" ca="1" si="331"/>
        <v>-121.37487058331391</v>
      </c>
      <c r="I742" s="304">
        <f t="shared" ca="1" si="332"/>
        <v>122.06092431154225</v>
      </c>
      <c r="J742" s="306">
        <f t="shared" ca="1" si="333"/>
        <v>874.13727041639572</v>
      </c>
      <c r="K742" s="307">
        <f t="shared" ca="1" si="334"/>
        <v>-3.8154788645913857</v>
      </c>
      <c r="L742" s="304">
        <f t="shared" ca="1" si="319"/>
        <v>874.1455973749413</v>
      </c>
      <c r="M742" s="306">
        <f t="shared" ca="1" si="335"/>
        <v>-1.464722225553148</v>
      </c>
      <c r="N742" s="304">
        <f t="shared" ca="1" si="336"/>
        <v>-83.922401683204399</v>
      </c>
      <c r="P742" s="310">
        <f t="shared" ca="1" si="337"/>
        <v>23</v>
      </c>
      <c r="Q742" s="304">
        <f t="shared" ca="1" si="338"/>
        <v>0</v>
      </c>
      <c r="R742" s="306">
        <f t="shared" ca="1" si="339"/>
        <v>0</v>
      </c>
      <c r="S742" s="307">
        <f t="shared" ca="1" si="340"/>
        <v>7.8079999999999892</v>
      </c>
      <c r="T742" s="304">
        <f t="shared" ca="1" si="320"/>
        <v>76.5964799999999</v>
      </c>
      <c r="U742" s="311">
        <f t="shared" ca="1" si="321"/>
        <v>0</v>
      </c>
      <c r="V742" s="306">
        <f t="shared" ca="1" si="322"/>
        <v>1.2254674853449352</v>
      </c>
      <c r="W742" s="304">
        <f t="shared" ca="1" si="323"/>
        <v>59.486251998367628</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2.1362685120423519</v>
      </c>
      <c r="AH742" s="304">
        <f t="shared" ca="1" si="347"/>
        <v>-7.6185926710940253</v>
      </c>
    </row>
    <row r="743" spans="1:34" x14ac:dyDescent="0.2">
      <c r="A743" s="347">
        <f t="shared" ca="1" si="325"/>
        <v>1E-4</v>
      </c>
      <c r="B743" s="304">
        <f t="shared" ca="1" si="326"/>
        <v>35.102800000000279</v>
      </c>
      <c r="D743" s="306">
        <f t="shared" ca="1" si="327"/>
        <v>-0.80662454035588416</v>
      </c>
      <c r="E743" s="307">
        <f t="shared" ca="1" si="328"/>
        <v>-2.2341925591970222</v>
      </c>
      <c r="F743" s="304">
        <f t="shared" ca="1" si="329"/>
        <v>2.3753440889007389</v>
      </c>
      <c r="G743" s="306">
        <f t="shared" ca="1" si="330"/>
        <v>12.923155568144173</v>
      </c>
      <c r="H743" s="307">
        <f t="shared" ca="1" si="331"/>
        <v>-121.37509400256982</v>
      </c>
      <c r="I743" s="304">
        <f t="shared" ca="1" si="332"/>
        <v>122.06113793493455</v>
      </c>
      <c r="J743" s="306">
        <f t="shared" ca="1" si="333"/>
        <v>874.13727041639572</v>
      </c>
      <c r="K743" s="307">
        <f t="shared" ca="1" si="334"/>
        <v>-3.8276163628206801</v>
      </c>
      <c r="L743" s="304">
        <f t="shared" ca="1" si="319"/>
        <v>874.14565043706978</v>
      </c>
      <c r="M743" s="306">
        <f t="shared" ca="1" si="335"/>
        <v>-1.4647230764682306</v>
      </c>
      <c r="N743" s="304">
        <f t="shared" ca="1" si="336"/>
        <v>-83.92245043704736</v>
      </c>
      <c r="P743" s="310">
        <f t="shared" ca="1" si="337"/>
        <v>23</v>
      </c>
      <c r="Q743" s="304">
        <f t="shared" ca="1" si="338"/>
        <v>0</v>
      </c>
      <c r="R743" s="306">
        <f t="shared" ca="1" si="339"/>
        <v>0</v>
      </c>
      <c r="S743" s="307">
        <f t="shared" ca="1" si="340"/>
        <v>7.8079999999999892</v>
      </c>
      <c r="T743" s="304">
        <f t="shared" ca="1" si="320"/>
        <v>76.5964799999999</v>
      </c>
      <c r="U743" s="311">
        <f t="shared" ca="1" si="321"/>
        <v>0</v>
      </c>
      <c r="V743" s="306">
        <f t="shared" ca="1" si="322"/>
        <v>1.2254689727568358</v>
      </c>
      <c r="W743" s="304">
        <f t="shared" ca="1" si="323"/>
        <v>59.486532418509171</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2.1362334810835737</v>
      </c>
      <c r="AH743" s="304">
        <f t="shared" ca="1" si="347"/>
        <v>-7.6186285858565199</v>
      </c>
    </row>
    <row r="744" spans="1:34" x14ac:dyDescent="0.2">
      <c r="A744" s="347">
        <f t="shared" ca="1" si="325"/>
        <v>1E-4</v>
      </c>
      <c r="B744" s="304">
        <f t="shared" ca="1" si="326"/>
        <v>35.102900000000282</v>
      </c>
      <c r="D744" s="306">
        <f t="shared" ca="1" si="327"/>
        <v>-0.80662189641090909</v>
      </c>
      <c r="E744" s="307">
        <f t="shared" ca="1" si="328"/>
        <v>-2.234156160222974</v>
      </c>
      <c r="F744" s="304">
        <f t="shared" ca="1" si="329"/>
        <v>2.3753089550691704</v>
      </c>
      <c r="G744" s="306">
        <f t="shared" ca="1" si="330"/>
        <v>12.923074905954532</v>
      </c>
      <c r="H744" s="307">
        <f t="shared" ca="1" si="331"/>
        <v>-121.37531741818584</v>
      </c>
      <c r="I744" s="304">
        <f t="shared" ca="1" si="332"/>
        <v>122.06135155482377</v>
      </c>
      <c r="J744" s="306">
        <f t="shared" ca="1" si="333"/>
        <v>874.13727041639572</v>
      </c>
      <c r="K744" s="307">
        <f t="shared" ca="1" si="334"/>
        <v>-3.839753883391718</v>
      </c>
      <c r="L744" s="304">
        <f t="shared" ca="1" si="319"/>
        <v>874.1457036678222</v>
      </c>
      <c r="M744" s="306">
        <f t="shared" ca="1" si="335"/>
        <v>-1.4647239273750239</v>
      </c>
      <c r="N744" s="304">
        <f t="shared" ca="1" si="336"/>
        <v>-83.92249919041538</v>
      </c>
      <c r="P744" s="310">
        <f t="shared" ca="1" si="337"/>
        <v>23</v>
      </c>
      <c r="Q744" s="304">
        <f t="shared" ca="1" si="338"/>
        <v>0</v>
      </c>
      <c r="R744" s="306">
        <f t="shared" ca="1" si="339"/>
        <v>0</v>
      </c>
      <c r="S744" s="307">
        <f t="shared" ca="1" si="340"/>
        <v>7.8079999999999892</v>
      </c>
      <c r="T744" s="304">
        <f t="shared" ca="1" si="320"/>
        <v>76.5964799999999</v>
      </c>
      <c r="U744" s="311">
        <f t="shared" ca="1" si="321"/>
        <v>0</v>
      </c>
      <c r="V744" s="306">
        <f t="shared" ca="1" si="322"/>
        <v>1.2254704601732795</v>
      </c>
      <c r="W744" s="304">
        <f t="shared" ca="1" si="323"/>
        <v>59.486812836326642</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2.1361984504067699</v>
      </c>
      <c r="AH744" s="304">
        <f t="shared" ca="1" si="347"/>
        <v>-7.6186645003213691</v>
      </c>
    </row>
    <row r="745" spans="1:34" x14ac:dyDescent="0.2">
      <c r="A745" s="347">
        <f t="shared" ca="1" si="325"/>
        <v>1E-4</v>
      </c>
      <c r="B745" s="304">
        <f t="shared" ca="1" si="326"/>
        <v>35.103000000000286</v>
      </c>
      <c r="D745" s="306">
        <f t="shared" ca="1" si="327"/>
        <v>-0.80661925243585908</v>
      </c>
      <c r="E745" s="307">
        <f t="shared" ca="1" si="328"/>
        <v>-2.2341197615506045</v>
      </c>
      <c r="F745" s="304">
        <f t="shared" ca="1" si="329"/>
        <v>2.3752738215521836</v>
      </c>
      <c r="G745" s="306">
        <f t="shared" ca="1" si="330"/>
        <v>12.922994244029288</v>
      </c>
      <c r="H745" s="307">
        <f t="shared" ca="1" si="331"/>
        <v>-121.375540830162</v>
      </c>
      <c r="I745" s="304">
        <f t="shared" ca="1" si="332"/>
        <v>122.06156517120996</v>
      </c>
      <c r="J745" s="306">
        <f t="shared" ca="1" si="333"/>
        <v>874.13727041639572</v>
      </c>
      <c r="K745" s="307">
        <f t="shared" ca="1" si="334"/>
        <v>-3.8518914263041353</v>
      </c>
      <c r="L745" s="304">
        <f t="shared" ca="1" si="319"/>
        <v>874.14575706719927</v>
      </c>
      <c r="M745" s="306">
        <f t="shared" ca="1" si="335"/>
        <v>-1.4647247782735275</v>
      </c>
      <c r="N745" s="304">
        <f t="shared" ca="1" si="336"/>
        <v>-83.92254794330843</v>
      </c>
      <c r="P745" s="310">
        <f t="shared" ca="1" si="337"/>
        <v>23</v>
      </c>
      <c r="Q745" s="304">
        <f t="shared" ca="1" si="338"/>
        <v>0</v>
      </c>
      <c r="R745" s="306">
        <f t="shared" ca="1" si="339"/>
        <v>0</v>
      </c>
      <c r="S745" s="307">
        <f t="shared" ca="1" si="340"/>
        <v>7.8079999999999892</v>
      </c>
      <c r="T745" s="304">
        <f t="shared" ca="1" si="320"/>
        <v>76.5964799999999</v>
      </c>
      <c r="U745" s="311">
        <f t="shared" ca="1" si="321"/>
        <v>0</v>
      </c>
      <c r="V745" s="306">
        <f t="shared" ca="1" si="322"/>
        <v>1.225471947594267</v>
      </c>
      <c r="W745" s="304">
        <f t="shared" ca="1" si="323"/>
        <v>59.487093251820085</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2.136163420011945</v>
      </c>
      <c r="AH745" s="304">
        <f t="shared" ca="1" si="347"/>
        <v>-7.6187004144885666</v>
      </c>
    </row>
    <row r="746" spans="1:34" x14ac:dyDescent="0.2">
      <c r="A746" s="347">
        <f t="shared" ca="1" si="325"/>
        <v>1E-4</v>
      </c>
      <c r="B746" s="304">
        <f t="shared" ca="1" si="326"/>
        <v>35.103100000000289</v>
      </c>
      <c r="D746" s="306">
        <f t="shared" ca="1" si="327"/>
        <v>-0.8066166084307379</v>
      </c>
      <c r="E746" s="307">
        <f t="shared" ca="1" si="328"/>
        <v>-2.234083363179912</v>
      </c>
      <c r="F746" s="304">
        <f t="shared" ca="1" si="329"/>
        <v>2.3752386883497776</v>
      </c>
      <c r="G746" s="306">
        <f t="shared" ca="1" si="330"/>
        <v>12.922913582368446</v>
      </c>
      <c r="H746" s="307">
        <f t="shared" ca="1" si="331"/>
        <v>-121.37576423849832</v>
      </c>
      <c r="I746" s="304">
        <f t="shared" ca="1" si="332"/>
        <v>122.06177878409314</v>
      </c>
      <c r="J746" s="306">
        <f t="shared" ca="1" si="333"/>
        <v>874.13727041639572</v>
      </c>
      <c r="K746" s="307">
        <f t="shared" ca="1" si="334"/>
        <v>-3.8640289915575683</v>
      </c>
      <c r="L746" s="304">
        <f t="shared" ca="1" si="319"/>
        <v>874.145810635202</v>
      </c>
      <c r="M746" s="306">
        <f t="shared" ca="1" si="335"/>
        <v>-1.464725629163742</v>
      </c>
      <c r="N746" s="304">
        <f t="shared" ca="1" si="336"/>
        <v>-83.922596695726554</v>
      </c>
      <c r="P746" s="310">
        <f t="shared" ca="1" si="337"/>
        <v>23</v>
      </c>
      <c r="Q746" s="304">
        <f t="shared" ca="1" si="338"/>
        <v>0</v>
      </c>
      <c r="R746" s="306">
        <f t="shared" ca="1" si="339"/>
        <v>0</v>
      </c>
      <c r="S746" s="307">
        <f t="shared" ca="1" si="340"/>
        <v>7.8079999999999892</v>
      </c>
      <c r="T746" s="304">
        <f t="shared" ca="1" si="320"/>
        <v>76.5964799999999</v>
      </c>
      <c r="U746" s="311">
        <f t="shared" ca="1" si="321"/>
        <v>0</v>
      </c>
      <c r="V746" s="306">
        <f t="shared" ca="1" si="322"/>
        <v>1.225473435019798</v>
      </c>
      <c r="W746" s="304">
        <f t="shared" ca="1" si="323"/>
        <v>59.487373664989484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2.1361283898990955</v>
      </c>
      <c r="AH746" s="304">
        <f t="shared" ca="1" si="347"/>
        <v>-7.618736328358116</v>
      </c>
    </row>
    <row r="747" spans="1:34" x14ac:dyDescent="0.2">
      <c r="A747" s="347">
        <f t="shared" ca="1" si="325"/>
        <v>1E-4</v>
      </c>
      <c r="B747" s="304">
        <f t="shared" ca="1" si="326"/>
        <v>35.103200000000292</v>
      </c>
      <c r="D747" s="306">
        <f t="shared" ca="1" si="327"/>
        <v>-0.80661396439554345</v>
      </c>
      <c r="E747" s="307">
        <f t="shared" ca="1" si="328"/>
        <v>-2.2340469651108963</v>
      </c>
      <c r="F747" s="304">
        <f t="shared" ca="1" si="329"/>
        <v>2.3752035554619528</v>
      </c>
      <c r="G747" s="306">
        <f t="shared" ca="1" si="330"/>
        <v>12.922832920972006</v>
      </c>
      <c r="H747" s="307">
        <f t="shared" ca="1" si="331"/>
        <v>-121.37598764319483</v>
      </c>
      <c r="I747" s="304">
        <f t="shared" ca="1" si="332"/>
        <v>122.06199239347335</v>
      </c>
      <c r="J747" s="306">
        <f t="shared" ca="1" si="333"/>
        <v>874.13727041639572</v>
      </c>
      <c r="K747" s="307">
        <f t="shared" ca="1" si="334"/>
        <v>-3.8761665791516529</v>
      </c>
      <c r="L747" s="304">
        <f t="shared" ca="1" si="319"/>
        <v>874.14586437183141</v>
      </c>
      <c r="M747" s="306">
        <f t="shared" ca="1" si="335"/>
        <v>-1.4647264800456676</v>
      </c>
      <c r="N747" s="304">
        <f t="shared" ca="1" si="336"/>
        <v>-83.922645447669751</v>
      </c>
      <c r="P747" s="310">
        <f t="shared" ca="1" si="337"/>
        <v>23</v>
      </c>
      <c r="Q747" s="304">
        <f t="shared" ca="1" si="338"/>
        <v>0</v>
      </c>
      <c r="R747" s="306">
        <f t="shared" ca="1" si="339"/>
        <v>0</v>
      </c>
      <c r="S747" s="307">
        <f t="shared" ca="1" si="340"/>
        <v>7.8079999999999892</v>
      </c>
      <c r="T747" s="304">
        <f t="shared" ca="1" si="320"/>
        <v>76.5964799999999</v>
      </c>
      <c r="U747" s="311">
        <f t="shared" ca="1" si="321"/>
        <v>0</v>
      </c>
      <c r="V747" s="306">
        <f t="shared" ca="1" si="322"/>
        <v>1.2254749224498722</v>
      </c>
      <c r="W747" s="304">
        <f t="shared" ca="1" si="323"/>
        <v>59.487654075834868</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2.1360933600682221</v>
      </c>
      <c r="AH747" s="304">
        <f t="shared" ca="1" si="347"/>
        <v>-7.6187722419300163</v>
      </c>
    </row>
    <row r="748" spans="1:34" x14ac:dyDescent="0.2">
      <c r="A748" s="347">
        <f t="shared" ca="1" si="325"/>
        <v>1E-4</v>
      </c>
      <c r="B748" s="304">
        <f t="shared" ca="1" si="326"/>
        <v>35.103300000000296</v>
      </c>
      <c r="D748" s="306">
        <f t="shared" ca="1" si="327"/>
        <v>-0.80661132033027627</v>
      </c>
      <c r="E748" s="307">
        <f t="shared" ca="1" si="328"/>
        <v>-2.2340105673435531</v>
      </c>
      <c r="F748" s="304">
        <f t="shared" ca="1" si="329"/>
        <v>2.3751684228887044</v>
      </c>
      <c r="G748" s="306">
        <f t="shared" ca="1" si="330"/>
        <v>12.922752259839973</v>
      </c>
      <c r="H748" s="307">
        <f t="shared" ca="1" si="331"/>
        <v>-121.37621104425156</v>
      </c>
      <c r="I748" s="304">
        <f t="shared" ca="1" si="332"/>
        <v>122.06220599935057</v>
      </c>
      <c r="J748" s="306">
        <f t="shared" ca="1" si="333"/>
        <v>874.13727041639572</v>
      </c>
      <c r="K748" s="307">
        <f t="shared" ca="1" si="334"/>
        <v>-3.8883041890860253</v>
      </c>
      <c r="L748" s="304">
        <f t="shared" ca="1" si="319"/>
        <v>874.14591827708819</v>
      </c>
      <c r="M748" s="306">
        <f t="shared" ca="1" si="335"/>
        <v>-1.4647273309193038</v>
      </c>
      <c r="N748" s="304">
        <f t="shared" ca="1" si="336"/>
        <v>-83.922694199138007</v>
      </c>
      <c r="P748" s="310">
        <f t="shared" ca="1" si="337"/>
        <v>23</v>
      </c>
      <c r="Q748" s="304">
        <f t="shared" ca="1" si="338"/>
        <v>0</v>
      </c>
      <c r="R748" s="306">
        <f t="shared" ca="1" si="339"/>
        <v>0</v>
      </c>
      <c r="S748" s="307">
        <f t="shared" ca="1" si="340"/>
        <v>7.8079999999999892</v>
      </c>
      <c r="T748" s="304">
        <f t="shared" ca="1" si="320"/>
        <v>76.5964799999999</v>
      </c>
      <c r="U748" s="311">
        <f t="shared" ca="1" si="321"/>
        <v>0</v>
      </c>
      <c r="V748" s="306">
        <f t="shared" ca="1" si="322"/>
        <v>1.2254764098844908</v>
      </c>
      <c r="W748" s="304">
        <f t="shared" ca="1" si="323"/>
        <v>59.487934484356217</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2.1360583305193233</v>
      </c>
      <c r="AH748" s="304">
        <f t="shared" ca="1" si="347"/>
        <v>-7.6188081552042712</v>
      </c>
    </row>
    <row r="749" spans="1:34" x14ac:dyDescent="0.2">
      <c r="A749" s="347">
        <f t="shared" ca="1" si="325"/>
        <v>1E-4</v>
      </c>
      <c r="B749" s="304">
        <f t="shared" ca="1" si="326"/>
        <v>35.103400000000299</v>
      </c>
      <c r="D749" s="306">
        <f t="shared" ca="1" si="327"/>
        <v>-0.80660867623494115</v>
      </c>
      <c r="E749" s="307">
        <f t="shared" ca="1" si="328"/>
        <v>-2.2339741698778859</v>
      </c>
      <c r="F749" s="304">
        <f t="shared" ca="1" si="329"/>
        <v>2.3751332906300382</v>
      </c>
      <c r="G749" s="306">
        <f t="shared" ca="1" si="330"/>
        <v>12.922671598972348</v>
      </c>
      <c r="H749" s="307">
        <f t="shared" ca="1" si="331"/>
        <v>-121.37643444166855</v>
      </c>
      <c r="I749" s="304">
        <f t="shared" ca="1" si="332"/>
        <v>122.06241960172488</v>
      </c>
      <c r="J749" s="306">
        <f t="shared" ca="1" si="333"/>
        <v>874.13727041639572</v>
      </c>
      <c r="K749" s="307">
        <f t="shared" ca="1" si="334"/>
        <v>-3.9004418213603214</v>
      </c>
      <c r="L749" s="304">
        <f t="shared" ca="1" si="319"/>
        <v>874.14597235097347</v>
      </c>
      <c r="M749" s="306">
        <f t="shared" ca="1" si="335"/>
        <v>-1.4647281817846514</v>
      </c>
      <c r="N749" s="304">
        <f t="shared" ca="1" si="336"/>
        <v>-83.922742950131351</v>
      </c>
      <c r="P749" s="310">
        <f t="shared" ca="1" si="337"/>
        <v>23</v>
      </c>
      <c r="Q749" s="304">
        <f t="shared" ca="1" si="338"/>
        <v>0</v>
      </c>
      <c r="R749" s="306">
        <f t="shared" ca="1" si="339"/>
        <v>0</v>
      </c>
      <c r="S749" s="307">
        <f t="shared" ca="1" si="340"/>
        <v>7.8079999999999892</v>
      </c>
      <c r="T749" s="304">
        <f t="shared" ca="1" si="320"/>
        <v>76.5964799999999</v>
      </c>
      <c r="U749" s="311">
        <f t="shared" ca="1" si="321"/>
        <v>0</v>
      </c>
      <c r="V749" s="306">
        <f t="shared" ca="1" si="322"/>
        <v>1.225477897323652</v>
      </c>
      <c r="W749" s="304">
        <f t="shared" ca="1" si="323"/>
        <v>59.488214890553493</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2.1360233012523988</v>
      </c>
      <c r="AH749" s="304">
        <f t="shared" ca="1" si="347"/>
        <v>-7.6188440681808789</v>
      </c>
    </row>
    <row r="750" spans="1:34" x14ac:dyDescent="0.2">
      <c r="A750" s="347">
        <f t="shared" ca="1" si="325"/>
        <v>1E-4</v>
      </c>
      <c r="B750" s="304">
        <f t="shared" ca="1" si="326"/>
        <v>35.103500000000302</v>
      </c>
      <c r="D750" s="306">
        <f t="shared" ca="1" si="327"/>
        <v>-0.80660603210953408</v>
      </c>
      <c r="E750" s="307">
        <f t="shared" ca="1" si="328"/>
        <v>-2.2339377727138992</v>
      </c>
      <c r="F750" s="304">
        <f t="shared" ca="1" si="329"/>
        <v>2.3750981586859572</v>
      </c>
      <c r="G750" s="306">
        <f t="shared" ca="1" si="330"/>
        <v>12.922590938369137</v>
      </c>
      <c r="H750" s="307">
        <f t="shared" ca="1" si="331"/>
        <v>-121.37665783544583</v>
      </c>
      <c r="I750" s="304">
        <f t="shared" ca="1" si="332"/>
        <v>122.0626332005963</v>
      </c>
      <c r="J750" s="306">
        <f t="shared" ca="1" si="333"/>
        <v>874.13727041639572</v>
      </c>
      <c r="K750" s="307">
        <f t="shared" ca="1" si="334"/>
        <v>-3.912579475974177</v>
      </c>
      <c r="L750" s="304">
        <f t="shared" ca="1" si="319"/>
        <v>874.14602659348782</v>
      </c>
      <c r="M750" s="306">
        <f t="shared" ca="1" si="335"/>
        <v>-1.4647290326417099</v>
      </c>
      <c r="N750" s="304">
        <f t="shared" ca="1" si="336"/>
        <v>-83.922791700649768</v>
      </c>
      <c r="P750" s="310">
        <f t="shared" ca="1" si="337"/>
        <v>23</v>
      </c>
      <c r="Q750" s="304">
        <f t="shared" ca="1" si="338"/>
        <v>0</v>
      </c>
      <c r="R750" s="306">
        <f t="shared" ca="1" si="339"/>
        <v>0</v>
      </c>
      <c r="S750" s="307">
        <f t="shared" ca="1" si="340"/>
        <v>7.8079999999999892</v>
      </c>
      <c r="T750" s="304">
        <f t="shared" ca="1" si="320"/>
        <v>76.5964799999999</v>
      </c>
      <c r="U750" s="311">
        <f t="shared" ca="1" si="321"/>
        <v>0</v>
      </c>
      <c r="V750" s="306">
        <f t="shared" ca="1" si="322"/>
        <v>1.2254793847673571</v>
      </c>
      <c r="W750" s="304">
        <f t="shared" ca="1" si="323"/>
        <v>59.48849529442677</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2.1359882722674604</v>
      </c>
      <c r="AH750" s="304">
        <f t="shared" ca="1" si="347"/>
        <v>-7.6188799808598331</v>
      </c>
    </row>
    <row r="751" spans="1:34" x14ac:dyDescent="0.2">
      <c r="A751" s="347">
        <f t="shared" ca="1" si="325"/>
        <v>1E-4</v>
      </c>
      <c r="B751" s="304">
        <f t="shared" ca="1" si="326"/>
        <v>35.103600000000306</v>
      </c>
      <c r="D751" s="306">
        <f t="shared" ca="1" si="327"/>
        <v>-0.80660338795405939</v>
      </c>
      <c r="E751" s="307">
        <f t="shared" ca="1" si="328"/>
        <v>-2.2339013758515849</v>
      </c>
      <c r="F751" s="304">
        <f t="shared" ca="1" si="329"/>
        <v>2.3750630270564548</v>
      </c>
      <c r="G751" s="306">
        <f t="shared" ca="1" si="330"/>
        <v>12.922510278030341</v>
      </c>
      <c r="H751" s="307">
        <f t="shared" ca="1" si="331"/>
        <v>-121.37688122558342</v>
      </c>
      <c r="I751" s="304">
        <f t="shared" ca="1" si="332"/>
        <v>122.06284679596483</v>
      </c>
      <c r="J751" s="306">
        <f t="shared" ca="1" si="333"/>
        <v>874.13727041639572</v>
      </c>
      <c r="K751" s="307">
        <f t="shared" ca="1" si="334"/>
        <v>-3.9247171529272284</v>
      </c>
      <c r="L751" s="304">
        <f t="shared" ca="1" si="319"/>
        <v>874.14608100463249</v>
      </c>
      <c r="M751" s="306">
        <f t="shared" ca="1" si="335"/>
        <v>-1.4647298834904801</v>
      </c>
      <c r="N751" s="304">
        <f t="shared" ca="1" si="336"/>
        <v>-83.9228404506933</v>
      </c>
      <c r="P751" s="310">
        <f t="shared" ca="1" si="337"/>
        <v>23</v>
      </c>
      <c r="Q751" s="304">
        <f t="shared" ca="1" si="338"/>
        <v>0</v>
      </c>
      <c r="R751" s="306">
        <f t="shared" ca="1" si="339"/>
        <v>0</v>
      </c>
      <c r="S751" s="307">
        <f t="shared" ca="1" si="340"/>
        <v>7.8079999999999892</v>
      </c>
      <c r="T751" s="304">
        <f t="shared" ca="1" si="320"/>
        <v>76.5964799999999</v>
      </c>
      <c r="U751" s="311">
        <f t="shared" ca="1" si="321"/>
        <v>0</v>
      </c>
      <c r="V751" s="306">
        <f t="shared" ca="1" si="322"/>
        <v>1.2254808722156054</v>
      </c>
      <c r="W751" s="304">
        <f t="shared" ca="1" si="323"/>
        <v>59.488775695975988</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2.135953243564491</v>
      </c>
      <c r="AH751" s="304">
        <f t="shared" ca="1" si="347"/>
        <v>-7.6189158932411436</v>
      </c>
    </row>
    <row r="752" spans="1:34" x14ac:dyDescent="0.2">
      <c r="A752" s="347">
        <f t="shared" ca="1" si="325"/>
        <v>1E-4</v>
      </c>
      <c r="B752" s="304">
        <f t="shared" ca="1" si="326"/>
        <v>35.103700000000309</v>
      </c>
      <c r="D752" s="306">
        <f t="shared" ca="1" si="327"/>
        <v>-0.80660074376851487</v>
      </c>
      <c r="E752" s="307">
        <f t="shared" ca="1" si="328"/>
        <v>-2.2338649792909475</v>
      </c>
      <c r="F752" s="304">
        <f t="shared" ca="1" si="329"/>
        <v>2.3750278957415354</v>
      </c>
      <c r="G752" s="306">
        <f t="shared" ca="1" si="330"/>
        <v>12.922429617955965</v>
      </c>
      <c r="H752" s="307">
        <f t="shared" ca="1" si="331"/>
        <v>-121.37710461208135</v>
      </c>
      <c r="I752" s="304">
        <f t="shared" ca="1" si="332"/>
        <v>122.06306038783055</v>
      </c>
      <c r="J752" s="306">
        <f t="shared" ca="1" si="333"/>
        <v>874.13727041639572</v>
      </c>
      <c r="K752" s="307">
        <f t="shared" ca="1" si="334"/>
        <v>-3.9368548522191116</v>
      </c>
      <c r="L752" s="304">
        <f t="shared" ca="1" si="319"/>
        <v>874.14613558440806</v>
      </c>
      <c r="M752" s="306">
        <f t="shared" ca="1" si="335"/>
        <v>-1.4647307343309615</v>
      </c>
      <c r="N752" s="304">
        <f t="shared" ca="1" si="336"/>
        <v>-83.922889200261935</v>
      </c>
      <c r="P752" s="310">
        <f t="shared" ca="1" si="337"/>
        <v>23</v>
      </c>
      <c r="Q752" s="304">
        <f t="shared" ca="1" si="338"/>
        <v>0</v>
      </c>
      <c r="R752" s="306">
        <f t="shared" ca="1" si="339"/>
        <v>0</v>
      </c>
      <c r="S752" s="307">
        <f t="shared" ca="1" si="340"/>
        <v>7.8079999999999892</v>
      </c>
      <c r="T752" s="304">
        <f t="shared" ca="1" si="320"/>
        <v>76.5964799999999</v>
      </c>
      <c r="U752" s="311">
        <f t="shared" ca="1" si="321"/>
        <v>0</v>
      </c>
      <c r="V752" s="306">
        <f t="shared" ca="1" si="322"/>
        <v>1.2254823596683968</v>
      </c>
      <c r="W752" s="304">
        <f t="shared" ca="1" si="323"/>
        <v>59.489056095201157</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2.1359182151435041</v>
      </c>
      <c r="AH752" s="304">
        <f t="shared" ca="1" si="347"/>
        <v>-7.6189518053248042</v>
      </c>
    </row>
    <row r="753" spans="1:34" x14ac:dyDescent="0.2">
      <c r="A753" s="347">
        <f t="shared" ca="1" si="325"/>
        <v>1E-4</v>
      </c>
      <c r="B753" s="304">
        <f t="shared" ca="1" si="326"/>
        <v>35.103800000000312</v>
      </c>
      <c r="D753" s="306">
        <f t="shared" ca="1" si="327"/>
        <v>-0.80659809955290362</v>
      </c>
      <c r="E753" s="307">
        <f t="shared" ca="1" si="328"/>
        <v>-2.2338285830319871</v>
      </c>
      <c r="F753" s="304">
        <f t="shared" ca="1" si="329"/>
        <v>2.3749927647412004</v>
      </c>
      <c r="G753" s="306">
        <f t="shared" ca="1" si="330"/>
        <v>12.92234895814601</v>
      </c>
      <c r="H753" s="307">
        <f t="shared" ca="1" si="331"/>
        <v>-121.37732799493966</v>
      </c>
      <c r="I753" s="304">
        <f t="shared" ca="1" si="332"/>
        <v>122.06327397619343</v>
      </c>
      <c r="J753" s="306">
        <f t="shared" ca="1" si="333"/>
        <v>874.13727041639572</v>
      </c>
      <c r="K753" s="307">
        <f t="shared" ca="1" si="334"/>
        <v>-3.9489925738494627</v>
      </c>
      <c r="L753" s="304">
        <f t="shared" ca="1" si="319"/>
        <v>874.14619033281565</v>
      </c>
      <c r="M753" s="306">
        <f t="shared" ca="1" si="335"/>
        <v>-1.4647315851631544</v>
      </c>
      <c r="N753" s="304">
        <f t="shared" ca="1" si="336"/>
        <v>-83.922937949355656</v>
      </c>
      <c r="P753" s="310">
        <f t="shared" ca="1" si="337"/>
        <v>23</v>
      </c>
      <c r="Q753" s="304">
        <f t="shared" ca="1" si="338"/>
        <v>0</v>
      </c>
      <c r="R753" s="306">
        <f t="shared" ca="1" si="339"/>
        <v>0</v>
      </c>
      <c r="S753" s="307">
        <f t="shared" ca="1" si="340"/>
        <v>7.8079999999999892</v>
      </c>
      <c r="T753" s="304">
        <f t="shared" ca="1" si="320"/>
        <v>76.5964799999999</v>
      </c>
      <c r="U753" s="311">
        <f t="shared" ca="1" si="321"/>
        <v>0</v>
      </c>
      <c r="V753" s="306">
        <f t="shared" ca="1" si="322"/>
        <v>1.2254838471257319</v>
      </c>
      <c r="W753" s="304">
        <f t="shared" ca="1" si="323"/>
        <v>59.489336492102296</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2.1358831870044943</v>
      </c>
      <c r="AH753" s="304">
        <f t="shared" ca="1" si="347"/>
        <v>-7.6189877171108149</v>
      </c>
    </row>
    <row r="754" spans="1:34" x14ac:dyDescent="0.2">
      <c r="A754" s="347">
        <f t="shared" ca="1" si="325"/>
        <v>1E-4</v>
      </c>
      <c r="B754" s="304">
        <f t="shared" ca="1" si="326"/>
        <v>35.103900000000316</v>
      </c>
      <c r="D754" s="306">
        <f t="shared" ca="1" si="327"/>
        <v>-0.80659545530722587</v>
      </c>
      <c r="E754" s="307">
        <f t="shared" ca="1" si="328"/>
        <v>-2.2337921870747044</v>
      </c>
      <c r="F754" s="304">
        <f t="shared" ca="1" si="329"/>
        <v>2.3749576340554501</v>
      </c>
      <c r="G754" s="306">
        <f t="shared" ca="1" si="330"/>
        <v>12.922268298600478</v>
      </c>
      <c r="H754" s="307">
        <f t="shared" ca="1" si="331"/>
        <v>-121.37755137415837</v>
      </c>
      <c r="I754" s="304">
        <f t="shared" ca="1" si="332"/>
        <v>122.06348756105353</v>
      </c>
      <c r="J754" s="306">
        <f t="shared" ca="1" si="333"/>
        <v>874.13727041639572</v>
      </c>
      <c r="K754" s="307">
        <f t="shared" ca="1" si="334"/>
        <v>-3.9611303178179176</v>
      </c>
      <c r="L754" s="304">
        <f t="shared" ca="1" si="319"/>
        <v>874.14624524985618</v>
      </c>
      <c r="M754" s="306">
        <f t="shared" ca="1" si="335"/>
        <v>-1.464732435987059</v>
      </c>
      <c r="N754" s="304">
        <f t="shared" ca="1" si="336"/>
        <v>-83.922986697974508</v>
      </c>
      <c r="P754" s="310">
        <f t="shared" ca="1" si="337"/>
        <v>23</v>
      </c>
      <c r="Q754" s="304">
        <f t="shared" ca="1" si="338"/>
        <v>0</v>
      </c>
      <c r="R754" s="306">
        <f t="shared" ca="1" si="339"/>
        <v>0</v>
      </c>
      <c r="S754" s="307">
        <f t="shared" ca="1" si="340"/>
        <v>7.8079999999999892</v>
      </c>
      <c r="T754" s="304">
        <f t="shared" ca="1" si="320"/>
        <v>76.5964799999999</v>
      </c>
      <c r="U754" s="311">
        <f t="shared" ca="1" si="321"/>
        <v>0</v>
      </c>
      <c r="V754" s="306">
        <f t="shared" ca="1" si="322"/>
        <v>1.2254853345876102</v>
      </c>
      <c r="W754" s="304">
        <f t="shared" ca="1" si="323"/>
        <v>59.489616886679407</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2.1358481591474652</v>
      </c>
      <c r="AH754" s="304">
        <f t="shared" ca="1" si="347"/>
        <v>-7.6190236285991775</v>
      </c>
    </row>
    <row r="755" spans="1:34" x14ac:dyDescent="0.2">
      <c r="A755" s="347">
        <f t="shared" ca="1" si="325"/>
        <v>1E-4</v>
      </c>
      <c r="B755" s="304">
        <f t="shared" ca="1" si="326"/>
        <v>35.104000000000319</v>
      </c>
      <c r="D755" s="306">
        <f t="shared" ca="1" si="327"/>
        <v>-0.80659281103148195</v>
      </c>
      <c r="E755" s="307">
        <f t="shared" ca="1" si="328"/>
        <v>-2.2337557914190942</v>
      </c>
      <c r="F755" s="304">
        <f t="shared" ca="1" si="329"/>
        <v>2.3749225036842807</v>
      </c>
      <c r="G755" s="306">
        <f t="shared" ca="1" si="330"/>
        <v>12.922187639319375</v>
      </c>
      <c r="H755" s="307">
        <f t="shared" ca="1" si="331"/>
        <v>-121.37777474973751</v>
      </c>
      <c r="I755" s="304">
        <f t="shared" ca="1" si="332"/>
        <v>122.06370114241086</v>
      </c>
      <c r="J755" s="306">
        <f t="shared" ca="1" si="333"/>
        <v>874.13727041639572</v>
      </c>
      <c r="K755" s="307">
        <f t="shared" ca="1" si="334"/>
        <v>-3.9732680841241126</v>
      </c>
      <c r="L755" s="304">
        <f t="shared" ca="1" si="319"/>
        <v>874.14630033553033</v>
      </c>
      <c r="M755" s="306">
        <f t="shared" ca="1" si="335"/>
        <v>-1.4647332868026754</v>
      </c>
      <c r="N755" s="304">
        <f t="shared" ca="1" si="336"/>
        <v>-83.923035446118462</v>
      </c>
      <c r="P755" s="310">
        <f t="shared" ca="1" si="337"/>
        <v>23</v>
      </c>
      <c r="Q755" s="304">
        <f t="shared" ca="1" si="338"/>
        <v>0</v>
      </c>
      <c r="R755" s="306">
        <f t="shared" ca="1" si="339"/>
        <v>0</v>
      </c>
      <c r="S755" s="307">
        <f t="shared" ca="1" si="340"/>
        <v>7.8079999999999892</v>
      </c>
      <c r="T755" s="304">
        <f t="shared" ca="1" si="320"/>
        <v>76.5964799999999</v>
      </c>
      <c r="U755" s="311">
        <f t="shared" ca="1" si="321"/>
        <v>0</v>
      </c>
      <c r="V755" s="306">
        <f t="shared" ca="1" si="322"/>
        <v>1.2254868220540316</v>
      </c>
      <c r="W755" s="304">
        <f t="shared" ca="1" si="323"/>
        <v>59.489897278932432</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2.1358131315724114</v>
      </c>
      <c r="AH755" s="304">
        <f t="shared" ca="1" si="347"/>
        <v>-7.6190595397898937</v>
      </c>
    </row>
    <row r="756" spans="1:34" x14ac:dyDescent="0.2">
      <c r="A756" s="347">
        <f t="shared" ca="1" si="325"/>
        <v>1E-4</v>
      </c>
      <c r="B756" s="304">
        <f t="shared" ca="1" si="326"/>
        <v>35.104100000000322</v>
      </c>
      <c r="D756" s="306">
        <f t="shared" ca="1" si="327"/>
        <v>-0.80659016672567241</v>
      </c>
      <c r="E756" s="307">
        <f t="shared" ca="1" si="328"/>
        <v>-2.2337193960651671</v>
      </c>
      <c r="F756" s="304">
        <f t="shared" ca="1" si="329"/>
        <v>2.3748873736277014</v>
      </c>
      <c r="G756" s="306">
        <f t="shared" ca="1" si="330"/>
        <v>12.922106980302702</v>
      </c>
      <c r="H756" s="307">
        <f t="shared" ca="1" si="331"/>
        <v>-121.37799812167712</v>
      </c>
      <c r="I756" s="304">
        <f t="shared" ca="1" si="332"/>
        <v>122.06391472026547</v>
      </c>
      <c r="J756" s="306">
        <f t="shared" ca="1" si="333"/>
        <v>874.13727041639572</v>
      </c>
      <c r="K756" s="307">
        <f t="shared" ca="1" si="334"/>
        <v>-3.9854058727676831</v>
      </c>
      <c r="L756" s="304">
        <f t="shared" ca="1" si="319"/>
        <v>874.14635558983923</v>
      </c>
      <c r="M756" s="306">
        <f t="shared" ca="1" si="335"/>
        <v>-1.4647341376100038</v>
      </c>
      <c r="N756" s="304">
        <f t="shared" ca="1" si="336"/>
        <v>-83.92308419378756</v>
      </c>
      <c r="P756" s="310">
        <f t="shared" ca="1" si="337"/>
        <v>23</v>
      </c>
      <c r="Q756" s="304">
        <f t="shared" ca="1" si="338"/>
        <v>0</v>
      </c>
      <c r="R756" s="306">
        <f t="shared" ca="1" si="339"/>
        <v>0</v>
      </c>
      <c r="S756" s="307">
        <f t="shared" ca="1" si="340"/>
        <v>7.8079999999999892</v>
      </c>
      <c r="T756" s="304">
        <f t="shared" ca="1" si="320"/>
        <v>76.5964799999999</v>
      </c>
      <c r="U756" s="311">
        <f t="shared" ca="1" si="321"/>
        <v>0</v>
      </c>
      <c r="V756" s="306">
        <f t="shared" ca="1" si="322"/>
        <v>1.2254883095249967</v>
      </c>
      <c r="W756" s="304">
        <f t="shared" ca="1" si="323"/>
        <v>59.490177668861456</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2.1357781042793444</v>
      </c>
      <c r="AH756" s="304">
        <f t="shared" ca="1" si="347"/>
        <v>-7.6190954506829556</v>
      </c>
    </row>
    <row r="757" spans="1:34" x14ac:dyDescent="0.2">
      <c r="A757" s="347">
        <f t="shared" ca="1" si="325"/>
        <v>1E-4</v>
      </c>
      <c r="B757" s="304">
        <f t="shared" ca="1" si="326"/>
        <v>35.104200000000326</v>
      </c>
      <c r="D757" s="306">
        <f t="shared" ca="1" si="327"/>
        <v>-0.80658752238979847</v>
      </c>
      <c r="E757" s="307">
        <f t="shared" ca="1" si="328"/>
        <v>-2.2336830010129125</v>
      </c>
      <c r="F757" s="304">
        <f t="shared" ca="1" si="329"/>
        <v>2.3748522438857043</v>
      </c>
      <c r="G757" s="306">
        <f t="shared" ca="1" si="330"/>
        <v>12.922026321550463</v>
      </c>
      <c r="H757" s="307">
        <f t="shared" ca="1" si="331"/>
        <v>-121.37822148997722</v>
      </c>
      <c r="I757" s="304">
        <f t="shared" ca="1" si="332"/>
        <v>122.06412829461739</v>
      </c>
      <c r="J757" s="306">
        <f t="shared" ca="1" si="333"/>
        <v>874.13727041639572</v>
      </c>
      <c r="K757" s="307">
        <f t="shared" ca="1" si="334"/>
        <v>-3.9975436837482659</v>
      </c>
      <c r="L757" s="304">
        <f t="shared" ca="1" si="319"/>
        <v>874.14641101278357</v>
      </c>
      <c r="M757" s="306">
        <f t="shared" ca="1" si="335"/>
        <v>-1.4647349884090444</v>
      </c>
      <c r="N757" s="304">
        <f t="shared" ca="1" si="336"/>
        <v>-83.923132940981802</v>
      </c>
      <c r="P757" s="310">
        <f t="shared" ca="1" si="337"/>
        <v>23</v>
      </c>
      <c r="Q757" s="304">
        <f t="shared" ca="1" si="338"/>
        <v>0</v>
      </c>
      <c r="R757" s="306">
        <f t="shared" ca="1" si="339"/>
        <v>0</v>
      </c>
      <c r="S757" s="307">
        <f t="shared" ca="1" si="340"/>
        <v>7.8079999999999892</v>
      </c>
      <c r="T757" s="304">
        <f t="shared" ca="1" si="320"/>
        <v>76.5964799999999</v>
      </c>
      <c r="U757" s="311">
        <f t="shared" ca="1" si="321"/>
        <v>0</v>
      </c>
      <c r="V757" s="306">
        <f t="shared" ca="1" si="322"/>
        <v>1.2254897970005045</v>
      </c>
      <c r="W757" s="304">
        <f t="shared" ca="1" si="323"/>
        <v>59.49045805646643</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2.1357430772682511</v>
      </c>
      <c r="AH757" s="304">
        <f t="shared" ca="1" si="347"/>
        <v>-7.6191313612783729</v>
      </c>
    </row>
    <row r="758" spans="1:34" x14ac:dyDescent="0.2">
      <c r="A758" s="347">
        <f t="shared" ca="1" si="325"/>
        <v>1E-4</v>
      </c>
      <c r="B758" s="304">
        <f t="shared" ca="1" si="326"/>
        <v>35.104300000000329</v>
      </c>
      <c r="D758" s="306">
        <f t="shared" ca="1" si="327"/>
        <v>-0.80658487802385948</v>
      </c>
      <c r="E758" s="307">
        <f t="shared" ca="1" si="328"/>
        <v>-2.2336466062623339</v>
      </c>
      <c r="F758" s="304">
        <f t="shared" ca="1" si="329"/>
        <v>2.3748171144582915</v>
      </c>
      <c r="G758" s="306">
        <f t="shared" ca="1" si="330"/>
        <v>12.921945663062662</v>
      </c>
      <c r="H758" s="307">
        <f t="shared" ca="1" si="331"/>
        <v>-121.37844485463785</v>
      </c>
      <c r="I758" s="304">
        <f t="shared" ca="1" si="332"/>
        <v>122.06434186546662</v>
      </c>
      <c r="J758" s="306">
        <f t="shared" ca="1" si="333"/>
        <v>874.13727041639572</v>
      </c>
      <c r="K758" s="307">
        <f t="shared" ca="1" si="334"/>
        <v>-4.0096815170654967</v>
      </c>
      <c r="L758" s="304">
        <f t="shared" ca="1" si="319"/>
        <v>874.14646660436449</v>
      </c>
      <c r="M758" s="306">
        <f t="shared" ca="1" si="335"/>
        <v>-1.4647358391997969</v>
      </c>
      <c r="N758" s="304">
        <f t="shared" ca="1" si="336"/>
        <v>-83.92318168770116</v>
      </c>
      <c r="P758" s="310">
        <f t="shared" ca="1" si="337"/>
        <v>23</v>
      </c>
      <c r="Q758" s="304">
        <f t="shared" ca="1" si="338"/>
        <v>0</v>
      </c>
      <c r="R758" s="306">
        <f t="shared" ca="1" si="339"/>
        <v>0</v>
      </c>
      <c r="S758" s="307">
        <f t="shared" ca="1" si="340"/>
        <v>7.8079999999999892</v>
      </c>
      <c r="T758" s="304">
        <f t="shared" ca="1" si="320"/>
        <v>76.5964799999999</v>
      </c>
      <c r="U758" s="311">
        <f t="shared" ca="1" si="321"/>
        <v>0</v>
      </c>
      <c r="V758" s="306">
        <f t="shared" ca="1" si="322"/>
        <v>1.2254912844805557</v>
      </c>
      <c r="W758" s="304">
        <f t="shared" ca="1" si="323"/>
        <v>59.490738441747339</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2.1357080505391375</v>
      </c>
      <c r="AH758" s="304">
        <f t="shared" ca="1" si="347"/>
        <v>-7.6191672715761412</v>
      </c>
    </row>
    <row r="759" spans="1:34" x14ac:dyDescent="0.2">
      <c r="A759" s="347">
        <f t="shared" ca="1" si="325"/>
        <v>1E-4</v>
      </c>
      <c r="B759" s="304">
        <f t="shared" ca="1" si="326"/>
        <v>35.104400000000332</v>
      </c>
      <c r="D759" s="306">
        <f t="shared" ca="1" si="327"/>
        <v>-0.80658223362785864</v>
      </c>
      <c r="E759" s="307">
        <f t="shared" ca="1" si="328"/>
        <v>-2.2336102118134358</v>
      </c>
      <c r="F759" s="304">
        <f t="shared" ca="1" si="329"/>
        <v>2.3747819853454688</v>
      </c>
      <c r="G759" s="306">
        <f t="shared" ca="1" si="330"/>
        <v>12.921865004839299</v>
      </c>
      <c r="H759" s="307">
        <f t="shared" ca="1" si="331"/>
        <v>-121.37866821565903</v>
      </c>
      <c r="I759" s="304">
        <f t="shared" ca="1" si="332"/>
        <v>122.06455543281319</v>
      </c>
      <c r="J759" s="306">
        <f t="shared" ca="1" si="333"/>
        <v>874.13727041639572</v>
      </c>
      <c r="K759" s="307">
        <f t="shared" ca="1" si="334"/>
        <v>-4.0218193727190119</v>
      </c>
      <c r="L759" s="304">
        <f t="shared" ca="1" si="319"/>
        <v>874.14652236458255</v>
      </c>
      <c r="M759" s="306">
        <f t="shared" ca="1" si="335"/>
        <v>-1.4647366899822618</v>
      </c>
      <c r="N759" s="304">
        <f t="shared" ca="1" si="336"/>
        <v>-83.92323043394569</v>
      </c>
      <c r="P759" s="310">
        <f t="shared" ca="1" si="337"/>
        <v>23</v>
      </c>
      <c r="Q759" s="304">
        <f t="shared" ca="1" si="338"/>
        <v>0</v>
      </c>
      <c r="R759" s="306">
        <f t="shared" ca="1" si="339"/>
        <v>0</v>
      </c>
      <c r="S759" s="307">
        <f t="shared" ca="1" si="340"/>
        <v>7.8079999999999892</v>
      </c>
      <c r="T759" s="304">
        <f t="shared" ca="1" si="320"/>
        <v>76.5964799999999</v>
      </c>
      <c r="U759" s="311">
        <f t="shared" ca="1" si="321"/>
        <v>0</v>
      </c>
      <c r="V759" s="306">
        <f t="shared" ca="1" si="322"/>
        <v>1.2254927719651501</v>
      </c>
      <c r="W759" s="304">
        <f t="shared" ca="1" si="323"/>
        <v>59.491018824704199</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2.1356730240920099</v>
      </c>
      <c r="AH759" s="304">
        <f t="shared" ca="1" si="347"/>
        <v>-7.6192031815762578</v>
      </c>
    </row>
    <row r="760" spans="1:34" x14ac:dyDescent="0.2">
      <c r="A760" s="347">
        <f t="shared" ca="1" si="325"/>
        <v>1E-4</v>
      </c>
      <c r="B760" s="304">
        <f t="shared" ca="1" si="326"/>
        <v>35.104500000000336</v>
      </c>
      <c r="D760" s="306">
        <f t="shared" ca="1" si="327"/>
        <v>-0.8065795892017944</v>
      </c>
      <c r="E760" s="307">
        <f t="shared" ca="1" si="328"/>
        <v>-2.2335738176662145</v>
      </c>
      <c r="F760" s="304">
        <f t="shared" ca="1" si="329"/>
        <v>2.3747468565472327</v>
      </c>
      <c r="G760" s="306">
        <f t="shared" ca="1" si="330"/>
        <v>12.921784346880379</v>
      </c>
      <c r="H760" s="307">
        <f t="shared" ca="1" si="331"/>
        <v>-121.3788915730408</v>
      </c>
      <c r="I760" s="304">
        <f t="shared" ca="1" si="332"/>
        <v>122.06476899665718</v>
      </c>
      <c r="J760" s="306">
        <f t="shared" ca="1" si="333"/>
        <v>874.13727041639572</v>
      </c>
      <c r="K760" s="307">
        <f t="shared" ca="1" si="334"/>
        <v>-4.0339572507084469</v>
      </c>
      <c r="L760" s="304">
        <f t="shared" ca="1" si="319"/>
        <v>874.14657829343901</v>
      </c>
      <c r="M760" s="306">
        <f t="shared" ca="1" si="335"/>
        <v>-1.4647375407564391</v>
      </c>
      <c r="N760" s="304">
        <f t="shared" ca="1" si="336"/>
        <v>-83.923279179715365</v>
      </c>
      <c r="P760" s="310">
        <f t="shared" ca="1" si="337"/>
        <v>23</v>
      </c>
      <c r="Q760" s="304">
        <f t="shared" ca="1" si="338"/>
        <v>0</v>
      </c>
      <c r="R760" s="306">
        <f t="shared" ca="1" si="339"/>
        <v>0</v>
      </c>
      <c r="S760" s="307">
        <f t="shared" ca="1" si="340"/>
        <v>7.8079999999999892</v>
      </c>
      <c r="T760" s="304">
        <f t="shared" ca="1" si="320"/>
        <v>76.5964799999999</v>
      </c>
      <c r="U760" s="311">
        <f t="shared" ca="1" si="321"/>
        <v>0</v>
      </c>
      <c r="V760" s="306">
        <f t="shared" ca="1" si="322"/>
        <v>1.2254942594542872</v>
      </c>
      <c r="W760" s="304">
        <f t="shared" ca="1" si="323"/>
        <v>59.491299205337008</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2.1356379979268647</v>
      </c>
      <c r="AH760" s="304">
        <f t="shared" ca="1" si="347"/>
        <v>-7.6192390912787245</v>
      </c>
    </row>
    <row r="761" spans="1:34" x14ac:dyDescent="0.2">
      <c r="A761" s="347">
        <f t="shared" ca="1" si="325"/>
        <v>1E-4</v>
      </c>
      <c r="B761" s="304">
        <f t="shared" ca="1" si="326"/>
        <v>35.104600000000339</v>
      </c>
      <c r="D761" s="306">
        <f t="shared" ca="1" si="327"/>
        <v>-0.80657694474566832</v>
      </c>
      <c r="E761" s="307">
        <f t="shared" ca="1" si="328"/>
        <v>-2.2335374238206711</v>
      </c>
      <c r="F761" s="304">
        <f t="shared" ca="1" si="329"/>
        <v>2.374711728063585</v>
      </c>
      <c r="G761" s="306">
        <f t="shared" ca="1" si="330"/>
        <v>12.921703689185904</v>
      </c>
      <c r="H761" s="307">
        <f t="shared" ca="1" si="331"/>
        <v>-121.37911492678319</v>
      </c>
      <c r="I761" s="304">
        <f t="shared" ca="1" si="332"/>
        <v>122.06498255699856</v>
      </c>
      <c r="J761" s="306">
        <f t="shared" ca="1" si="333"/>
        <v>874.13727041639572</v>
      </c>
      <c r="K761" s="307">
        <f t="shared" ca="1" si="334"/>
        <v>-4.0460951510334384</v>
      </c>
      <c r="L761" s="304">
        <f t="shared" ca="1" si="319"/>
        <v>874.14663439093454</v>
      </c>
      <c r="M761" s="306">
        <f t="shared" ca="1" si="335"/>
        <v>-1.4647383915223289</v>
      </c>
      <c r="N761" s="304">
        <f t="shared" ca="1" si="336"/>
        <v>-83.923327925010199</v>
      </c>
      <c r="P761" s="310">
        <f t="shared" ca="1" si="337"/>
        <v>23</v>
      </c>
      <c r="Q761" s="304">
        <f t="shared" ca="1" si="338"/>
        <v>0</v>
      </c>
      <c r="R761" s="306">
        <f t="shared" ca="1" si="339"/>
        <v>0</v>
      </c>
      <c r="S761" s="307">
        <f t="shared" ca="1" si="340"/>
        <v>7.8079999999999892</v>
      </c>
      <c r="T761" s="304">
        <f t="shared" ca="1" si="320"/>
        <v>76.5964799999999</v>
      </c>
      <c r="U761" s="311">
        <f t="shared" ca="1" si="321"/>
        <v>0</v>
      </c>
      <c r="V761" s="306">
        <f t="shared" ca="1" si="322"/>
        <v>1.2254957469479677</v>
      </c>
      <c r="W761" s="304">
        <f t="shared" ca="1" si="323"/>
        <v>59.491579583645787</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2.135602972043702</v>
      </c>
      <c r="AH761" s="304">
        <f t="shared" ca="1" si="347"/>
        <v>-7.6192750006835412</v>
      </c>
    </row>
    <row r="762" spans="1:34" x14ac:dyDescent="0.2">
      <c r="A762" s="347">
        <f t="shared" ca="1" si="325"/>
        <v>1E-4</v>
      </c>
      <c r="B762" s="304">
        <f t="shared" ca="1" si="326"/>
        <v>35.104700000000342</v>
      </c>
      <c r="D762" s="306">
        <f t="shared" ca="1" si="327"/>
        <v>-0.8065743002594824</v>
      </c>
      <c r="E762" s="307">
        <f t="shared" ca="1" si="328"/>
        <v>-2.2335010302768037</v>
      </c>
      <c r="F762" s="304">
        <f t="shared" ca="1" si="329"/>
        <v>2.3746765998945243</v>
      </c>
      <c r="G762" s="306">
        <f t="shared" ca="1" si="330"/>
        <v>12.921623031755878</v>
      </c>
      <c r="H762" s="307">
        <f t="shared" ca="1" si="331"/>
        <v>-121.37933827688622</v>
      </c>
      <c r="I762" s="304">
        <f t="shared" ca="1" si="332"/>
        <v>122.06519611383737</v>
      </c>
      <c r="J762" s="306">
        <f t="shared" ca="1" si="333"/>
        <v>874.13727041639572</v>
      </c>
      <c r="K762" s="307">
        <f t="shared" ca="1" si="334"/>
        <v>-4.0582330736936223</v>
      </c>
      <c r="L762" s="304">
        <f t="shared" ca="1" si="319"/>
        <v>874.14669065707005</v>
      </c>
      <c r="M762" s="306">
        <f t="shared" ca="1" si="335"/>
        <v>-1.4647392422799312</v>
      </c>
      <c r="N762" s="304">
        <f t="shared" ca="1" si="336"/>
        <v>-83.923376669830205</v>
      </c>
      <c r="P762" s="310">
        <f t="shared" ca="1" si="337"/>
        <v>23</v>
      </c>
      <c r="Q762" s="304">
        <f t="shared" ca="1" si="338"/>
        <v>0</v>
      </c>
      <c r="R762" s="306">
        <f t="shared" ca="1" si="339"/>
        <v>0</v>
      </c>
      <c r="S762" s="307">
        <f t="shared" ca="1" si="340"/>
        <v>7.8079999999999892</v>
      </c>
      <c r="T762" s="304">
        <f t="shared" ca="1" si="320"/>
        <v>76.5964799999999</v>
      </c>
      <c r="U762" s="311">
        <f t="shared" ca="1" si="321"/>
        <v>0</v>
      </c>
      <c r="V762" s="306">
        <f t="shared" ca="1" si="322"/>
        <v>1.2254972344461914</v>
      </c>
      <c r="W762" s="304">
        <f t="shared" ca="1" si="323"/>
        <v>59.49185995963051</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2.1355679464425172</v>
      </c>
      <c r="AH762" s="304">
        <f t="shared" ca="1" si="347"/>
        <v>-7.6193109097907108</v>
      </c>
    </row>
    <row r="763" spans="1:34" x14ac:dyDescent="0.2">
      <c r="A763" s="347">
        <f t="shared" ca="1" si="325"/>
        <v>1E-4</v>
      </c>
      <c r="B763" s="304">
        <f t="shared" ca="1" si="326"/>
        <v>35.104800000000346</v>
      </c>
      <c r="D763" s="306">
        <f t="shared" ca="1" si="327"/>
        <v>-0.80657165574323619</v>
      </c>
      <c r="E763" s="307">
        <f t="shared" ca="1" si="328"/>
        <v>-2.2334646370346132</v>
      </c>
      <c r="F763" s="304">
        <f t="shared" ca="1" si="329"/>
        <v>2.374641472040051</v>
      </c>
      <c r="G763" s="306">
        <f t="shared" ca="1" si="330"/>
        <v>12.921542374590304</v>
      </c>
      <c r="H763" s="307">
        <f t="shared" ca="1" si="331"/>
        <v>-121.37956162334991</v>
      </c>
      <c r="I763" s="304">
        <f t="shared" ca="1" si="332"/>
        <v>122.06540966717365</v>
      </c>
      <c r="J763" s="306">
        <f t="shared" ca="1" si="333"/>
        <v>874.13727041639572</v>
      </c>
      <c r="K763" s="307">
        <f t="shared" ca="1" si="334"/>
        <v>-4.0703710186886344</v>
      </c>
      <c r="L763" s="304">
        <f t="shared" ca="1" si="319"/>
        <v>874.14674709184646</v>
      </c>
      <c r="M763" s="306">
        <f t="shared" ca="1" si="335"/>
        <v>-1.4647400930292465</v>
      </c>
      <c r="N763" s="304">
        <f t="shared" ca="1" si="336"/>
        <v>-83.923425414175398</v>
      </c>
      <c r="P763" s="310">
        <f t="shared" ca="1" si="337"/>
        <v>23</v>
      </c>
      <c r="Q763" s="304">
        <f t="shared" ca="1" si="338"/>
        <v>0</v>
      </c>
      <c r="R763" s="306">
        <f t="shared" ca="1" si="339"/>
        <v>0</v>
      </c>
      <c r="S763" s="307">
        <f t="shared" ca="1" si="340"/>
        <v>7.8079999999999892</v>
      </c>
      <c r="T763" s="304">
        <f t="shared" ca="1" si="320"/>
        <v>76.5964799999999</v>
      </c>
      <c r="U763" s="311">
        <f t="shared" ca="1" si="321"/>
        <v>0</v>
      </c>
      <c r="V763" s="306">
        <f t="shared" ca="1" si="322"/>
        <v>1.2254987219489579</v>
      </c>
      <c r="W763" s="304">
        <f t="shared" ca="1" si="323"/>
        <v>59.492140333291182</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2.1355329211233194</v>
      </c>
      <c r="AH763" s="304">
        <f t="shared" ca="1" si="347"/>
        <v>-7.6193468186002296</v>
      </c>
    </row>
    <row r="764" spans="1:34" x14ac:dyDescent="0.2">
      <c r="A764" s="347">
        <f t="shared" ca="1" si="325"/>
        <v>1E-4</v>
      </c>
      <c r="B764" s="304">
        <f t="shared" ca="1" si="326"/>
        <v>35.104900000000349</v>
      </c>
      <c r="D764" s="306">
        <f t="shared" ca="1" si="327"/>
        <v>-0.80656901119692992</v>
      </c>
      <c r="E764" s="307">
        <f t="shared" ca="1" si="328"/>
        <v>-2.2334282440941013</v>
      </c>
      <c r="F764" s="304">
        <f t="shared" ca="1" si="329"/>
        <v>2.3746063445001688</v>
      </c>
      <c r="G764" s="306">
        <f t="shared" ca="1" si="330"/>
        <v>12.921461717689185</v>
      </c>
      <c r="H764" s="307">
        <f t="shared" ca="1" si="331"/>
        <v>-121.37978496617433</v>
      </c>
      <c r="I764" s="304">
        <f t="shared" ca="1" si="332"/>
        <v>122.06562321700744</v>
      </c>
      <c r="J764" s="306">
        <f t="shared" ca="1" si="333"/>
        <v>874.13727041639572</v>
      </c>
      <c r="K764" s="307">
        <f t="shared" ca="1" si="334"/>
        <v>-4.0825089860181105</v>
      </c>
      <c r="L764" s="304">
        <f t="shared" ca="1" si="319"/>
        <v>874.14680369526479</v>
      </c>
      <c r="M764" s="306">
        <f t="shared" ca="1" si="335"/>
        <v>-1.4647409437702745</v>
      </c>
      <c r="N764" s="304">
        <f t="shared" ca="1" si="336"/>
        <v>-83.923474158045764</v>
      </c>
      <c r="P764" s="310">
        <f t="shared" ca="1" si="337"/>
        <v>23</v>
      </c>
      <c r="Q764" s="304">
        <f t="shared" ca="1" si="338"/>
        <v>0</v>
      </c>
      <c r="R764" s="306">
        <f t="shared" ca="1" si="339"/>
        <v>0</v>
      </c>
      <c r="S764" s="307">
        <f t="shared" ca="1" si="340"/>
        <v>7.8079999999999892</v>
      </c>
      <c r="T764" s="304">
        <f t="shared" ca="1" si="320"/>
        <v>76.5964799999999</v>
      </c>
      <c r="U764" s="311">
        <f t="shared" ca="1" si="321"/>
        <v>0</v>
      </c>
      <c r="V764" s="306">
        <f t="shared" ca="1" si="322"/>
        <v>1.2255002094562675</v>
      </c>
      <c r="W764" s="304">
        <f t="shared" ca="1" si="323"/>
        <v>59.492420704627818</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2.135497896086104</v>
      </c>
      <c r="AH764" s="304">
        <f t="shared" ca="1" si="347"/>
        <v>-7.6193827271120984</v>
      </c>
    </row>
    <row r="765" spans="1:34" x14ac:dyDescent="0.2">
      <c r="A765" s="347">
        <f t="shared" ca="1" si="325"/>
        <v>1E-4</v>
      </c>
      <c r="B765" s="304">
        <f t="shared" ca="1" si="326"/>
        <v>35.105000000000352</v>
      </c>
      <c r="D765" s="306">
        <f t="shared" ca="1" si="327"/>
        <v>-0.80656636662056524</v>
      </c>
      <c r="E765" s="307">
        <f t="shared" ca="1" si="328"/>
        <v>-2.2333918514552655</v>
      </c>
      <c r="F765" s="304">
        <f t="shared" ca="1" si="329"/>
        <v>2.3745712172748745</v>
      </c>
      <c r="G765" s="306">
        <f t="shared" ca="1" si="330"/>
        <v>12.921381061052523</v>
      </c>
      <c r="H765" s="307">
        <f t="shared" ca="1" si="331"/>
        <v>-121.38000830535947</v>
      </c>
      <c r="I765" s="304">
        <f t="shared" ca="1" si="332"/>
        <v>122.06583676333874</v>
      </c>
      <c r="J765" s="306">
        <f t="shared" ca="1" si="333"/>
        <v>874.13727041639572</v>
      </c>
      <c r="K765" s="307">
        <f t="shared" ca="1" si="334"/>
        <v>-4.0946469756816875</v>
      </c>
      <c r="L765" s="304">
        <f t="shared" ca="1" si="319"/>
        <v>874.14686046732584</v>
      </c>
      <c r="M765" s="306">
        <f t="shared" ca="1" si="335"/>
        <v>-1.4647417945030157</v>
      </c>
      <c r="N765" s="304">
        <f t="shared" ca="1" si="336"/>
        <v>-83.923522901441316</v>
      </c>
      <c r="P765" s="310">
        <f t="shared" ca="1" si="337"/>
        <v>23</v>
      </c>
      <c r="Q765" s="304">
        <f t="shared" ca="1" si="338"/>
        <v>0</v>
      </c>
      <c r="R765" s="306">
        <f t="shared" ca="1" si="339"/>
        <v>0</v>
      </c>
      <c r="S765" s="307">
        <f t="shared" ca="1" si="340"/>
        <v>7.8079999999999892</v>
      </c>
      <c r="T765" s="304">
        <f t="shared" ca="1" si="320"/>
        <v>76.5964799999999</v>
      </c>
      <c r="U765" s="311">
        <f t="shared" ca="1" si="321"/>
        <v>0</v>
      </c>
      <c r="V765" s="306">
        <f t="shared" ca="1" si="322"/>
        <v>1.2255016969681198</v>
      </c>
      <c r="W765" s="304">
        <f t="shared" ca="1" si="323"/>
        <v>59.492701073640362</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2.1354628713308692</v>
      </c>
      <c r="AH765" s="304">
        <f t="shared" ca="1" si="347"/>
        <v>-7.6194186353263191</v>
      </c>
    </row>
    <row r="766" spans="1:34" x14ac:dyDescent="0.2">
      <c r="A766" s="347">
        <f t="shared" ca="1" si="325"/>
        <v>1E-4</v>
      </c>
      <c r="B766" s="304">
        <f t="shared" ca="1" si="326"/>
        <v>35.105100000000355</v>
      </c>
      <c r="D766" s="306">
        <f t="shared" ca="1" si="327"/>
        <v>-0.8065637220141415</v>
      </c>
      <c r="E766" s="307">
        <f t="shared" ca="1" si="328"/>
        <v>-2.2333554591181111</v>
      </c>
      <c r="F766" s="304">
        <f t="shared" ca="1" si="329"/>
        <v>2.3745360903641735</v>
      </c>
      <c r="G766" s="306">
        <f t="shared" ca="1" si="330"/>
        <v>12.921300404680322</v>
      </c>
      <c r="H766" s="307">
        <f t="shared" ca="1" si="331"/>
        <v>-121.38023164090538</v>
      </c>
      <c r="I766" s="304">
        <f t="shared" ca="1" si="332"/>
        <v>122.0660503061676</v>
      </c>
      <c r="J766" s="306">
        <f t="shared" ca="1" si="333"/>
        <v>874.13727041639572</v>
      </c>
      <c r="K766" s="307">
        <f t="shared" ca="1" si="334"/>
        <v>-4.106784987679001</v>
      </c>
      <c r="L766" s="304">
        <f t="shared" ca="1" si="319"/>
        <v>874.14691740803039</v>
      </c>
      <c r="M766" s="306">
        <f t="shared" ca="1" si="335"/>
        <v>-1.4647426452274697</v>
      </c>
      <c r="N766" s="304">
        <f t="shared" ca="1" si="336"/>
        <v>-83.92357164436207</v>
      </c>
      <c r="P766" s="310">
        <f t="shared" ca="1" si="337"/>
        <v>23</v>
      </c>
      <c r="Q766" s="304">
        <f t="shared" ca="1" si="338"/>
        <v>0</v>
      </c>
      <c r="R766" s="306">
        <f t="shared" ca="1" si="339"/>
        <v>0</v>
      </c>
      <c r="S766" s="307">
        <f t="shared" ca="1" si="340"/>
        <v>7.8079999999999892</v>
      </c>
      <c r="T766" s="304">
        <f t="shared" ca="1" si="320"/>
        <v>76.5964799999999</v>
      </c>
      <c r="U766" s="311">
        <f t="shared" ca="1" si="321"/>
        <v>0</v>
      </c>
      <c r="V766" s="306">
        <f t="shared" ca="1" si="322"/>
        <v>1.225503184484515</v>
      </c>
      <c r="W766" s="304">
        <f t="shared" ca="1" si="323"/>
        <v>59.492981440328883</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2.135427846857624</v>
      </c>
      <c r="AH766" s="304">
        <f t="shared" ca="1" si="347"/>
        <v>-7.6194545432428846</v>
      </c>
    </row>
    <row r="767" spans="1:34" x14ac:dyDescent="0.2">
      <c r="A767" s="347">
        <f t="shared" ca="1" si="325"/>
        <v>1E-4</v>
      </c>
      <c r="B767" s="304">
        <f t="shared" ca="1" si="326"/>
        <v>35.105200000000359</v>
      </c>
      <c r="D767" s="306">
        <f t="shared" ca="1" si="327"/>
        <v>-0.80656107737766292</v>
      </c>
      <c r="E767" s="307">
        <f t="shared" ca="1" si="328"/>
        <v>-2.2333190670826326</v>
      </c>
      <c r="F767" s="304">
        <f t="shared" ca="1" si="329"/>
        <v>2.3745009637680625</v>
      </c>
      <c r="G767" s="306">
        <f t="shared" ca="1" si="330"/>
        <v>12.921219748572584</v>
      </c>
      <c r="H767" s="307">
        <f t="shared" ca="1" si="331"/>
        <v>-121.38045497281209</v>
      </c>
      <c r="I767" s="304">
        <f t="shared" ca="1" si="332"/>
        <v>122.06626384549403</v>
      </c>
      <c r="J767" s="306">
        <f t="shared" ca="1" si="333"/>
        <v>874.13727041639572</v>
      </c>
      <c r="K767" s="307">
        <f t="shared" ca="1" si="334"/>
        <v>-4.1189230220096871</v>
      </c>
      <c r="L767" s="304">
        <f t="shared" ca="1" si="319"/>
        <v>874.14697451737948</v>
      </c>
      <c r="M767" s="306">
        <f t="shared" ca="1" si="335"/>
        <v>-1.4647434959436372</v>
      </c>
      <c r="N767" s="304">
        <f t="shared" ca="1" si="336"/>
        <v>-83.923620386808025</v>
      </c>
      <c r="P767" s="310">
        <f t="shared" ca="1" si="337"/>
        <v>23</v>
      </c>
      <c r="Q767" s="304">
        <f t="shared" ca="1" si="338"/>
        <v>0</v>
      </c>
      <c r="R767" s="306">
        <f t="shared" ca="1" si="339"/>
        <v>0</v>
      </c>
      <c r="S767" s="307">
        <f t="shared" ca="1" si="340"/>
        <v>7.8079999999999892</v>
      </c>
      <c r="T767" s="304">
        <f t="shared" ca="1" si="320"/>
        <v>76.5964799999999</v>
      </c>
      <c r="U767" s="311">
        <f t="shared" ca="1" si="321"/>
        <v>0</v>
      </c>
      <c r="V767" s="306">
        <f t="shared" ca="1" si="322"/>
        <v>1.2255046720054532</v>
      </c>
      <c r="W767" s="304">
        <f t="shared" ca="1" si="323"/>
        <v>59.493261804693354</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2.1353928226663612</v>
      </c>
      <c r="AH767" s="304">
        <f t="shared" ca="1" si="347"/>
        <v>-7.6194904508618038</v>
      </c>
    </row>
    <row r="768" spans="1:34" x14ac:dyDescent="0.2">
      <c r="A768" s="347">
        <f t="shared" ca="1" si="325"/>
        <v>1E-4</v>
      </c>
      <c r="B768" s="304">
        <f t="shared" ca="1" si="326"/>
        <v>35.105300000000362</v>
      </c>
      <c r="D768" s="306">
        <f t="shared" ca="1" si="327"/>
        <v>-0.80655843271112571</v>
      </c>
      <c r="E768" s="307">
        <f t="shared" ca="1" si="328"/>
        <v>-2.2332826753488311</v>
      </c>
      <c r="F768" s="304">
        <f t="shared" ca="1" si="329"/>
        <v>2.3744658374865408</v>
      </c>
      <c r="G768" s="306">
        <f t="shared" ca="1" si="330"/>
        <v>12.921139092729312</v>
      </c>
      <c r="H768" s="307">
        <f t="shared" ca="1" si="331"/>
        <v>-121.38067830107963</v>
      </c>
      <c r="I768" s="304">
        <f t="shared" ca="1" si="332"/>
        <v>122.06647738131809</v>
      </c>
      <c r="J768" s="306">
        <f t="shared" ca="1" si="333"/>
        <v>874.13727041639572</v>
      </c>
      <c r="K768" s="307">
        <f t="shared" ca="1" si="334"/>
        <v>-4.1310610786733815</v>
      </c>
      <c r="L768" s="304">
        <f t="shared" ca="1" si="319"/>
        <v>874.14703179537401</v>
      </c>
      <c r="M768" s="306">
        <f t="shared" ca="1" si="335"/>
        <v>-1.464744346651518</v>
      </c>
      <c r="N768" s="304">
        <f t="shared" ca="1" si="336"/>
        <v>-83.923669128779196</v>
      </c>
      <c r="P768" s="310">
        <f t="shared" ca="1" si="337"/>
        <v>23</v>
      </c>
      <c r="Q768" s="304">
        <f t="shared" ca="1" si="338"/>
        <v>0</v>
      </c>
      <c r="R768" s="306">
        <f t="shared" ca="1" si="339"/>
        <v>0</v>
      </c>
      <c r="S768" s="307">
        <f t="shared" ca="1" si="340"/>
        <v>7.8079999999999892</v>
      </c>
      <c r="T768" s="304">
        <f t="shared" ca="1" si="320"/>
        <v>76.5964799999999</v>
      </c>
      <c r="U768" s="311">
        <f t="shared" ca="1" si="321"/>
        <v>0</v>
      </c>
      <c r="V768" s="306">
        <f t="shared" ca="1" si="322"/>
        <v>1.2255061595309347</v>
      </c>
      <c r="W768" s="304">
        <f t="shared" ca="1" si="323"/>
        <v>59.493542166733789</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2.1353577987570826</v>
      </c>
      <c r="AH768" s="304">
        <f t="shared" ca="1" si="347"/>
        <v>-7.619526358183073</v>
      </c>
    </row>
    <row r="769" spans="1:34" x14ac:dyDescent="0.2">
      <c r="A769" s="347">
        <f t="shared" ca="1" si="325"/>
        <v>1E-4</v>
      </c>
      <c r="B769" s="304">
        <f t="shared" ca="1" si="326"/>
        <v>35.105400000000365</v>
      </c>
      <c r="D769" s="306">
        <f t="shared" ca="1" si="327"/>
        <v>-0.80655578801453354</v>
      </c>
      <c r="E769" s="307">
        <f t="shared" ca="1" si="328"/>
        <v>-2.2332462839167047</v>
      </c>
      <c r="F769" s="304">
        <f t="shared" ca="1" si="329"/>
        <v>2.3744307115196088</v>
      </c>
      <c r="G769" s="306">
        <f t="shared" ca="1" si="330"/>
        <v>12.921058437150512</v>
      </c>
      <c r="H769" s="307">
        <f t="shared" ca="1" si="331"/>
        <v>-121.38090162570802</v>
      </c>
      <c r="I769" s="304">
        <f t="shared" ca="1" si="332"/>
        <v>122.06669091363977</v>
      </c>
      <c r="J769" s="306">
        <f t="shared" ca="1" si="333"/>
        <v>874.13727041639572</v>
      </c>
      <c r="K769" s="307">
        <f t="shared" ca="1" si="334"/>
        <v>-4.1431991576697209</v>
      </c>
      <c r="L769" s="304">
        <f t="shared" ca="1" si="319"/>
        <v>874.14708924201477</v>
      </c>
      <c r="M769" s="306">
        <f t="shared" ca="1" si="335"/>
        <v>-1.4647451973511121</v>
      </c>
      <c r="N769" s="304">
        <f t="shared" ca="1" si="336"/>
        <v>-83.923717870275567</v>
      </c>
      <c r="P769" s="310">
        <f t="shared" ca="1" si="337"/>
        <v>23</v>
      </c>
      <c r="Q769" s="304">
        <f t="shared" ca="1" si="338"/>
        <v>0</v>
      </c>
      <c r="R769" s="306">
        <f t="shared" ca="1" si="339"/>
        <v>0</v>
      </c>
      <c r="S769" s="307">
        <f t="shared" ca="1" si="340"/>
        <v>7.8079999999999892</v>
      </c>
      <c r="T769" s="304">
        <f t="shared" ca="1" si="320"/>
        <v>76.5964799999999</v>
      </c>
      <c r="U769" s="311">
        <f t="shared" ca="1" si="321"/>
        <v>0</v>
      </c>
      <c r="V769" s="306">
        <f t="shared" ca="1" si="322"/>
        <v>1.2255076470609583</v>
      </c>
      <c r="W769" s="304">
        <f t="shared" ca="1" si="323"/>
        <v>59.493822526450124</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2.1353227751297874</v>
      </c>
      <c r="AH769" s="304">
        <f t="shared" ca="1" si="347"/>
        <v>-7.619562265206695</v>
      </c>
    </row>
    <row r="770" spans="1:34" x14ac:dyDescent="0.2">
      <c r="A770" s="347">
        <f t="shared" ca="1" si="325"/>
        <v>1E-4</v>
      </c>
      <c r="B770" s="304">
        <f t="shared" ca="1" si="326"/>
        <v>35.105500000000369</v>
      </c>
      <c r="D770" s="306">
        <f t="shared" ca="1" si="327"/>
        <v>-0.80655314328788708</v>
      </c>
      <c r="E770" s="307">
        <f t="shared" ca="1" si="328"/>
        <v>-2.2332098927862631</v>
      </c>
      <c r="F770" s="304">
        <f t="shared" ca="1" si="329"/>
        <v>2.3743955858672758</v>
      </c>
      <c r="G770" s="306">
        <f t="shared" ca="1" si="330"/>
        <v>12.920977781836182</v>
      </c>
      <c r="H770" s="307">
        <f t="shared" ca="1" si="331"/>
        <v>-121.3811249466973</v>
      </c>
      <c r="I770" s="304">
        <f t="shared" ca="1" si="332"/>
        <v>122.06690444245912</v>
      </c>
      <c r="J770" s="306">
        <f t="shared" ca="1" si="333"/>
        <v>874.13727041639572</v>
      </c>
      <c r="K770" s="307">
        <f t="shared" ca="1" si="334"/>
        <v>-4.1553372589983413</v>
      </c>
      <c r="L770" s="304">
        <f t="shared" ca="1" si="319"/>
        <v>874.1471468573028</v>
      </c>
      <c r="M770" s="306">
        <f t="shared" ca="1" si="335"/>
        <v>-1.4647460480424199</v>
      </c>
      <c r="N770" s="304">
        <f t="shared" ca="1" si="336"/>
        <v>-83.923766611297182</v>
      </c>
      <c r="P770" s="310">
        <f t="shared" ca="1" si="337"/>
        <v>23</v>
      </c>
      <c r="Q770" s="304">
        <f t="shared" ca="1" si="338"/>
        <v>0</v>
      </c>
      <c r="R770" s="306">
        <f t="shared" ca="1" si="339"/>
        <v>0</v>
      </c>
      <c r="S770" s="307">
        <f t="shared" ca="1" si="340"/>
        <v>7.8079999999999892</v>
      </c>
      <c r="T770" s="304">
        <f t="shared" ca="1" si="320"/>
        <v>76.5964799999999</v>
      </c>
      <c r="U770" s="311">
        <f t="shared" ca="1" si="321"/>
        <v>0</v>
      </c>
      <c r="V770" s="306">
        <f t="shared" ca="1" si="322"/>
        <v>1.2255091345955251</v>
      </c>
      <c r="W770" s="304">
        <f t="shared" ca="1" si="323"/>
        <v>59.494102883842437</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2.1352877517844817</v>
      </c>
      <c r="AH770" s="304">
        <f t="shared" ca="1" si="347"/>
        <v>-7.61959817193266</v>
      </c>
    </row>
    <row r="771" spans="1:34" x14ac:dyDescent="0.2">
      <c r="A771" s="347">
        <f t="shared" ca="1" si="325"/>
        <v>1E-4</v>
      </c>
      <c r="B771" s="304">
        <f t="shared" ca="1" si="326"/>
        <v>35.105600000000372</v>
      </c>
      <c r="D771" s="306">
        <f t="shared" ca="1" si="327"/>
        <v>-0.80655049853118566</v>
      </c>
      <c r="E771" s="307">
        <f t="shared" ca="1" si="328"/>
        <v>-2.233173501957495</v>
      </c>
      <c r="F771" s="304">
        <f t="shared" ca="1" si="329"/>
        <v>2.3743604605295308</v>
      </c>
      <c r="G771" s="306">
        <f t="shared" ca="1" si="330"/>
        <v>12.920897126786329</v>
      </c>
      <c r="H771" s="307">
        <f t="shared" ca="1" si="331"/>
        <v>-121.38134826404749</v>
      </c>
      <c r="I771" s="304">
        <f t="shared" ca="1" si="332"/>
        <v>122.06711796777616</v>
      </c>
      <c r="J771" s="306">
        <f t="shared" ca="1" si="333"/>
        <v>874.13727041639572</v>
      </c>
      <c r="K771" s="307">
        <f t="shared" ca="1" si="334"/>
        <v>-4.1674753826588784</v>
      </c>
      <c r="L771" s="304">
        <f t="shared" ca="1" si="319"/>
        <v>874.14720464123889</v>
      </c>
      <c r="M771" s="306">
        <f t="shared" ca="1" si="335"/>
        <v>-1.4647468987254415</v>
      </c>
      <c r="N771" s="304">
        <f t="shared" ca="1" si="336"/>
        <v>-83.923815351844013</v>
      </c>
      <c r="P771" s="310">
        <f t="shared" ca="1" si="337"/>
        <v>23</v>
      </c>
      <c r="Q771" s="304">
        <f t="shared" ca="1" si="338"/>
        <v>0</v>
      </c>
      <c r="R771" s="306">
        <f t="shared" ca="1" si="339"/>
        <v>0</v>
      </c>
      <c r="S771" s="307">
        <f t="shared" ca="1" si="340"/>
        <v>7.8079999999999892</v>
      </c>
      <c r="T771" s="304">
        <f t="shared" ca="1" si="320"/>
        <v>76.5964799999999</v>
      </c>
      <c r="U771" s="311">
        <f t="shared" ca="1" si="321"/>
        <v>0</v>
      </c>
      <c r="V771" s="306">
        <f t="shared" ca="1" si="322"/>
        <v>1.2255106221346346</v>
      </c>
      <c r="W771" s="304">
        <f t="shared" ca="1" si="323"/>
        <v>59.494383238910686</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2.1352527287211602</v>
      </c>
      <c r="AH771" s="304">
        <f t="shared" ca="1" si="347"/>
        <v>-7.6196340783609786</v>
      </c>
    </row>
    <row r="772" spans="1:34" x14ac:dyDescent="0.2">
      <c r="A772" s="347">
        <f t="shared" ca="1" si="325"/>
        <v>1E-4</v>
      </c>
      <c r="B772" s="304">
        <f t="shared" ca="1" si="326"/>
        <v>35.105700000000375</v>
      </c>
      <c r="D772" s="306">
        <f t="shared" ca="1" si="327"/>
        <v>-0.80654785374443039</v>
      </c>
      <c r="E772" s="307">
        <f t="shared" ca="1" si="328"/>
        <v>-2.2331371114304064</v>
      </c>
      <c r="F772" s="304">
        <f t="shared" ca="1" si="329"/>
        <v>2.3743253355063807</v>
      </c>
      <c r="G772" s="306">
        <f t="shared" ca="1" si="330"/>
        <v>12.920816472000954</v>
      </c>
      <c r="H772" s="307">
        <f t="shared" ca="1" si="331"/>
        <v>-121.38157157775863</v>
      </c>
      <c r="I772" s="304">
        <f t="shared" ca="1" si="332"/>
        <v>122.06733148959091</v>
      </c>
      <c r="J772" s="306">
        <f t="shared" ca="1" si="333"/>
        <v>874.13727041639572</v>
      </c>
      <c r="K772" s="307">
        <f t="shared" ca="1" si="334"/>
        <v>-4.179613528650969</v>
      </c>
      <c r="L772" s="304">
        <f t="shared" ref="L772:L835" ca="1" si="348">SQRT(pos_x^2+pos_z^2)</f>
        <v>874.14726259382394</v>
      </c>
      <c r="M772" s="306">
        <f t="shared" ca="1" si="335"/>
        <v>-1.4647477494001768</v>
      </c>
      <c r="N772" s="304">
        <f t="shared" ca="1" si="336"/>
        <v>-83.923864091916087</v>
      </c>
      <c r="P772" s="310">
        <f t="shared" ca="1" si="337"/>
        <v>23</v>
      </c>
      <c r="Q772" s="304">
        <f t="shared" ca="1" si="338"/>
        <v>0</v>
      </c>
      <c r="R772" s="306">
        <f t="shared" ca="1" si="339"/>
        <v>0</v>
      </c>
      <c r="S772" s="307">
        <f t="shared" ca="1" si="340"/>
        <v>7.8079999999999892</v>
      </c>
      <c r="T772" s="304">
        <f t="shared" ref="T772:T835" ca="1" si="349">m*g</f>
        <v>76.5964799999999</v>
      </c>
      <c r="U772" s="311">
        <f t="shared" ref="U772:U835" ca="1" si="350">IF(pos_xz&lt;L_rampe,Poids*COS(Beta),0)</f>
        <v>0</v>
      </c>
      <c r="V772" s="306">
        <f t="shared" ref="V772:V835" ca="1" si="351">Rho_moyen*(20000-Alt_rampe-pos_z)/(20000+Alt_rampe+pos_z)</f>
        <v>1.2255121096782866</v>
      </c>
      <c r="W772" s="304">
        <f t="shared" ref="W772:W835" ca="1" si="352">1/2*Rho*Sref*Cx*vit_xz^2</f>
        <v>59.494663591654863</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2.1352177059398265</v>
      </c>
      <c r="AH772" s="304">
        <f t="shared" ca="1" si="347"/>
        <v>-7.6196699844916456</v>
      </c>
    </row>
    <row r="773" spans="1:34" x14ac:dyDescent="0.2">
      <c r="A773" s="347">
        <f t="shared" ref="A773:A836" ca="1" si="354">IF(B772+0.01&lt;=T_ini+ROUNDUP(Temps_fin_propu,0), 0.01, IF(K772&gt;0, 0.1, 0.0001))</f>
        <v>1E-4</v>
      </c>
      <c r="B773" s="304">
        <f t="shared" ref="B773:B836" ca="1" si="355">B772+pas</f>
        <v>35.105800000000379</v>
      </c>
      <c r="D773" s="306">
        <f t="shared" ref="D773:D836" ca="1" si="356">IF(AND(L772&lt;L_rampe,Poussee&lt;Poids*SIN(M772)),0,(-W772+Poussee)/m*COS(M772)-U772/m*SIN(M772))</f>
        <v>-0.80654520892762271</v>
      </c>
      <c r="E773" s="307">
        <f t="shared" ref="E773:E836" ca="1" si="357">IF(AND(L772&lt;L_rampe,Poussee&lt;Poids*SIN(M772)),0,(-W772+Poussee)/m*SIN(M772)+U772/m*COS(M772)-Poids/m)</f>
        <v>-2.2331007212049991</v>
      </c>
      <c r="F773" s="304">
        <f t="shared" ref="F773:F836" ca="1" si="358">SQRT(acc_x^2+acc_z^2)</f>
        <v>2.374290210797827</v>
      </c>
      <c r="G773" s="306">
        <f t="shared" ref="G773:G836" ca="1" si="359">G772+acc_x*pas</f>
        <v>12.920735817480061</v>
      </c>
      <c r="H773" s="307">
        <f t="shared" ref="H773:H836" ca="1" si="360">H772+acc_z*pas</f>
        <v>-121.38179488783075</v>
      </c>
      <c r="I773" s="304">
        <f t="shared" ref="I773:I836" ca="1" si="361">SQRT(vit_x^2+vit_z^2)</f>
        <v>122.06754500790342</v>
      </c>
      <c r="J773" s="306">
        <f t="shared" ref="J773:J836" ca="1" si="362">J772+0.5*(vit_x+G772)*pas*(K772&gt;=0)</f>
        <v>874.13727041639572</v>
      </c>
      <c r="K773" s="307">
        <f t="shared" ref="K773:K836" ca="1" si="363">K772+0.5*(vit_z+H772)*pas</f>
        <v>-4.1917516969742481</v>
      </c>
      <c r="L773" s="304">
        <f t="shared" ca="1" si="348"/>
        <v>874.14732071505887</v>
      </c>
      <c r="M773" s="306">
        <f t="shared" ref="M773:M836" ca="1" si="364">IF(AND(L772&gt;L_rampe,G773&gt;0),ATAN2(G773,H773),$M$4)</f>
        <v>-1.4647486000666261</v>
      </c>
      <c r="N773" s="304">
        <f t="shared" ref="N773:N836" ca="1" si="365">DEGREES(Beta)</f>
        <v>-83.923912831513405</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7.8079999999999892</v>
      </c>
      <c r="T773" s="304">
        <f t="shared" ca="1" si="349"/>
        <v>76.5964799999999</v>
      </c>
      <c r="U773" s="311">
        <f t="shared" ca="1" si="350"/>
        <v>0</v>
      </c>
      <c r="V773" s="306">
        <f t="shared" ca="1" si="351"/>
        <v>1.2255135972264815</v>
      </c>
      <c r="W773" s="304">
        <f t="shared" ca="1" si="352"/>
        <v>59.49494394207499</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2.1351826834404832</v>
      </c>
      <c r="AH773" s="304">
        <f t="shared" ref="AH773:AH836" ca="1" si="376">IF(AND(L772&lt;L_rampe,Poussee&lt;Poids*SIN(M772)), g*SIN(M772), (-W772+Poussee)/m)</f>
        <v>-7.6197058903246599</v>
      </c>
    </row>
    <row r="774" spans="1:34" x14ac:dyDescent="0.2">
      <c r="A774" s="347">
        <f t="shared" ca="1" si="354"/>
        <v>1E-4</v>
      </c>
      <c r="B774" s="304">
        <f t="shared" ca="1" si="355"/>
        <v>35.105900000000382</v>
      </c>
      <c r="D774" s="306">
        <f t="shared" ca="1" si="356"/>
        <v>-0.80654256408076319</v>
      </c>
      <c r="E774" s="307">
        <f t="shared" ca="1" si="357"/>
        <v>-2.2330643312812679</v>
      </c>
      <c r="F774" s="304">
        <f t="shared" ca="1" si="358"/>
        <v>2.3742550864038661</v>
      </c>
      <c r="G774" s="306">
        <f t="shared" ca="1" si="359"/>
        <v>12.920655163223653</v>
      </c>
      <c r="H774" s="307">
        <f t="shared" ca="1" si="360"/>
        <v>-121.38201819426388</v>
      </c>
      <c r="I774" s="304">
        <f t="shared" ca="1" si="361"/>
        <v>122.0677585227137</v>
      </c>
      <c r="J774" s="306">
        <f t="shared" ca="1" si="362"/>
        <v>874.13727041639572</v>
      </c>
      <c r="K774" s="307">
        <f t="shared" ca="1" si="363"/>
        <v>-4.2038898876283533</v>
      </c>
      <c r="L774" s="304">
        <f t="shared" ca="1" si="348"/>
        <v>874.14737900494458</v>
      </c>
      <c r="M774" s="306">
        <f t="shared" ca="1" si="364"/>
        <v>-1.4647494507247893</v>
      </c>
      <c r="N774" s="304">
        <f t="shared" ca="1" si="365"/>
        <v>-83.923961570635967</v>
      </c>
      <c r="P774" s="310">
        <f t="shared" ca="1" si="366"/>
        <v>23</v>
      </c>
      <c r="Q774" s="304">
        <f t="shared" ca="1" si="367"/>
        <v>0</v>
      </c>
      <c r="R774" s="306">
        <f t="shared" ca="1" si="368"/>
        <v>0</v>
      </c>
      <c r="S774" s="307">
        <f t="shared" ca="1" si="369"/>
        <v>7.8079999999999892</v>
      </c>
      <c r="T774" s="304">
        <f t="shared" ca="1" si="349"/>
        <v>76.5964799999999</v>
      </c>
      <c r="U774" s="311">
        <f t="shared" ca="1" si="350"/>
        <v>0</v>
      </c>
      <c r="V774" s="306">
        <f t="shared" ca="1" si="351"/>
        <v>1.2255150847792191</v>
      </c>
      <c r="W774" s="304">
        <f t="shared" ca="1" si="352"/>
        <v>59.495224290171073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2.1351476612231242</v>
      </c>
      <c r="AH774" s="304">
        <f t="shared" ca="1" si="376"/>
        <v>-7.6197417958600244</v>
      </c>
    </row>
    <row r="775" spans="1:34" x14ac:dyDescent="0.2">
      <c r="A775" s="347">
        <f t="shared" ca="1" si="354"/>
        <v>1E-4</v>
      </c>
      <c r="B775" s="304">
        <f t="shared" ca="1" si="355"/>
        <v>35.106000000000385</v>
      </c>
      <c r="D775" s="306">
        <f t="shared" ca="1" si="356"/>
        <v>-0.80653991920385337</v>
      </c>
      <c r="E775" s="307">
        <f t="shared" ca="1" si="357"/>
        <v>-2.2330279416592154</v>
      </c>
      <c r="F775" s="304">
        <f t="shared" ca="1" si="358"/>
        <v>2.3742199623245002</v>
      </c>
      <c r="G775" s="306">
        <f t="shared" ca="1" si="359"/>
        <v>12.920574509231733</v>
      </c>
      <c r="H775" s="307">
        <f t="shared" ca="1" si="360"/>
        <v>-121.38224149705805</v>
      </c>
      <c r="I775" s="304">
        <f t="shared" ca="1" si="361"/>
        <v>122.06797203402181</v>
      </c>
      <c r="J775" s="306">
        <f t="shared" ca="1" si="362"/>
        <v>874.13727041639572</v>
      </c>
      <c r="K775" s="307">
        <f t="shared" ca="1" si="363"/>
        <v>-4.2160281006129194</v>
      </c>
      <c r="L775" s="304">
        <f t="shared" ca="1" si="348"/>
        <v>874.14743746348199</v>
      </c>
      <c r="M775" s="306">
        <f t="shared" ca="1" si="364"/>
        <v>-1.464750301374667</v>
      </c>
      <c r="N775" s="304">
        <f t="shared" ca="1" si="365"/>
        <v>-83.924010309283801</v>
      </c>
      <c r="P775" s="310">
        <f t="shared" ca="1" si="366"/>
        <v>23</v>
      </c>
      <c r="Q775" s="304">
        <f t="shared" ca="1" si="367"/>
        <v>0</v>
      </c>
      <c r="R775" s="306">
        <f t="shared" ca="1" si="368"/>
        <v>0</v>
      </c>
      <c r="S775" s="307">
        <f t="shared" ca="1" si="369"/>
        <v>7.8079999999999892</v>
      </c>
      <c r="T775" s="304">
        <f t="shared" ca="1" si="349"/>
        <v>76.5964799999999</v>
      </c>
      <c r="U775" s="311">
        <f t="shared" ca="1" si="350"/>
        <v>0</v>
      </c>
      <c r="V775" s="306">
        <f t="shared" ca="1" si="351"/>
        <v>1.2255165723364996</v>
      </c>
      <c r="W775" s="304">
        <f t="shared" ca="1" si="352"/>
        <v>59.495504635943107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2.135112639287752</v>
      </c>
      <c r="AH775" s="304">
        <f t="shared" ca="1" si="376"/>
        <v>-7.6197777010977399</v>
      </c>
    </row>
    <row r="776" spans="1:34" x14ac:dyDescent="0.2">
      <c r="A776" s="347">
        <f t="shared" ca="1" si="354"/>
        <v>1E-4</v>
      </c>
      <c r="B776" s="304">
        <f t="shared" ca="1" si="355"/>
        <v>35.106100000000389</v>
      </c>
      <c r="D776" s="306">
        <f t="shared" ca="1" si="356"/>
        <v>-0.80653727429689148</v>
      </c>
      <c r="E776" s="307">
        <f t="shared" ca="1" si="357"/>
        <v>-2.2329915523388379</v>
      </c>
      <c r="F776" s="304">
        <f t="shared" ca="1" si="358"/>
        <v>2.3741848385597257</v>
      </c>
      <c r="G776" s="306">
        <f t="shared" ca="1" si="359"/>
        <v>12.920493855504303</v>
      </c>
      <c r="H776" s="307">
        <f t="shared" ca="1" si="360"/>
        <v>-121.38246479621328</v>
      </c>
      <c r="I776" s="304">
        <f t="shared" ca="1" si="361"/>
        <v>122.06818554182773</v>
      </c>
      <c r="J776" s="306">
        <f t="shared" ca="1" si="362"/>
        <v>874.13727041639572</v>
      </c>
      <c r="K776" s="307">
        <f t="shared" ca="1" si="363"/>
        <v>-4.2281663359275834</v>
      </c>
      <c r="L776" s="304">
        <f t="shared" ca="1" si="348"/>
        <v>874.14749609067189</v>
      </c>
      <c r="M776" s="306">
        <f t="shared" ca="1" si="364"/>
        <v>-1.4647511520162588</v>
      </c>
      <c r="N776" s="304">
        <f t="shared" ca="1" si="365"/>
        <v>-83.924059047456893</v>
      </c>
      <c r="P776" s="310">
        <f t="shared" ca="1" si="366"/>
        <v>23</v>
      </c>
      <c r="Q776" s="304">
        <f t="shared" ca="1" si="367"/>
        <v>0</v>
      </c>
      <c r="R776" s="306">
        <f t="shared" ca="1" si="368"/>
        <v>0</v>
      </c>
      <c r="S776" s="307">
        <f t="shared" ca="1" si="369"/>
        <v>7.8079999999999892</v>
      </c>
      <c r="T776" s="304">
        <f t="shared" ca="1" si="349"/>
        <v>76.5964799999999</v>
      </c>
      <c r="U776" s="311">
        <f t="shared" ca="1" si="350"/>
        <v>0</v>
      </c>
      <c r="V776" s="306">
        <f t="shared" ca="1" si="351"/>
        <v>1.2255180598983224</v>
      </c>
      <c r="W776" s="304">
        <f t="shared" ca="1" si="352"/>
        <v>59.495784979391061</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2.1350776176343684</v>
      </c>
      <c r="AH776" s="304">
        <f t="shared" ca="1" si="376"/>
        <v>-7.6198136060378063</v>
      </c>
    </row>
    <row r="777" spans="1:34" x14ac:dyDescent="0.2">
      <c r="A777" s="347">
        <f t="shared" ca="1" si="354"/>
        <v>1E-4</v>
      </c>
      <c r="B777" s="304">
        <f t="shared" ca="1" si="355"/>
        <v>35.106200000000392</v>
      </c>
      <c r="D777" s="306">
        <f t="shared" ca="1" si="356"/>
        <v>-0.80653462935988052</v>
      </c>
      <c r="E777" s="307">
        <f t="shared" ca="1" si="357"/>
        <v>-2.2329551633201437</v>
      </c>
      <c r="F777" s="304">
        <f t="shared" ca="1" si="358"/>
        <v>2.3741497151095525</v>
      </c>
      <c r="G777" s="306">
        <f t="shared" ca="1" si="359"/>
        <v>12.920413202041367</v>
      </c>
      <c r="H777" s="307">
        <f t="shared" ca="1" si="360"/>
        <v>-121.38268809172962</v>
      </c>
      <c r="I777" s="304">
        <f t="shared" ca="1" si="361"/>
        <v>122.06839904613153</v>
      </c>
      <c r="J777" s="306">
        <f t="shared" ca="1" si="362"/>
        <v>874.13727041639572</v>
      </c>
      <c r="K777" s="307">
        <f t="shared" ca="1" si="363"/>
        <v>-4.240304593571981</v>
      </c>
      <c r="L777" s="304">
        <f t="shared" ca="1" si="348"/>
        <v>874.14755488651531</v>
      </c>
      <c r="M777" s="306">
        <f t="shared" ca="1" si="364"/>
        <v>-1.4647520026495651</v>
      </c>
      <c r="N777" s="304">
        <f t="shared" ca="1" si="365"/>
        <v>-83.924107785155257</v>
      </c>
      <c r="P777" s="310">
        <f t="shared" ca="1" si="366"/>
        <v>23</v>
      </c>
      <c r="Q777" s="304">
        <f t="shared" ca="1" si="367"/>
        <v>0</v>
      </c>
      <c r="R777" s="306">
        <f t="shared" ca="1" si="368"/>
        <v>0</v>
      </c>
      <c r="S777" s="307">
        <f t="shared" ca="1" si="369"/>
        <v>7.8079999999999892</v>
      </c>
      <c r="T777" s="304">
        <f t="shared" ca="1" si="349"/>
        <v>76.5964799999999</v>
      </c>
      <c r="U777" s="311">
        <f t="shared" ca="1" si="350"/>
        <v>0</v>
      </c>
      <c r="V777" s="306">
        <f t="shared" ca="1" si="351"/>
        <v>1.2255195474646876</v>
      </c>
      <c r="W777" s="304">
        <f t="shared" ca="1" si="352"/>
        <v>59.496065320514965</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2.1350425962629735</v>
      </c>
      <c r="AH777" s="304">
        <f t="shared" ca="1" si="376"/>
        <v>-7.6198495106802184</v>
      </c>
    </row>
    <row r="778" spans="1:34" x14ac:dyDescent="0.2">
      <c r="A778" s="347">
        <f t="shared" ca="1" si="354"/>
        <v>1E-4</v>
      </c>
      <c r="B778" s="304">
        <f t="shared" ca="1" si="355"/>
        <v>35.106300000000395</v>
      </c>
      <c r="D778" s="306">
        <f t="shared" ca="1" si="356"/>
        <v>-0.80653198439282059</v>
      </c>
      <c r="E778" s="307">
        <f t="shared" ca="1" si="357"/>
        <v>-2.2329187746031263</v>
      </c>
      <c r="F778" s="304">
        <f t="shared" ca="1" si="358"/>
        <v>2.3741145919739739</v>
      </c>
      <c r="G778" s="306">
        <f t="shared" ca="1" si="359"/>
        <v>12.920332548842927</v>
      </c>
      <c r="H778" s="307">
        <f t="shared" ca="1" si="360"/>
        <v>-121.38291138360708</v>
      </c>
      <c r="I778" s="304">
        <f t="shared" ca="1" si="361"/>
        <v>122.06861254693321</v>
      </c>
      <c r="J778" s="306">
        <f t="shared" ca="1" si="362"/>
        <v>874.13727041639572</v>
      </c>
      <c r="K778" s="307">
        <f t="shared" ca="1" si="363"/>
        <v>-4.252442873545748</v>
      </c>
      <c r="L778" s="304">
        <f t="shared" ca="1" si="348"/>
        <v>874.14761385101292</v>
      </c>
      <c r="M778" s="306">
        <f t="shared" ca="1" si="364"/>
        <v>-1.4647528532745857</v>
      </c>
      <c r="N778" s="304">
        <f t="shared" ca="1" si="365"/>
        <v>-83.92415652237888</v>
      </c>
      <c r="P778" s="310">
        <f t="shared" ca="1" si="366"/>
        <v>23</v>
      </c>
      <c r="Q778" s="304">
        <f t="shared" ca="1" si="367"/>
        <v>0</v>
      </c>
      <c r="R778" s="306">
        <f t="shared" ca="1" si="368"/>
        <v>0</v>
      </c>
      <c r="S778" s="307">
        <f t="shared" ca="1" si="369"/>
        <v>7.8079999999999892</v>
      </c>
      <c r="T778" s="304">
        <f t="shared" ca="1" si="349"/>
        <v>76.5964799999999</v>
      </c>
      <c r="U778" s="311">
        <f t="shared" ca="1" si="350"/>
        <v>0</v>
      </c>
      <c r="V778" s="306">
        <f t="shared" ca="1" si="351"/>
        <v>1.2255210350355956</v>
      </c>
      <c r="W778" s="304">
        <f t="shared" ca="1" si="352"/>
        <v>59.496345659314805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2.1350075751735682</v>
      </c>
      <c r="AH778" s="304">
        <f t="shared" ca="1" si="376"/>
        <v>-7.6198854150249806</v>
      </c>
    </row>
    <row r="779" spans="1:34" x14ac:dyDescent="0.2">
      <c r="A779" s="347">
        <f t="shared" ca="1" si="354"/>
        <v>1E-4</v>
      </c>
      <c r="B779" s="304">
        <f t="shared" ca="1" si="355"/>
        <v>35.106400000000399</v>
      </c>
      <c r="D779" s="306">
        <f t="shared" ca="1" si="356"/>
        <v>-0.80652933939571358</v>
      </c>
      <c r="E779" s="307">
        <f t="shared" ca="1" si="357"/>
        <v>-2.2328823861877884</v>
      </c>
      <c r="F779" s="304">
        <f t="shared" ca="1" si="358"/>
        <v>2.3740794691529934</v>
      </c>
      <c r="G779" s="306">
        <f t="shared" ca="1" si="359"/>
        <v>12.920251895908986</v>
      </c>
      <c r="H779" s="307">
        <f t="shared" ca="1" si="360"/>
        <v>-121.3831346718457</v>
      </c>
      <c r="I779" s="304">
        <f t="shared" ca="1" si="361"/>
        <v>122.06882604423279</v>
      </c>
      <c r="J779" s="306">
        <f t="shared" ca="1" si="362"/>
        <v>874.13727041639572</v>
      </c>
      <c r="K779" s="307">
        <f t="shared" ca="1" si="363"/>
        <v>-4.2645811758485204</v>
      </c>
      <c r="L779" s="304">
        <f t="shared" ca="1" si="348"/>
        <v>874.14767298416598</v>
      </c>
      <c r="M779" s="306">
        <f t="shared" ca="1" si="364"/>
        <v>-1.4647537038913212</v>
      </c>
      <c r="N779" s="304">
        <f t="shared" ca="1" si="365"/>
        <v>-83.924205259127817</v>
      </c>
      <c r="P779" s="310">
        <f t="shared" ca="1" si="366"/>
        <v>23</v>
      </c>
      <c r="Q779" s="304">
        <f t="shared" ca="1" si="367"/>
        <v>0</v>
      </c>
      <c r="R779" s="306">
        <f t="shared" ca="1" si="368"/>
        <v>0</v>
      </c>
      <c r="S779" s="307">
        <f t="shared" ca="1" si="369"/>
        <v>7.8079999999999892</v>
      </c>
      <c r="T779" s="304">
        <f t="shared" ca="1" si="349"/>
        <v>76.5964799999999</v>
      </c>
      <c r="U779" s="311">
        <f t="shared" ca="1" si="350"/>
        <v>0</v>
      </c>
      <c r="V779" s="306">
        <f t="shared" ca="1" si="351"/>
        <v>1.2255225226110462</v>
      </c>
      <c r="W779" s="304">
        <f t="shared" ca="1" si="352"/>
        <v>59.496625995790573</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2.1349725543661542</v>
      </c>
      <c r="AH779" s="304">
        <f t="shared" ca="1" si="376"/>
        <v>-7.6199213190720911</v>
      </c>
    </row>
    <row r="780" spans="1:34" x14ac:dyDescent="0.2">
      <c r="A780" s="347">
        <f t="shared" ca="1" si="354"/>
        <v>1E-4</v>
      </c>
      <c r="B780" s="304">
        <f t="shared" ca="1" si="355"/>
        <v>35.106500000000402</v>
      </c>
      <c r="D780" s="306">
        <f t="shared" ca="1" si="356"/>
        <v>-0.8065266943685574</v>
      </c>
      <c r="E780" s="307">
        <f t="shared" ca="1" si="357"/>
        <v>-2.2328459980741302</v>
      </c>
      <c r="F780" s="304">
        <f t="shared" ca="1" si="358"/>
        <v>2.3740443466466106</v>
      </c>
      <c r="G780" s="306">
        <f t="shared" ca="1" si="359"/>
        <v>12.920171243239549</v>
      </c>
      <c r="H780" s="307">
        <f t="shared" ca="1" si="360"/>
        <v>-121.38335795644551</v>
      </c>
      <c r="I780" s="304">
        <f t="shared" ca="1" si="361"/>
        <v>122.06903953803035</v>
      </c>
      <c r="J780" s="306">
        <f t="shared" ca="1" si="362"/>
        <v>874.13727041639572</v>
      </c>
      <c r="K780" s="307">
        <f t="shared" ca="1" si="363"/>
        <v>-4.2767195004799348</v>
      </c>
      <c r="L780" s="304">
        <f t="shared" ca="1" si="348"/>
        <v>874.14773228597505</v>
      </c>
      <c r="M780" s="306">
        <f t="shared" ca="1" si="364"/>
        <v>-1.4647545544997715</v>
      </c>
      <c r="N780" s="304">
        <f t="shared" ca="1" si="365"/>
        <v>-83.92425399540204</v>
      </c>
      <c r="P780" s="310">
        <f t="shared" ca="1" si="366"/>
        <v>23</v>
      </c>
      <c r="Q780" s="304">
        <f t="shared" ca="1" si="367"/>
        <v>0</v>
      </c>
      <c r="R780" s="306">
        <f t="shared" ca="1" si="368"/>
        <v>0</v>
      </c>
      <c r="S780" s="307">
        <f t="shared" ca="1" si="369"/>
        <v>7.8079999999999892</v>
      </c>
      <c r="T780" s="304">
        <f t="shared" ca="1" si="349"/>
        <v>76.5964799999999</v>
      </c>
      <c r="U780" s="311">
        <f t="shared" ca="1" si="350"/>
        <v>0</v>
      </c>
      <c r="V780" s="306">
        <f t="shared" ca="1" si="351"/>
        <v>1.2255240101910392</v>
      </c>
      <c r="W780" s="304">
        <f t="shared" ca="1" si="352"/>
        <v>59.496906329942313</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2.1349375338407288</v>
      </c>
      <c r="AH780" s="304">
        <f t="shared" ca="1" si="376"/>
        <v>-7.6199572228215491</v>
      </c>
    </row>
    <row r="781" spans="1:34" x14ac:dyDescent="0.2">
      <c r="A781" s="347">
        <f t="shared" ca="1" si="354"/>
        <v>1E-4</v>
      </c>
      <c r="B781" s="304">
        <f t="shared" ca="1" si="355"/>
        <v>35.106600000000405</v>
      </c>
      <c r="D781" s="306">
        <f t="shared" ca="1" si="356"/>
        <v>-0.80652404931135435</v>
      </c>
      <c r="E781" s="307">
        <f t="shared" ca="1" si="357"/>
        <v>-2.232809610262148</v>
      </c>
      <c r="F781" s="304">
        <f t="shared" ca="1" si="358"/>
        <v>2.3740092244548228</v>
      </c>
      <c r="G781" s="306">
        <f t="shared" ca="1" si="359"/>
        <v>12.920090590834619</v>
      </c>
      <c r="H781" s="307">
        <f t="shared" ca="1" si="360"/>
        <v>-121.38358123740653</v>
      </c>
      <c r="I781" s="304">
        <f t="shared" ca="1" si="361"/>
        <v>122.06925302832587</v>
      </c>
      <c r="J781" s="306">
        <f t="shared" ca="1" si="362"/>
        <v>874.13727041639572</v>
      </c>
      <c r="K781" s="307">
        <f t="shared" ca="1" si="363"/>
        <v>-4.2888578474396271</v>
      </c>
      <c r="L781" s="304">
        <f t="shared" ca="1" si="348"/>
        <v>874.14779175644117</v>
      </c>
      <c r="M781" s="306">
        <f t="shared" ca="1" si="364"/>
        <v>-1.4647554050999367</v>
      </c>
      <c r="N781" s="304">
        <f t="shared" ca="1" si="365"/>
        <v>-83.92430273120155</v>
      </c>
      <c r="P781" s="310">
        <f t="shared" ca="1" si="366"/>
        <v>23</v>
      </c>
      <c r="Q781" s="304">
        <f t="shared" ca="1" si="367"/>
        <v>0</v>
      </c>
      <c r="R781" s="306">
        <f t="shared" ca="1" si="368"/>
        <v>0</v>
      </c>
      <c r="S781" s="307">
        <f t="shared" ca="1" si="369"/>
        <v>7.8079999999999892</v>
      </c>
      <c r="T781" s="304">
        <f t="shared" ca="1" si="349"/>
        <v>76.5964799999999</v>
      </c>
      <c r="U781" s="311">
        <f t="shared" ca="1" si="350"/>
        <v>0</v>
      </c>
      <c r="V781" s="306">
        <f t="shared" ca="1" si="351"/>
        <v>1.2255254977755747</v>
      </c>
      <c r="W781" s="304">
        <f t="shared" ca="1" si="352"/>
        <v>59.497186661769973</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2.1349025135972921</v>
      </c>
      <c r="AH781" s="304">
        <f t="shared" ca="1" si="376"/>
        <v>-7.6199931262733598</v>
      </c>
    </row>
    <row r="782" spans="1:34" x14ac:dyDescent="0.2">
      <c r="A782" s="347">
        <f t="shared" ca="1" si="354"/>
        <v>1E-4</v>
      </c>
      <c r="B782" s="304">
        <f t="shared" ca="1" si="355"/>
        <v>35.106700000000409</v>
      </c>
      <c r="D782" s="306">
        <f t="shared" ca="1" si="356"/>
        <v>-0.80652140422410545</v>
      </c>
      <c r="E782" s="307">
        <f t="shared" ca="1" si="357"/>
        <v>-2.2327732227518471</v>
      </c>
      <c r="F782" s="304">
        <f t="shared" ca="1" si="358"/>
        <v>2.3739741025776362</v>
      </c>
      <c r="G782" s="306">
        <f t="shared" ca="1" si="359"/>
        <v>12.920009938694196</v>
      </c>
      <c r="H782" s="307">
        <f t="shared" ca="1" si="360"/>
        <v>-121.38380451472881</v>
      </c>
      <c r="I782" s="304">
        <f t="shared" ca="1" si="361"/>
        <v>122.06946651511939</v>
      </c>
      <c r="J782" s="306">
        <f t="shared" ca="1" si="362"/>
        <v>874.13727041639572</v>
      </c>
      <c r="K782" s="307">
        <f t="shared" ca="1" si="363"/>
        <v>-4.300996216727234</v>
      </c>
      <c r="L782" s="304">
        <f t="shared" ca="1" si="348"/>
        <v>874.14785139556523</v>
      </c>
      <c r="M782" s="306">
        <f t="shared" ca="1" si="364"/>
        <v>-1.4647562556918168</v>
      </c>
      <c r="N782" s="304">
        <f t="shared" ca="1" si="365"/>
        <v>-83.924351466526375</v>
      </c>
      <c r="P782" s="310">
        <f t="shared" ca="1" si="366"/>
        <v>23</v>
      </c>
      <c r="Q782" s="304">
        <f t="shared" ca="1" si="367"/>
        <v>0</v>
      </c>
      <c r="R782" s="306">
        <f t="shared" ca="1" si="368"/>
        <v>0</v>
      </c>
      <c r="S782" s="307">
        <f t="shared" ca="1" si="369"/>
        <v>7.8079999999999892</v>
      </c>
      <c r="T782" s="304">
        <f t="shared" ca="1" si="349"/>
        <v>76.5964799999999</v>
      </c>
      <c r="U782" s="311">
        <f t="shared" ca="1" si="350"/>
        <v>0</v>
      </c>
      <c r="V782" s="306">
        <f t="shared" ca="1" si="351"/>
        <v>1.2255269853646522</v>
      </c>
      <c r="W782" s="304">
        <f t="shared" ca="1" si="352"/>
        <v>59.497466991273534</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2.1348674936358467</v>
      </c>
      <c r="AH782" s="304">
        <f t="shared" ca="1" si="376"/>
        <v>-7.620029029427517</v>
      </c>
    </row>
    <row r="783" spans="1:34" x14ac:dyDescent="0.2">
      <c r="A783" s="347">
        <f t="shared" ca="1" si="354"/>
        <v>1E-4</v>
      </c>
      <c r="B783" s="304">
        <f t="shared" ca="1" si="355"/>
        <v>35.106800000000412</v>
      </c>
      <c r="D783" s="306">
        <f t="shared" ca="1" si="356"/>
        <v>-0.80651875910681203</v>
      </c>
      <c r="E783" s="307">
        <f t="shared" ca="1" si="357"/>
        <v>-2.2327368355432293</v>
      </c>
      <c r="F783" s="304">
        <f t="shared" ca="1" si="358"/>
        <v>2.3739389810150526</v>
      </c>
      <c r="G783" s="306">
        <f t="shared" ca="1" si="359"/>
        <v>12.919929286818286</v>
      </c>
      <c r="H783" s="307">
        <f t="shared" ca="1" si="360"/>
        <v>-121.38402778841237</v>
      </c>
      <c r="I783" s="304">
        <f t="shared" ca="1" si="361"/>
        <v>122.06967999841095</v>
      </c>
      <c r="J783" s="306">
        <f t="shared" ca="1" si="362"/>
        <v>874.13727041639572</v>
      </c>
      <c r="K783" s="307">
        <f t="shared" ca="1" si="363"/>
        <v>-4.3131346083423914</v>
      </c>
      <c r="L783" s="304">
        <f t="shared" ca="1" si="348"/>
        <v>874.14791120334814</v>
      </c>
      <c r="M783" s="306">
        <f t="shared" ca="1" si="364"/>
        <v>-1.4647571062754121</v>
      </c>
      <c r="N783" s="304">
        <f t="shared" ca="1" si="365"/>
        <v>-83.9244002013765</v>
      </c>
      <c r="P783" s="310">
        <f t="shared" ca="1" si="366"/>
        <v>23</v>
      </c>
      <c r="Q783" s="304">
        <f t="shared" ca="1" si="367"/>
        <v>0</v>
      </c>
      <c r="R783" s="306">
        <f t="shared" ca="1" si="368"/>
        <v>0</v>
      </c>
      <c r="S783" s="307">
        <f t="shared" ca="1" si="369"/>
        <v>7.8079999999999892</v>
      </c>
      <c r="T783" s="304">
        <f t="shared" ca="1" si="349"/>
        <v>76.5964799999999</v>
      </c>
      <c r="U783" s="311">
        <f t="shared" ca="1" si="350"/>
        <v>0</v>
      </c>
      <c r="V783" s="306">
        <f t="shared" ca="1" si="351"/>
        <v>1.2255284729582723</v>
      </c>
      <c r="W783" s="304">
        <f t="shared" ca="1" si="352"/>
        <v>59.497747318453072</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2.1348324739564006</v>
      </c>
      <c r="AH783" s="304">
        <f t="shared" ca="1" si="376"/>
        <v>-7.6200649322840182</v>
      </c>
    </row>
    <row r="784" spans="1:34" x14ac:dyDescent="0.2">
      <c r="A784" s="347">
        <f t="shared" ca="1" si="354"/>
        <v>1E-4</v>
      </c>
      <c r="B784" s="304">
        <f t="shared" ca="1" si="355"/>
        <v>35.106900000000415</v>
      </c>
      <c r="D784" s="306">
        <f t="shared" ca="1" si="356"/>
        <v>-0.80651611395947331</v>
      </c>
      <c r="E784" s="307">
        <f t="shared" ca="1" si="357"/>
        <v>-2.2327004486362858</v>
      </c>
      <c r="F784" s="304">
        <f t="shared" ca="1" si="358"/>
        <v>2.3739038597670636</v>
      </c>
      <c r="G784" s="306">
        <f t="shared" ca="1" si="359"/>
        <v>12.91984863520689</v>
      </c>
      <c r="H784" s="307">
        <f t="shared" ca="1" si="360"/>
        <v>-121.38425105845724</v>
      </c>
      <c r="I784" s="304">
        <f t="shared" ca="1" si="361"/>
        <v>122.06989347820057</v>
      </c>
      <c r="J784" s="306">
        <f t="shared" ca="1" si="362"/>
        <v>874.13727041639572</v>
      </c>
      <c r="K784" s="307">
        <f t="shared" ca="1" si="363"/>
        <v>-4.3252730222847351</v>
      </c>
      <c r="L784" s="304">
        <f t="shared" ca="1" si="348"/>
        <v>874.14797117979072</v>
      </c>
      <c r="M784" s="306">
        <f t="shared" ca="1" si="364"/>
        <v>-1.4647579568507225</v>
      </c>
      <c r="N784" s="304">
        <f t="shared" ca="1" si="365"/>
        <v>-83.924448935751954</v>
      </c>
      <c r="P784" s="310">
        <f t="shared" ca="1" si="366"/>
        <v>23</v>
      </c>
      <c r="Q784" s="304">
        <f t="shared" ca="1" si="367"/>
        <v>0</v>
      </c>
      <c r="R784" s="306">
        <f t="shared" ca="1" si="368"/>
        <v>0</v>
      </c>
      <c r="S784" s="307">
        <f t="shared" ca="1" si="369"/>
        <v>7.8079999999999892</v>
      </c>
      <c r="T784" s="304">
        <f t="shared" ca="1" si="349"/>
        <v>76.5964799999999</v>
      </c>
      <c r="U784" s="311">
        <f t="shared" ca="1" si="350"/>
        <v>0</v>
      </c>
      <c r="V784" s="306">
        <f t="shared" ca="1" si="351"/>
        <v>1.2255299605564349</v>
      </c>
      <c r="W784" s="304">
        <f t="shared" ca="1" si="352"/>
        <v>59.498027643308539</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2.1347974545589388</v>
      </c>
      <c r="AH784" s="304">
        <f t="shared" ca="1" si="376"/>
        <v>-7.6201008348428729</v>
      </c>
    </row>
    <row r="785" spans="1:34" x14ac:dyDescent="0.2">
      <c r="A785" s="347">
        <f t="shared" ca="1" si="354"/>
        <v>1E-4</v>
      </c>
      <c r="B785" s="304">
        <f t="shared" ca="1" si="355"/>
        <v>35.107000000000419</v>
      </c>
      <c r="D785" s="306">
        <f t="shared" ca="1" si="356"/>
        <v>-0.80651346878209229</v>
      </c>
      <c r="E785" s="307">
        <f t="shared" ca="1" si="357"/>
        <v>-2.2326640620310219</v>
      </c>
      <c r="F785" s="304">
        <f t="shared" ca="1" si="358"/>
        <v>2.3738687388336754</v>
      </c>
      <c r="G785" s="306">
        <f t="shared" ca="1" si="359"/>
        <v>12.919767983860012</v>
      </c>
      <c r="H785" s="307">
        <f t="shared" ca="1" si="360"/>
        <v>-121.38447432486345</v>
      </c>
      <c r="I785" s="304">
        <f t="shared" ca="1" si="361"/>
        <v>122.07010695448828</v>
      </c>
      <c r="J785" s="306">
        <f t="shared" ca="1" si="362"/>
        <v>874.13727041639572</v>
      </c>
      <c r="K785" s="307">
        <f t="shared" ca="1" si="363"/>
        <v>-4.337411458553901</v>
      </c>
      <c r="L785" s="304">
        <f t="shared" ca="1" si="348"/>
        <v>874.14803132489385</v>
      </c>
      <c r="M785" s="306">
        <f t="shared" ca="1" si="364"/>
        <v>-1.4647588074177484</v>
      </c>
      <c r="N785" s="304">
        <f t="shared" ca="1" si="365"/>
        <v>-83.924497669652723</v>
      </c>
      <c r="P785" s="310">
        <f t="shared" ca="1" si="366"/>
        <v>23</v>
      </c>
      <c r="Q785" s="304">
        <f t="shared" ca="1" si="367"/>
        <v>0</v>
      </c>
      <c r="R785" s="306">
        <f t="shared" ca="1" si="368"/>
        <v>0</v>
      </c>
      <c r="S785" s="307">
        <f t="shared" ca="1" si="369"/>
        <v>7.8079999999999892</v>
      </c>
      <c r="T785" s="304">
        <f t="shared" ca="1" si="349"/>
        <v>76.5964799999999</v>
      </c>
      <c r="U785" s="311">
        <f t="shared" ca="1" si="350"/>
        <v>0</v>
      </c>
      <c r="V785" s="306">
        <f t="shared" ca="1" si="351"/>
        <v>1.2255314481591395</v>
      </c>
      <c r="W785" s="304">
        <f t="shared" ca="1" si="352"/>
        <v>59.498307965839935</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2.1347624354434691</v>
      </c>
      <c r="AH785" s="304">
        <f t="shared" ca="1" si="376"/>
        <v>-7.6201367371040751</v>
      </c>
    </row>
    <row r="786" spans="1:34" x14ac:dyDescent="0.2">
      <c r="A786" s="347">
        <f t="shared" ca="1" si="354"/>
        <v>1E-4</v>
      </c>
      <c r="B786" s="304">
        <f t="shared" ca="1" si="355"/>
        <v>35.107100000000422</v>
      </c>
      <c r="D786" s="306">
        <f t="shared" ca="1" si="356"/>
        <v>-0.80651082357466697</v>
      </c>
      <c r="E786" s="307">
        <f t="shared" ca="1" si="357"/>
        <v>-2.2326276757274384</v>
      </c>
      <c r="F786" s="304">
        <f t="shared" ca="1" si="358"/>
        <v>2.3738336182148889</v>
      </c>
      <c r="G786" s="306">
        <f t="shared" ca="1" si="359"/>
        <v>12.919687332777654</v>
      </c>
      <c r="H786" s="307">
        <f t="shared" ca="1" si="360"/>
        <v>-121.38469758763102</v>
      </c>
      <c r="I786" s="304">
        <f t="shared" ca="1" si="361"/>
        <v>122.0703204272741</v>
      </c>
      <c r="J786" s="306">
        <f t="shared" ca="1" si="362"/>
        <v>874.13727041639572</v>
      </c>
      <c r="K786" s="307">
        <f t="shared" ca="1" si="363"/>
        <v>-4.3495499171495258</v>
      </c>
      <c r="L786" s="304">
        <f t="shared" ca="1" si="348"/>
        <v>874.14809163865868</v>
      </c>
      <c r="M786" s="306">
        <f t="shared" ca="1" si="364"/>
        <v>-1.4647596579764899</v>
      </c>
      <c r="N786" s="304">
        <f t="shared" ca="1" si="365"/>
        <v>-83.924546403078836</v>
      </c>
      <c r="P786" s="310">
        <f t="shared" ca="1" si="366"/>
        <v>23</v>
      </c>
      <c r="Q786" s="304">
        <f t="shared" ca="1" si="367"/>
        <v>0</v>
      </c>
      <c r="R786" s="306">
        <f t="shared" ca="1" si="368"/>
        <v>0</v>
      </c>
      <c r="S786" s="307">
        <f t="shared" ca="1" si="369"/>
        <v>7.8079999999999892</v>
      </c>
      <c r="T786" s="304">
        <f t="shared" ca="1" si="349"/>
        <v>76.5964799999999</v>
      </c>
      <c r="U786" s="311">
        <f t="shared" ca="1" si="350"/>
        <v>0</v>
      </c>
      <c r="V786" s="306">
        <f t="shared" ca="1" si="351"/>
        <v>1.2255329357663871</v>
      </c>
      <c r="W786" s="304">
        <f t="shared" ca="1" si="352"/>
        <v>59.49858828604728</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2.1347274166099934</v>
      </c>
      <c r="AH786" s="304">
        <f t="shared" ca="1" si="376"/>
        <v>-7.6201726390676248</v>
      </c>
    </row>
    <row r="787" spans="1:34" x14ac:dyDescent="0.2">
      <c r="A787" s="347">
        <f t="shared" ca="1" si="354"/>
        <v>1E-4</v>
      </c>
      <c r="B787" s="304">
        <f t="shared" ca="1" si="355"/>
        <v>35.107200000000425</v>
      </c>
      <c r="D787" s="306">
        <f t="shared" ca="1" si="356"/>
        <v>-0.80650817833719923</v>
      </c>
      <c r="E787" s="307">
        <f t="shared" ca="1" si="357"/>
        <v>-2.2325912897255336</v>
      </c>
      <c r="F787" s="304">
        <f t="shared" ca="1" si="358"/>
        <v>2.3737984979107027</v>
      </c>
      <c r="G787" s="306">
        <f t="shared" ca="1" si="359"/>
        <v>12.91960668195982</v>
      </c>
      <c r="H787" s="307">
        <f t="shared" ca="1" si="360"/>
        <v>-121.38492084676</v>
      </c>
      <c r="I787" s="304">
        <f t="shared" ca="1" si="361"/>
        <v>122.07053389655806</v>
      </c>
      <c r="J787" s="306">
        <f t="shared" ca="1" si="362"/>
        <v>874.13727041639572</v>
      </c>
      <c r="K787" s="307">
        <f t="shared" ca="1" si="363"/>
        <v>-4.3616883980712453</v>
      </c>
      <c r="L787" s="304">
        <f t="shared" ca="1" si="348"/>
        <v>874.14815212108567</v>
      </c>
      <c r="M787" s="306">
        <f t="shared" ca="1" si="364"/>
        <v>-1.4647605085269468</v>
      </c>
      <c r="N787" s="304">
        <f t="shared" ca="1" si="365"/>
        <v>-83.924595136030291</v>
      </c>
      <c r="P787" s="310">
        <f t="shared" ca="1" si="366"/>
        <v>23</v>
      </c>
      <c r="Q787" s="304">
        <f t="shared" ca="1" si="367"/>
        <v>0</v>
      </c>
      <c r="R787" s="306">
        <f t="shared" ca="1" si="368"/>
        <v>0</v>
      </c>
      <c r="S787" s="307">
        <f t="shared" ca="1" si="369"/>
        <v>7.8079999999999892</v>
      </c>
      <c r="T787" s="304">
        <f t="shared" ca="1" si="349"/>
        <v>76.5964799999999</v>
      </c>
      <c r="U787" s="311">
        <f t="shared" ca="1" si="350"/>
        <v>0</v>
      </c>
      <c r="V787" s="306">
        <f t="shared" ca="1" si="351"/>
        <v>1.2255344233781762</v>
      </c>
      <c r="W787" s="304">
        <f t="shared" ca="1" si="352"/>
        <v>59.498868603930532</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2.1346923980585091</v>
      </c>
      <c r="AH787" s="304">
        <f t="shared" ca="1" si="376"/>
        <v>-7.6202085407335245</v>
      </c>
    </row>
    <row r="788" spans="1:34" x14ac:dyDescent="0.2">
      <c r="A788" s="347">
        <f t="shared" ca="1" si="354"/>
        <v>1E-4</v>
      </c>
      <c r="B788" s="304">
        <f t="shared" ca="1" si="355"/>
        <v>35.107300000000428</v>
      </c>
      <c r="D788" s="306">
        <f t="shared" ca="1" si="356"/>
        <v>-0.80650553306969053</v>
      </c>
      <c r="E788" s="307">
        <f t="shared" ca="1" si="357"/>
        <v>-2.232554904025311</v>
      </c>
      <c r="F788" s="304">
        <f t="shared" ca="1" si="358"/>
        <v>2.3737633779211209</v>
      </c>
      <c r="G788" s="306">
        <f t="shared" ca="1" si="359"/>
        <v>12.919526031406512</v>
      </c>
      <c r="H788" s="307">
        <f t="shared" ca="1" si="360"/>
        <v>-121.38514410225039</v>
      </c>
      <c r="I788" s="304">
        <f t="shared" ca="1" si="361"/>
        <v>122.07074736234019</v>
      </c>
      <c r="J788" s="306">
        <f t="shared" ca="1" si="362"/>
        <v>874.13727041639572</v>
      </c>
      <c r="K788" s="307">
        <f t="shared" ca="1" si="363"/>
        <v>-4.3738269013186954</v>
      </c>
      <c r="L788" s="304">
        <f t="shared" ca="1" si="348"/>
        <v>874.14821277217607</v>
      </c>
      <c r="M788" s="306">
        <f t="shared" ca="1" si="364"/>
        <v>-1.4647613590691198</v>
      </c>
      <c r="N788" s="304">
        <f t="shared" ca="1" si="365"/>
        <v>-83.92464386850709</v>
      </c>
      <c r="P788" s="310">
        <f t="shared" ca="1" si="366"/>
        <v>23</v>
      </c>
      <c r="Q788" s="304">
        <f t="shared" ca="1" si="367"/>
        <v>0</v>
      </c>
      <c r="R788" s="306">
        <f t="shared" ca="1" si="368"/>
        <v>0</v>
      </c>
      <c r="S788" s="307">
        <f t="shared" ca="1" si="369"/>
        <v>7.8079999999999892</v>
      </c>
      <c r="T788" s="304">
        <f t="shared" ca="1" si="349"/>
        <v>76.5964799999999</v>
      </c>
      <c r="U788" s="311">
        <f t="shared" ca="1" si="350"/>
        <v>0</v>
      </c>
      <c r="V788" s="306">
        <f t="shared" ca="1" si="351"/>
        <v>1.2255359109945079</v>
      </c>
      <c r="W788" s="304">
        <f t="shared" ca="1" si="352"/>
        <v>59.499148919489713</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2.1346573797890214</v>
      </c>
      <c r="AH788" s="304">
        <f t="shared" ca="1" si="376"/>
        <v>-7.620244442101769</v>
      </c>
    </row>
    <row r="789" spans="1:34" x14ac:dyDescent="0.2">
      <c r="A789" s="347">
        <f t="shared" ca="1" si="354"/>
        <v>1E-4</v>
      </c>
      <c r="B789" s="304">
        <f t="shared" ca="1" si="355"/>
        <v>35.107400000000432</v>
      </c>
      <c r="D789" s="306">
        <f t="shared" ca="1" si="356"/>
        <v>-0.80650288777213919</v>
      </c>
      <c r="E789" s="307">
        <f t="shared" ca="1" si="357"/>
        <v>-2.232518518626768</v>
      </c>
      <c r="F789" s="304">
        <f t="shared" ca="1" si="358"/>
        <v>2.3737282582461412</v>
      </c>
      <c r="G789" s="306">
        <f t="shared" ca="1" si="359"/>
        <v>12.919445381117734</v>
      </c>
      <c r="H789" s="307">
        <f t="shared" ca="1" si="360"/>
        <v>-121.38536735410226</v>
      </c>
      <c r="I789" s="304">
        <f t="shared" ca="1" si="361"/>
        <v>122.07096082462053</v>
      </c>
      <c r="J789" s="306">
        <f t="shared" ca="1" si="362"/>
        <v>874.13727041639572</v>
      </c>
      <c r="K789" s="307">
        <f t="shared" ca="1" si="363"/>
        <v>-4.3859654268915129</v>
      </c>
      <c r="L789" s="304">
        <f t="shared" ca="1" si="348"/>
        <v>874.14827359193066</v>
      </c>
      <c r="M789" s="306">
        <f t="shared" ca="1" si="364"/>
        <v>-1.4647622096030082</v>
      </c>
      <c r="N789" s="304">
        <f t="shared" ca="1" si="365"/>
        <v>-83.924692600509232</v>
      </c>
      <c r="P789" s="310">
        <f t="shared" ca="1" si="366"/>
        <v>23</v>
      </c>
      <c r="Q789" s="304">
        <f t="shared" ca="1" si="367"/>
        <v>0</v>
      </c>
      <c r="R789" s="306">
        <f t="shared" ca="1" si="368"/>
        <v>0</v>
      </c>
      <c r="S789" s="307">
        <f t="shared" ca="1" si="369"/>
        <v>7.8079999999999892</v>
      </c>
      <c r="T789" s="304">
        <f t="shared" ca="1" si="349"/>
        <v>76.5964799999999</v>
      </c>
      <c r="U789" s="311">
        <f t="shared" ca="1" si="350"/>
        <v>0</v>
      </c>
      <c r="V789" s="306">
        <f t="shared" ca="1" si="351"/>
        <v>1.2255373986153819</v>
      </c>
      <c r="W789" s="304">
        <f t="shared" ca="1" si="352"/>
        <v>59.499429232724857</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2.1346223618015276</v>
      </c>
      <c r="AH789" s="304">
        <f t="shared" ca="1" si="376"/>
        <v>-7.6202803431723609</v>
      </c>
    </row>
    <row r="790" spans="1:34" x14ac:dyDescent="0.2">
      <c r="A790" s="347">
        <f t="shared" ca="1" si="354"/>
        <v>1E-4</v>
      </c>
      <c r="B790" s="304">
        <f t="shared" ca="1" si="355"/>
        <v>35.107500000000435</v>
      </c>
      <c r="D790" s="306">
        <f t="shared" ca="1" si="356"/>
        <v>-0.80650024244455065</v>
      </c>
      <c r="E790" s="307">
        <f t="shared" ca="1" si="357"/>
        <v>-2.2324821335299019</v>
      </c>
      <c r="F790" s="304">
        <f t="shared" ca="1" si="358"/>
        <v>2.3736931388857618</v>
      </c>
      <c r="G790" s="306">
        <f t="shared" ca="1" si="359"/>
        <v>12.91936473109349</v>
      </c>
      <c r="H790" s="307">
        <f t="shared" ca="1" si="360"/>
        <v>-121.38559060231562</v>
      </c>
      <c r="I790" s="304">
        <f t="shared" ca="1" si="361"/>
        <v>122.07117428339909</v>
      </c>
      <c r="J790" s="306">
        <f t="shared" ca="1" si="362"/>
        <v>874.13727041639572</v>
      </c>
      <c r="K790" s="307">
        <f t="shared" ca="1" si="363"/>
        <v>-4.3981039747893336</v>
      </c>
      <c r="L790" s="304">
        <f t="shared" ca="1" si="348"/>
        <v>874.14833458035025</v>
      </c>
      <c r="M790" s="306">
        <f t="shared" ca="1" si="364"/>
        <v>-1.4647630601286128</v>
      </c>
      <c r="N790" s="304">
        <f t="shared" ca="1" si="365"/>
        <v>-83.924741332036746</v>
      </c>
      <c r="P790" s="310">
        <f t="shared" ca="1" si="366"/>
        <v>23</v>
      </c>
      <c r="Q790" s="304">
        <f t="shared" ca="1" si="367"/>
        <v>0</v>
      </c>
      <c r="R790" s="306">
        <f t="shared" ca="1" si="368"/>
        <v>0</v>
      </c>
      <c r="S790" s="307">
        <f t="shared" ca="1" si="369"/>
        <v>7.8079999999999892</v>
      </c>
      <c r="T790" s="304">
        <f t="shared" ca="1" si="349"/>
        <v>76.5964799999999</v>
      </c>
      <c r="U790" s="311">
        <f t="shared" ca="1" si="350"/>
        <v>0</v>
      </c>
      <c r="V790" s="306">
        <f t="shared" ca="1" si="351"/>
        <v>1.2255388862407977</v>
      </c>
      <c r="W790" s="304">
        <f t="shared" ca="1" si="352"/>
        <v>59.499709543635895</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2.1345873440960252</v>
      </c>
      <c r="AH790" s="304">
        <f t="shared" ca="1" si="376"/>
        <v>-7.6203162439453047</v>
      </c>
    </row>
    <row r="791" spans="1:34" x14ac:dyDescent="0.2">
      <c r="A791" s="347">
        <f t="shared" ca="1" si="354"/>
        <v>1E-4</v>
      </c>
      <c r="B791" s="304">
        <f t="shared" ca="1" si="355"/>
        <v>35.107600000000438</v>
      </c>
      <c r="D791" s="306">
        <f t="shared" ca="1" si="356"/>
        <v>-0.80649759708692081</v>
      </c>
      <c r="E791" s="307">
        <f t="shared" ca="1" si="357"/>
        <v>-2.2324457487347189</v>
      </c>
      <c r="F791" s="304">
        <f t="shared" ca="1" si="358"/>
        <v>2.3736580198399886</v>
      </c>
      <c r="G791" s="306">
        <f t="shared" ca="1" si="359"/>
        <v>12.919284081333782</v>
      </c>
      <c r="H791" s="307">
        <f t="shared" ca="1" si="360"/>
        <v>-121.38581384689049</v>
      </c>
      <c r="I791" s="304">
        <f t="shared" ca="1" si="361"/>
        <v>122.07138773867591</v>
      </c>
      <c r="J791" s="306">
        <f t="shared" ca="1" si="362"/>
        <v>874.13727041639572</v>
      </c>
      <c r="K791" s="307">
        <f t="shared" ca="1" si="363"/>
        <v>-4.4102425450117941</v>
      </c>
      <c r="L791" s="304">
        <f t="shared" ca="1" si="348"/>
        <v>874.14839573743586</v>
      </c>
      <c r="M791" s="306">
        <f t="shared" ca="1" si="364"/>
        <v>-1.4647639106459336</v>
      </c>
      <c r="N791" s="304">
        <f t="shared" ca="1" si="365"/>
        <v>-83.924790063089631</v>
      </c>
      <c r="P791" s="310">
        <f t="shared" ca="1" si="366"/>
        <v>23</v>
      </c>
      <c r="Q791" s="304">
        <f t="shared" ca="1" si="367"/>
        <v>0</v>
      </c>
      <c r="R791" s="306">
        <f t="shared" ca="1" si="368"/>
        <v>0</v>
      </c>
      <c r="S791" s="307">
        <f t="shared" ca="1" si="369"/>
        <v>7.8079999999999892</v>
      </c>
      <c r="T791" s="304">
        <f t="shared" ca="1" si="349"/>
        <v>76.5964799999999</v>
      </c>
      <c r="U791" s="311">
        <f t="shared" ca="1" si="350"/>
        <v>0</v>
      </c>
      <c r="V791" s="306">
        <f t="shared" ca="1" si="351"/>
        <v>1.2255403738707555</v>
      </c>
      <c r="W791" s="304">
        <f t="shared" ca="1" si="352"/>
        <v>59.499989852222875</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2.1345523266725213</v>
      </c>
      <c r="AH791" s="304">
        <f t="shared" ca="1" si="376"/>
        <v>-7.6203521444205915</v>
      </c>
    </row>
    <row r="792" spans="1:34" x14ac:dyDescent="0.2">
      <c r="A792" s="347">
        <f t="shared" ca="1" si="354"/>
        <v>1E-4</v>
      </c>
      <c r="B792" s="304">
        <f t="shared" ca="1" si="355"/>
        <v>35.107700000000442</v>
      </c>
      <c r="D792" s="306">
        <f t="shared" ca="1" si="356"/>
        <v>-0.80649495169925167</v>
      </c>
      <c r="E792" s="307">
        <f t="shared" ca="1" si="357"/>
        <v>-2.2324093642412164</v>
      </c>
      <c r="F792" s="304">
        <f t="shared" ca="1" si="358"/>
        <v>2.3736229011088197</v>
      </c>
      <c r="G792" s="306">
        <f t="shared" ca="1" si="359"/>
        <v>12.919203431838612</v>
      </c>
      <c r="H792" s="307">
        <f t="shared" ca="1" si="360"/>
        <v>-121.38603708782691</v>
      </c>
      <c r="I792" s="304">
        <f t="shared" ca="1" si="361"/>
        <v>122.07160119045101</v>
      </c>
      <c r="J792" s="306">
        <f t="shared" ca="1" si="362"/>
        <v>874.13727041639572</v>
      </c>
      <c r="K792" s="307">
        <f t="shared" ca="1" si="363"/>
        <v>-4.4223811375585296</v>
      </c>
      <c r="L792" s="304">
        <f t="shared" ca="1" si="348"/>
        <v>874.14845706318829</v>
      </c>
      <c r="M792" s="306">
        <f t="shared" ca="1" si="364"/>
        <v>-1.4647647611549703</v>
      </c>
      <c r="N792" s="304">
        <f t="shared" ca="1" si="365"/>
        <v>-83.924838793667874</v>
      </c>
      <c r="P792" s="310">
        <f t="shared" ca="1" si="366"/>
        <v>23</v>
      </c>
      <c r="Q792" s="304">
        <f t="shared" ca="1" si="367"/>
        <v>0</v>
      </c>
      <c r="R792" s="306">
        <f t="shared" ca="1" si="368"/>
        <v>0</v>
      </c>
      <c r="S792" s="307">
        <f t="shared" ca="1" si="369"/>
        <v>7.8079999999999892</v>
      </c>
      <c r="T792" s="304">
        <f t="shared" ca="1" si="349"/>
        <v>76.5964799999999</v>
      </c>
      <c r="U792" s="311">
        <f t="shared" ca="1" si="350"/>
        <v>0</v>
      </c>
      <c r="V792" s="306">
        <f t="shared" ca="1" si="351"/>
        <v>1.2255418615052562</v>
      </c>
      <c r="W792" s="304">
        <f t="shared" ca="1" si="352"/>
        <v>59.500270158485804</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2.1345173095310095</v>
      </c>
      <c r="AH792" s="304">
        <f t="shared" ca="1" si="376"/>
        <v>-7.6203880445982275</v>
      </c>
    </row>
    <row r="793" spans="1:34" x14ac:dyDescent="0.2">
      <c r="A793" s="347">
        <f t="shared" ca="1" si="354"/>
        <v>1E-4</v>
      </c>
      <c r="B793" s="304">
        <f t="shared" ca="1" si="355"/>
        <v>35.107800000000445</v>
      </c>
      <c r="D793" s="306">
        <f t="shared" ca="1" si="356"/>
        <v>-0.80649230628154689</v>
      </c>
      <c r="E793" s="307">
        <f t="shared" ca="1" si="357"/>
        <v>-2.2323729800493917</v>
      </c>
      <c r="F793" s="304">
        <f t="shared" ca="1" si="358"/>
        <v>2.3735877826922538</v>
      </c>
      <c r="G793" s="306">
        <f t="shared" ca="1" si="359"/>
        <v>12.919122782607984</v>
      </c>
      <c r="H793" s="307">
        <f t="shared" ca="1" si="360"/>
        <v>-121.38626032512491</v>
      </c>
      <c r="I793" s="304">
        <f t="shared" ca="1" si="361"/>
        <v>122.07181463872443</v>
      </c>
      <c r="J793" s="306">
        <f t="shared" ca="1" si="362"/>
        <v>874.13727041639572</v>
      </c>
      <c r="K793" s="307">
        <f t="shared" ca="1" si="363"/>
        <v>-4.4345197524291775</v>
      </c>
      <c r="L793" s="304">
        <f t="shared" ca="1" si="348"/>
        <v>874.14851855760855</v>
      </c>
      <c r="M793" s="306">
        <f t="shared" ca="1" si="364"/>
        <v>-1.4647656116557235</v>
      </c>
      <c r="N793" s="304">
        <f t="shared" ca="1" si="365"/>
        <v>-83.924887523771503</v>
      </c>
      <c r="P793" s="310">
        <f t="shared" ca="1" si="366"/>
        <v>23</v>
      </c>
      <c r="Q793" s="304">
        <f t="shared" ca="1" si="367"/>
        <v>0</v>
      </c>
      <c r="R793" s="306">
        <f t="shared" ca="1" si="368"/>
        <v>0</v>
      </c>
      <c r="S793" s="307">
        <f t="shared" ca="1" si="369"/>
        <v>7.8079999999999892</v>
      </c>
      <c r="T793" s="304">
        <f t="shared" ca="1" si="349"/>
        <v>76.5964799999999</v>
      </c>
      <c r="U793" s="311">
        <f t="shared" ca="1" si="350"/>
        <v>0</v>
      </c>
      <c r="V793" s="306">
        <f t="shared" ca="1" si="351"/>
        <v>1.2255433491442986</v>
      </c>
      <c r="W793" s="304">
        <f t="shared" ca="1" si="352"/>
        <v>59.500550462424656</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2.1344822926714935</v>
      </c>
      <c r="AH793" s="304">
        <f t="shared" ca="1" si="376"/>
        <v>-7.6204239444782127</v>
      </c>
    </row>
    <row r="794" spans="1:34" x14ac:dyDescent="0.2">
      <c r="A794" s="347">
        <f t="shared" ca="1" si="354"/>
        <v>1E-4</v>
      </c>
      <c r="B794" s="304">
        <f t="shared" ca="1" si="355"/>
        <v>35.107900000000448</v>
      </c>
      <c r="D794" s="306">
        <f t="shared" ca="1" si="356"/>
        <v>-0.80648966083380424</v>
      </c>
      <c r="E794" s="307">
        <f t="shared" ca="1" si="357"/>
        <v>-2.2323365961592465</v>
      </c>
      <c r="F794" s="304">
        <f t="shared" ca="1" si="358"/>
        <v>2.3735526645902922</v>
      </c>
      <c r="G794" s="306">
        <f t="shared" ca="1" si="359"/>
        <v>12.9190421336419</v>
      </c>
      <c r="H794" s="307">
        <f t="shared" ca="1" si="360"/>
        <v>-121.38648355878452</v>
      </c>
      <c r="I794" s="304">
        <f t="shared" ca="1" si="361"/>
        <v>122.07202808349618</v>
      </c>
      <c r="J794" s="306">
        <f t="shared" ca="1" si="362"/>
        <v>874.13727041639572</v>
      </c>
      <c r="K794" s="307">
        <f t="shared" ca="1" si="363"/>
        <v>-4.4466583896233729</v>
      </c>
      <c r="L794" s="304">
        <f t="shared" ca="1" si="348"/>
        <v>874.14858022069734</v>
      </c>
      <c r="M794" s="306">
        <f t="shared" ca="1" si="364"/>
        <v>-1.4647664621481931</v>
      </c>
      <c r="N794" s="304">
        <f t="shared" ca="1" si="365"/>
        <v>-83.924936253400517</v>
      </c>
      <c r="P794" s="310">
        <f t="shared" ca="1" si="366"/>
        <v>23</v>
      </c>
      <c r="Q794" s="304">
        <f t="shared" ca="1" si="367"/>
        <v>0</v>
      </c>
      <c r="R794" s="306">
        <f t="shared" ca="1" si="368"/>
        <v>0</v>
      </c>
      <c r="S794" s="307">
        <f t="shared" ca="1" si="369"/>
        <v>7.8079999999999892</v>
      </c>
      <c r="T794" s="304">
        <f t="shared" ca="1" si="349"/>
        <v>76.5964799999999</v>
      </c>
      <c r="U794" s="311">
        <f t="shared" ca="1" si="350"/>
        <v>0</v>
      </c>
      <c r="V794" s="306">
        <f t="shared" ca="1" si="351"/>
        <v>1.2255448367878827</v>
      </c>
      <c r="W794" s="304">
        <f t="shared" ca="1" si="352"/>
        <v>59.500830764039392</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2.1344472760939714</v>
      </c>
      <c r="AH794" s="304">
        <f t="shared" ca="1" si="376"/>
        <v>-7.6204598440605453</v>
      </c>
    </row>
    <row r="795" spans="1:34" x14ac:dyDescent="0.2">
      <c r="A795" s="347">
        <f t="shared" ca="1" si="354"/>
        <v>1E-4</v>
      </c>
      <c r="B795" s="304">
        <f t="shared" ca="1" si="355"/>
        <v>35.108000000000452</v>
      </c>
      <c r="D795" s="306">
        <f t="shared" ca="1" si="356"/>
        <v>-0.80648701535602518</v>
      </c>
      <c r="E795" s="307">
        <f t="shared" ca="1" si="357"/>
        <v>-2.2323002125707871</v>
      </c>
      <c r="F795" s="304">
        <f t="shared" ca="1" si="358"/>
        <v>2.3735175468029408</v>
      </c>
      <c r="G795" s="306">
        <f t="shared" ca="1" si="359"/>
        <v>12.918961484940365</v>
      </c>
      <c r="H795" s="307">
        <f t="shared" ca="1" si="360"/>
        <v>-121.38670678880578</v>
      </c>
      <c r="I795" s="304">
        <f t="shared" ca="1" si="361"/>
        <v>122.07224152476631</v>
      </c>
      <c r="J795" s="306">
        <f t="shared" ca="1" si="362"/>
        <v>874.13727041639572</v>
      </c>
      <c r="K795" s="307">
        <f t="shared" ca="1" si="363"/>
        <v>-4.4587970491407525</v>
      </c>
      <c r="L795" s="304">
        <f t="shared" ca="1" si="348"/>
        <v>874.14864205245567</v>
      </c>
      <c r="M795" s="306">
        <f t="shared" ca="1" si="364"/>
        <v>-1.4647673126323792</v>
      </c>
      <c r="N795" s="304">
        <f t="shared" ca="1" si="365"/>
        <v>-83.924984982554932</v>
      </c>
      <c r="P795" s="310">
        <f t="shared" ca="1" si="366"/>
        <v>23</v>
      </c>
      <c r="Q795" s="304">
        <f t="shared" ca="1" si="367"/>
        <v>0</v>
      </c>
      <c r="R795" s="306">
        <f t="shared" ca="1" si="368"/>
        <v>0</v>
      </c>
      <c r="S795" s="307">
        <f t="shared" ca="1" si="369"/>
        <v>7.8079999999999892</v>
      </c>
      <c r="T795" s="304">
        <f t="shared" ca="1" si="349"/>
        <v>76.5964799999999</v>
      </c>
      <c r="U795" s="311">
        <f t="shared" ca="1" si="350"/>
        <v>0</v>
      </c>
      <c r="V795" s="306">
        <f t="shared" ca="1" si="351"/>
        <v>1.2255463244360092</v>
      </c>
      <c r="W795" s="304">
        <f t="shared" ca="1" si="352"/>
        <v>59.5011110633301</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2.1344122597984541</v>
      </c>
      <c r="AH795" s="304">
        <f t="shared" ca="1" si="376"/>
        <v>-7.6204957433452201</v>
      </c>
    </row>
    <row r="796" spans="1:34" x14ac:dyDescent="0.2">
      <c r="A796" s="347">
        <f t="shared" ca="1" si="354"/>
        <v>1E-4</v>
      </c>
      <c r="B796" s="304">
        <f t="shared" ca="1" si="355"/>
        <v>35.108100000000455</v>
      </c>
      <c r="D796" s="306">
        <f t="shared" ca="1" si="356"/>
        <v>-0.80648436984821048</v>
      </c>
      <c r="E796" s="307">
        <f t="shared" ca="1" si="357"/>
        <v>-2.2322638292840038</v>
      </c>
      <c r="F796" s="304">
        <f t="shared" ca="1" si="358"/>
        <v>2.3734824293301919</v>
      </c>
      <c r="G796" s="306">
        <f t="shared" ca="1" si="359"/>
        <v>12.91888083650338</v>
      </c>
      <c r="H796" s="307">
        <f t="shared" ca="1" si="360"/>
        <v>-121.38693001518871</v>
      </c>
      <c r="I796" s="304">
        <f t="shared" ca="1" si="361"/>
        <v>122.07245496253483</v>
      </c>
      <c r="J796" s="306">
        <f t="shared" ca="1" si="362"/>
        <v>874.13727041639572</v>
      </c>
      <c r="K796" s="307">
        <f t="shared" ca="1" si="363"/>
        <v>-4.4709357309809521</v>
      </c>
      <c r="L796" s="304">
        <f t="shared" ca="1" si="348"/>
        <v>874.14870405288457</v>
      </c>
      <c r="M796" s="306">
        <f t="shared" ca="1" si="364"/>
        <v>-1.4647681631082823</v>
      </c>
      <c r="N796" s="304">
        <f t="shared" ca="1" si="365"/>
        <v>-83.925033711234747</v>
      </c>
      <c r="P796" s="310">
        <f t="shared" ca="1" si="366"/>
        <v>23</v>
      </c>
      <c r="Q796" s="304">
        <f t="shared" ca="1" si="367"/>
        <v>0</v>
      </c>
      <c r="R796" s="306">
        <f t="shared" ca="1" si="368"/>
        <v>0</v>
      </c>
      <c r="S796" s="307">
        <f t="shared" ca="1" si="369"/>
        <v>7.8079999999999892</v>
      </c>
      <c r="T796" s="304">
        <f t="shared" ca="1" si="349"/>
        <v>76.5964799999999</v>
      </c>
      <c r="U796" s="311">
        <f t="shared" ca="1" si="350"/>
        <v>0</v>
      </c>
      <c r="V796" s="306">
        <f t="shared" ca="1" si="351"/>
        <v>1.2255478120886771</v>
      </c>
      <c r="W796" s="304">
        <f t="shared" ca="1" si="352"/>
        <v>59.501391360296701</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2.134377243784928</v>
      </c>
      <c r="AH796" s="304">
        <f t="shared" ca="1" si="376"/>
        <v>-7.6205316423322467</v>
      </c>
    </row>
    <row r="797" spans="1:34" x14ac:dyDescent="0.2">
      <c r="A797" s="347">
        <f t="shared" ca="1" si="354"/>
        <v>1E-4</v>
      </c>
      <c r="B797" s="304">
        <f t="shared" ca="1" si="355"/>
        <v>35.108200000000458</v>
      </c>
      <c r="D797" s="306">
        <f t="shared" ca="1" si="356"/>
        <v>-0.80648172431035936</v>
      </c>
      <c r="E797" s="307">
        <f t="shared" ca="1" si="357"/>
        <v>-2.2322274462989036</v>
      </c>
      <c r="F797" s="304">
        <f t="shared" ca="1" si="358"/>
        <v>2.3734473121720514</v>
      </c>
      <c r="G797" s="306">
        <f t="shared" ca="1" si="359"/>
        <v>12.918800188330948</v>
      </c>
      <c r="H797" s="307">
        <f t="shared" ca="1" si="360"/>
        <v>-121.38715323793333</v>
      </c>
      <c r="I797" s="304">
        <f t="shared" ca="1" si="361"/>
        <v>122.07266839680179</v>
      </c>
      <c r="J797" s="306">
        <f t="shared" ca="1" si="362"/>
        <v>874.13727041639572</v>
      </c>
      <c r="K797" s="307">
        <f t="shared" ca="1" si="363"/>
        <v>-4.4830744351436085</v>
      </c>
      <c r="L797" s="304">
        <f t="shared" ca="1" si="348"/>
        <v>874.1487662219846</v>
      </c>
      <c r="M797" s="306">
        <f t="shared" ca="1" si="364"/>
        <v>-1.4647690135759019</v>
      </c>
      <c r="N797" s="304">
        <f t="shared" ca="1" si="365"/>
        <v>-83.925082439439961</v>
      </c>
      <c r="P797" s="310">
        <f t="shared" ca="1" si="366"/>
        <v>23</v>
      </c>
      <c r="Q797" s="304">
        <f t="shared" ca="1" si="367"/>
        <v>0</v>
      </c>
      <c r="R797" s="306">
        <f t="shared" ca="1" si="368"/>
        <v>0</v>
      </c>
      <c r="S797" s="307">
        <f t="shared" ca="1" si="369"/>
        <v>7.8079999999999892</v>
      </c>
      <c r="T797" s="304">
        <f t="shared" ca="1" si="349"/>
        <v>76.5964799999999</v>
      </c>
      <c r="U797" s="311">
        <f t="shared" ca="1" si="350"/>
        <v>0</v>
      </c>
      <c r="V797" s="306">
        <f t="shared" ca="1" si="351"/>
        <v>1.2255492997458874</v>
      </c>
      <c r="W797" s="304">
        <f t="shared" ca="1" si="352"/>
        <v>59.501671654939251</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2.134342228053403</v>
      </c>
      <c r="AH797" s="304">
        <f t="shared" ca="1" si="376"/>
        <v>-7.6205675410216172</v>
      </c>
    </row>
    <row r="798" spans="1:34" x14ac:dyDescent="0.2">
      <c r="A798" s="347">
        <f t="shared" ca="1" si="354"/>
        <v>1E-4</v>
      </c>
      <c r="B798" s="304">
        <f t="shared" ca="1" si="355"/>
        <v>35.108300000000462</v>
      </c>
      <c r="D798" s="306">
        <f t="shared" ca="1" si="356"/>
        <v>-0.8064790787424756</v>
      </c>
      <c r="E798" s="307">
        <f t="shared" ca="1" si="357"/>
        <v>-2.232191063615482</v>
      </c>
      <c r="F798" s="304">
        <f t="shared" ca="1" si="358"/>
        <v>2.3734121953285165</v>
      </c>
      <c r="G798" s="306">
        <f t="shared" ca="1" si="359"/>
        <v>12.918719540423075</v>
      </c>
      <c r="H798" s="307">
        <f t="shared" ca="1" si="360"/>
        <v>-121.38737645703969</v>
      </c>
      <c r="I798" s="304">
        <f t="shared" ca="1" si="361"/>
        <v>122.07288182756719</v>
      </c>
      <c r="J798" s="306">
        <f t="shared" ca="1" si="362"/>
        <v>874.13727041639572</v>
      </c>
      <c r="K798" s="307">
        <f t="shared" ca="1" si="363"/>
        <v>-4.4952131616283575</v>
      </c>
      <c r="L798" s="304">
        <f t="shared" ca="1" si="348"/>
        <v>874.14882855975702</v>
      </c>
      <c r="M798" s="306">
        <f t="shared" ca="1" si="364"/>
        <v>-1.4647698640352385</v>
      </c>
      <c r="N798" s="304">
        <f t="shared" ca="1" si="365"/>
        <v>-83.925131167170591</v>
      </c>
      <c r="P798" s="310">
        <f t="shared" ca="1" si="366"/>
        <v>23</v>
      </c>
      <c r="Q798" s="304">
        <f t="shared" ca="1" si="367"/>
        <v>0</v>
      </c>
      <c r="R798" s="306">
        <f t="shared" ca="1" si="368"/>
        <v>0</v>
      </c>
      <c r="S798" s="307">
        <f t="shared" ca="1" si="369"/>
        <v>7.8079999999999892</v>
      </c>
      <c r="T798" s="304">
        <f t="shared" ca="1" si="349"/>
        <v>76.5964799999999</v>
      </c>
      <c r="U798" s="311">
        <f t="shared" ca="1" si="350"/>
        <v>0</v>
      </c>
      <c r="V798" s="306">
        <f t="shared" ca="1" si="351"/>
        <v>1.2255507874076399</v>
      </c>
      <c r="W798" s="304">
        <f t="shared" ca="1" si="352"/>
        <v>59.501951947257723</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2.1343072126038702</v>
      </c>
      <c r="AH798" s="304">
        <f t="shared" ca="1" si="376"/>
        <v>-7.6206034394133368</v>
      </c>
    </row>
    <row r="799" spans="1:34" x14ac:dyDescent="0.2">
      <c r="A799" s="347">
        <f t="shared" ca="1" si="354"/>
        <v>1E-4</v>
      </c>
      <c r="B799" s="304">
        <f t="shared" ca="1" si="355"/>
        <v>35.108400000000465</v>
      </c>
      <c r="D799" s="306">
        <f t="shared" ca="1" si="356"/>
        <v>-0.80647643314455897</v>
      </c>
      <c r="E799" s="307">
        <f t="shared" ca="1" si="357"/>
        <v>-2.2321546812337418</v>
      </c>
      <c r="F799" s="304">
        <f t="shared" ca="1" si="358"/>
        <v>2.3733770787995905</v>
      </c>
      <c r="G799" s="306">
        <f t="shared" ca="1" si="359"/>
        <v>12.918638892779761</v>
      </c>
      <c r="H799" s="307">
        <f t="shared" ca="1" si="360"/>
        <v>-121.38759967250782</v>
      </c>
      <c r="I799" s="304">
        <f t="shared" ca="1" si="361"/>
        <v>122.07309525483107</v>
      </c>
      <c r="J799" s="306">
        <f t="shared" ca="1" si="362"/>
        <v>874.13727041639572</v>
      </c>
      <c r="K799" s="307">
        <f t="shared" ca="1" si="363"/>
        <v>-4.507351910434835</v>
      </c>
      <c r="L799" s="304">
        <f t="shared" ca="1" si="348"/>
        <v>874.1488910662024</v>
      </c>
      <c r="M799" s="306">
        <f t="shared" ca="1" si="364"/>
        <v>-1.464770714486292</v>
      </c>
      <c r="N799" s="304">
        <f t="shared" ca="1" si="365"/>
        <v>-83.925179894426648</v>
      </c>
      <c r="P799" s="310">
        <f t="shared" ca="1" si="366"/>
        <v>23</v>
      </c>
      <c r="Q799" s="304">
        <f t="shared" ca="1" si="367"/>
        <v>0</v>
      </c>
      <c r="R799" s="306">
        <f t="shared" ca="1" si="368"/>
        <v>0</v>
      </c>
      <c r="S799" s="307">
        <f t="shared" ca="1" si="369"/>
        <v>7.8079999999999892</v>
      </c>
      <c r="T799" s="304">
        <f t="shared" ca="1" si="349"/>
        <v>76.5964799999999</v>
      </c>
      <c r="U799" s="311">
        <f t="shared" ca="1" si="350"/>
        <v>0</v>
      </c>
      <c r="V799" s="306">
        <f t="shared" ca="1" si="351"/>
        <v>1.2255522750739336</v>
      </c>
      <c r="W799" s="304">
        <f t="shared" ca="1" si="352"/>
        <v>59.502232237252095</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2.1342721974363394</v>
      </c>
      <c r="AH799" s="304">
        <f t="shared" ca="1" si="376"/>
        <v>-7.6206393375074031</v>
      </c>
    </row>
    <row r="800" spans="1:34" x14ac:dyDescent="0.2">
      <c r="A800" s="347">
        <f t="shared" ca="1" si="354"/>
        <v>1E-4</v>
      </c>
      <c r="B800" s="304">
        <f t="shared" ca="1" si="355"/>
        <v>35.108500000000468</v>
      </c>
      <c r="D800" s="306">
        <f t="shared" ca="1" si="356"/>
        <v>-0.80647378751660914</v>
      </c>
      <c r="E800" s="307">
        <f t="shared" ca="1" si="357"/>
        <v>-2.2321182991536848</v>
      </c>
      <c r="F800" s="304">
        <f t="shared" ca="1" si="358"/>
        <v>2.373341962585275</v>
      </c>
      <c r="G800" s="306">
        <f t="shared" ca="1" si="359"/>
        <v>12.918558245401009</v>
      </c>
      <c r="H800" s="307">
        <f t="shared" ca="1" si="360"/>
        <v>-121.38782288433774</v>
      </c>
      <c r="I800" s="304">
        <f t="shared" ca="1" si="361"/>
        <v>122.07330867859348</v>
      </c>
      <c r="J800" s="306">
        <f t="shared" ca="1" si="362"/>
        <v>874.13727041639572</v>
      </c>
      <c r="K800" s="307">
        <f t="shared" ca="1" si="363"/>
        <v>-4.5194906815626776</v>
      </c>
      <c r="L800" s="304">
        <f t="shared" ca="1" si="348"/>
        <v>874.14895374132186</v>
      </c>
      <c r="M800" s="306">
        <f t="shared" ca="1" si="364"/>
        <v>-1.4647715649290629</v>
      </c>
      <c r="N800" s="304">
        <f t="shared" ca="1" si="365"/>
        <v>-83.925228621208134</v>
      </c>
      <c r="P800" s="310">
        <f t="shared" ca="1" si="366"/>
        <v>23</v>
      </c>
      <c r="Q800" s="304">
        <f t="shared" ca="1" si="367"/>
        <v>0</v>
      </c>
      <c r="R800" s="306">
        <f t="shared" ca="1" si="368"/>
        <v>0</v>
      </c>
      <c r="S800" s="307">
        <f t="shared" ca="1" si="369"/>
        <v>7.8079999999999892</v>
      </c>
      <c r="T800" s="304">
        <f t="shared" ca="1" si="349"/>
        <v>76.5964799999999</v>
      </c>
      <c r="U800" s="311">
        <f t="shared" ca="1" si="350"/>
        <v>0</v>
      </c>
      <c r="V800" s="306">
        <f t="shared" ca="1" si="351"/>
        <v>1.2255537627447699</v>
      </c>
      <c r="W800" s="304">
        <f t="shared" ca="1" si="352"/>
        <v>59.502512524922444</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2.1342371825508071</v>
      </c>
      <c r="AH800" s="304">
        <f t="shared" ca="1" si="376"/>
        <v>-7.6206752353038141</v>
      </c>
    </row>
    <row r="801" spans="1:34" x14ac:dyDescent="0.2">
      <c r="A801" s="347">
        <f t="shared" ca="1" si="354"/>
        <v>1E-4</v>
      </c>
      <c r="B801" s="304">
        <f t="shared" ca="1" si="355"/>
        <v>35.108600000000472</v>
      </c>
      <c r="D801" s="306">
        <f t="shared" ca="1" si="356"/>
        <v>-0.80647114185862723</v>
      </c>
      <c r="E801" s="307">
        <f t="shared" ca="1" si="357"/>
        <v>-2.2320819173753019</v>
      </c>
      <c r="F801" s="304">
        <f t="shared" ca="1" si="358"/>
        <v>2.3733068466855611</v>
      </c>
      <c r="G801" s="306">
        <f t="shared" ca="1" si="359"/>
        <v>12.918477598286824</v>
      </c>
      <c r="H801" s="307">
        <f t="shared" ca="1" si="360"/>
        <v>-121.38804609252948</v>
      </c>
      <c r="I801" s="304">
        <f t="shared" ca="1" si="361"/>
        <v>122.07352209885443</v>
      </c>
      <c r="J801" s="306">
        <f t="shared" ca="1" si="362"/>
        <v>874.13727041639572</v>
      </c>
      <c r="K801" s="307">
        <f t="shared" ca="1" si="363"/>
        <v>-4.5316294750115214</v>
      </c>
      <c r="L801" s="304">
        <f t="shared" ca="1" si="348"/>
        <v>874.14901658511621</v>
      </c>
      <c r="M801" s="306">
        <f t="shared" ca="1" si="364"/>
        <v>-1.4647724153635509</v>
      </c>
      <c r="N801" s="304">
        <f t="shared" ca="1" si="365"/>
        <v>-83.925277347515049</v>
      </c>
      <c r="P801" s="310">
        <f t="shared" ca="1" si="366"/>
        <v>23</v>
      </c>
      <c r="Q801" s="304">
        <f t="shared" ca="1" si="367"/>
        <v>0</v>
      </c>
      <c r="R801" s="306">
        <f t="shared" ca="1" si="368"/>
        <v>0</v>
      </c>
      <c r="S801" s="307">
        <f t="shared" ca="1" si="369"/>
        <v>7.8079999999999892</v>
      </c>
      <c r="T801" s="304">
        <f t="shared" ca="1" si="349"/>
        <v>76.5964799999999</v>
      </c>
      <c r="U801" s="311">
        <f t="shared" ca="1" si="350"/>
        <v>0</v>
      </c>
      <c r="V801" s="306">
        <f t="shared" ca="1" si="351"/>
        <v>1.2255552504201475</v>
      </c>
      <c r="W801" s="304">
        <f t="shared" ca="1" si="352"/>
        <v>59.50279281026868</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2.1342021679472687</v>
      </c>
      <c r="AH801" s="304">
        <f t="shared" ca="1" si="376"/>
        <v>-7.6207111328025778</v>
      </c>
    </row>
    <row r="802" spans="1:34" x14ac:dyDescent="0.2">
      <c r="A802" s="347">
        <f t="shared" ca="1" si="354"/>
        <v>1E-4</v>
      </c>
      <c r="B802" s="304">
        <f t="shared" ca="1" si="355"/>
        <v>35.108700000000475</v>
      </c>
      <c r="D802" s="306">
        <f t="shared" ca="1" si="356"/>
        <v>-0.80646849617061522</v>
      </c>
      <c r="E802" s="307">
        <f t="shared" ca="1" si="357"/>
        <v>-2.2320455358986049</v>
      </c>
      <c r="F802" s="304">
        <f t="shared" ca="1" si="358"/>
        <v>2.3732717311004623</v>
      </c>
      <c r="G802" s="306">
        <f t="shared" ca="1" si="359"/>
        <v>12.918396951437206</v>
      </c>
      <c r="H802" s="307">
        <f t="shared" ca="1" si="360"/>
        <v>-121.38826929708307</v>
      </c>
      <c r="I802" s="304">
        <f t="shared" ca="1" si="361"/>
        <v>122.07373551561393</v>
      </c>
      <c r="J802" s="306">
        <f t="shared" ca="1" si="362"/>
        <v>874.13727041639572</v>
      </c>
      <c r="K802" s="307">
        <f t="shared" ca="1" si="363"/>
        <v>-4.543768290781002</v>
      </c>
      <c r="L802" s="304">
        <f t="shared" ca="1" si="348"/>
        <v>874.14907959758625</v>
      </c>
      <c r="M802" s="306">
        <f t="shared" ca="1" si="364"/>
        <v>-1.4647732657897563</v>
      </c>
      <c r="N802" s="304">
        <f t="shared" ca="1" si="365"/>
        <v>-83.925326073347406</v>
      </c>
      <c r="P802" s="310">
        <f t="shared" ca="1" si="366"/>
        <v>23</v>
      </c>
      <c r="Q802" s="304">
        <f t="shared" ca="1" si="367"/>
        <v>0</v>
      </c>
      <c r="R802" s="306">
        <f t="shared" ca="1" si="368"/>
        <v>0</v>
      </c>
      <c r="S802" s="307">
        <f t="shared" ca="1" si="369"/>
        <v>7.8079999999999892</v>
      </c>
      <c r="T802" s="304">
        <f t="shared" ca="1" si="349"/>
        <v>76.5964799999999</v>
      </c>
      <c r="U802" s="311">
        <f t="shared" ca="1" si="350"/>
        <v>0</v>
      </c>
      <c r="V802" s="306">
        <f t="shared" ca="1" si="351"/>
        <v>1.2255567381000667</v>
      </c>
      <c r="W802" s="304">
        <f t="shared" ca="1" si="352"/>
        <v>59.503073093290823</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2.1341671536257332</v>
      </c>
      <c r="AH802" s="304">
        <f t="shared" ca="1" si="376"/>
        <v>-7.6207470300036837</v>
      </c>
    </row>
    <row r="803" spans="1:34" x14ac:dyDescent="0.2">
      <c r="A803" s="347">
        <f t="shared" ca="1" si="354"/>
        <v>1E-4</v>
      </c>
      <c r="B803" s="304">
        <f t="shared" ca="1" si="355"/>
        <v>35.108800000000478</v>
      </c>
      <c r="D803" s="306">
        <f t="shared" ca="1" si="356"/>
        <v>-0.80646585045257169</v>
      </c>
      <c r="E803" s="307">
        <f t="shared" ca="1" si="357"/>
        <v>-2.2320091547235901</v>
      </c>
      <c r="F803" s="304">
        <f t="shared" ca="1" si="358"/>
        <v>2.3732366158299736</v>
      </c>
      <c r="G803" s="306">
        <f t="shared" ca="1" si="359"/>
        <v>12.91831630485216</v>
      </c>
      <c r="H803" s="307">
        <f t="shared" ca="1" si="360"/>
        <v>-121.38849249799854</v>
      </c>
      <c r="I803" s="304">
        <f t="shared" ca="1" si="361"/>
        <v>122.07394892887203</v>
      </c>
      <c r="J803" s="306">
        <f t="shared" ca="1" si="362"/>
        <v>874.13727041639572</v>
      </c>
      <c r="K803" s="307">
        <f t="shared" ca="1" si="363"/>
        <v>-4.5559071288707562</v>
      </c>
      <c r="L803" s="304">
        <f t="shared" ca="1" si="348"/>
        <v>874.14914277873299</v>
      </c>
      <c r="M803" s="306">
        <f t="shared" ca="1" si="364"/>
        <v>-1.4647741162076793</v>
      </c>
      <c r="N803" s="304">
        <f t="shared" ca="1" si="365"/>
        <v>-83.925374798705221</v>
      </c>
      <c r="P803" s="310">
        <f t="shared" ca="1" si="366"/>
        <v>23</v>
      </c>
      <c r="Q803" s="304">
        <f t="shared" ca="1" si="367"/>
        <v>0</v>
      </c>
      <c r="R803" s="306">
        <f t="shared" ca="1" si="368"/>
        <v>0</v>
      </c>
      <c r="S803" s="307">
        <f t="shared" ca="1" si="369"/>
        <v>7.8079999999999892</v>
      </c>
      <c r="T803" s="304">
        <f t="shared" ca="1" si="349"/>
        <v>76.5964799999999</v>
      </c>
      <c r="U803" s="311">
        <f t="shared" ca="1" si="350"/>
        <v>0</v>
      </c>
      <c r="V803" s="306">
        <f t="shared" ca="1" si="351"/>
        <v>1.2255582257845283</v>
      </c>
      <c r="W803" s="304">
        <f t="shared" ca="1" si="352"/>
        <v>59.503353373988922</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2.1341321395862014</v>
      </c>
      <c r="AH803" s="304">
        <f t="shared" ca="1" si="376"/>
        <v>-7.6207829269071343</v>
      </c>
    </row>
    <row r="804" spans="1:34" x14ac:dyDescent="0.2">
      <c r="A804" s="347">
        <f t="shared" ca="1" si="354"/>
        <v>1E-4</v>
      </c>
      <c r="B804" s="304">
        <f t="shared" ca="1" si="355"/>
        <v>35.108900000000482</v>
      </c>
      <c r="D804" s="306">
        <f t="shared" ca="1" si="356"/>
        <v>-0.80646320470449906</v>
      </c>
      <c r="E804" s="307">
        <f t="shared" ca="1" si="357"/>
        <v>-2.2319727738502522</v>
      </c>
      <c r="F804" s="304">
        <f t="shared" ca="1" si="358"/>
        <v>2.3732015008740914</v>
      </c>
      <c r="G804" s="306">
        <f t="shared" ca="1" si="359"/>
        <v>12.918235658531691</v>
      </c>
      <c r="H804" s="307">
        <f t="shared" ca="1" si="360"/>
        <v>-121.38871569527592</v>
      </c>
      <c r="I804" s="304">
        <f t="shared" ca="1" si="361"/>
        <v>122.07416233862875</v>
      </c>
      <c r="J804" s="306">
        <f t="shared" ca="1" si="362"/>
        <v>874.13727041639572</v>
      </c>
      <c r="K804" s="307">
        <f t="shared" ca="1" si="363"/>
        <v>-4.5680459892804199</v>
      </c>
      <c r="L804" s="304">
        <f t="shared" ca="1" si="348"/>
        <v>874.14920612855735</v>
      </c>
      <c r="M804" s="306">
        <f t="shared" ca="1" si="364"/>
        <v>-1.46477496661732</v>
      </c>
      <c r="N804" s="304">
        <f t="shared" ca="1" si="365"/>
        <v>-83.925423523588492</v>
      </c>
      <c r="P804" s="310">
        <f t="shared" ca="1" si="366"/>
        <v>23</v>
      </c>
      <c r="Q804" s="304">
        <f t="shared" ca="1" si="367"/>
        <v>0</v>
      </c>
      <c r="R804" s="306">
        <f t="shared" ca="1" si="368"/>
        <v>0</v>
      </c>
      <c r="S804" s="307">
        <f t="shared" ca="1" si="369"/>
        <v>7.8079999999999892</v>
      </c>
      <c r="T804" s="304">
        <f t="shared" ca="1" si="349"/>
        <v>76.5964799999999</v>
      </c>
      <c r="U804" s="311">
        <f t="shared" ca="1" si="350"/>
        <v>0</v>
      </c>
      <c r="V804" s="306">
        <f t="shared" ca="1" si="351"/>
        <v>1.2255597134735312</v>
      </c>
      <c r="W804" s="304">
        <f t="shared" ca="1" si="352"/>
        <v>59.503633652362922</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2.1340971258286636</v>
      </c>
      <c r="AH804" s="304">
        <f t="shared" ca="1" si="376"/>
        <v>-7.6208188235129359</v>
      </c>
    </row>
    <row r="805" spans="1:34" x14ac:dyDescent="0.2">
      <c r="A805" s="347">
        <f t="shared" ca="1" si="354"/>
        <v>1E-4</v>
      </c>
      <c r="B805" s="304">
        <f t="shared" ca="1" si="355"/>
        <v>35.109000000000485</v>
      </c>
      <c r="D805" s="306">
        <f t="shared" ca="1" si="356"/>
        <v>-0.80646055892639634</v>
      </c>
      <c r="E805" s="307">
        <f t="shared" ca="1" si="357"/>
        <v>-2.2319363932785992</v>
      </c>
      <c r="F805" s="304">
        <f t="shared" ca="1" si="358"/>
        <v>2.3731663862328229</v>
      </c>
      <c r="G805" s="306">
        <f t="shared" ca="1" si="359"/>
        <v>12.918155012475799</v>
      </c>
      <c r="H805" s="307">
        <f t="shared" ca="1" si="360"/>
        <v>-121.38893888891525</v>
      </c>
      <c r="I805" s="304">
        <f t="shared" ca="1" si="361"/>
        <v>122.07437574488412</v>
      </c>
      <c r="J805" s="306">
        <f t="shared" ca="1" si="362"/>
        <v>874.13727041639572</v>
      </c>
      <c r="K805" s="307">
        <f t="shared" ca="1" si="363"/>
        <v>-4.5801848720096299</v>
      </c>
      <c r="L805" s="304">
        <f t="shared" ca="1" si="348"/>
        <v>874.14926964706024</v>
      </c>
      <c r="M805" s="306">
        <f t="shared" ca="1" si="364"/>
        <v>-1.4647758170186782</v>
      </c>
      <c r="N805" s="304">
        <f t="shared" ca="1" si="365"/>
        <v>-83.925472247997206</v>
      </c>
      <c r="P805" s="310">
        <f t="shared" ca="1" si="366"/>
        <v>23</v>
      </c>
      <c r="Q805" s="304">
        <f t="shared" ca="1" si="367"/>
        <v>0</v>
      </c>
      <c r="R805" s="306">
        <f t="shared" ca="1" si="368"/>
        <v>0</v>
      </c>
      <c r="S805" s="307">
        <f t="shared" ca="1" si="369"/>
        <v>7.8079999999999892</v>
      </c>
      <c r="T805" s="304">
        <f t="shared" ca="1" si="349"/>
        <v>76.5964799999999</v>
      </c>
      <c r="U805" s="311">
        <f t="shared" ca="1" si="350"/>
        <v>0</v>
      </c>
      <c r="V805" s="306">
        <f t="shared" ca="1" si="351"/>
        <v>1.2255612011670762</v>
      </c>
      <c r="W805" s="304">
        <f t="shared" ca="1" si="352"/>
        <v>59.503913928412864</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2.1340621123531305</v>
      </c>
      <c r="AH805" s="304">
        <f t="shared" ca="1" si="376"/>
        <v>-7.6208547198210814</v>
      </c>
    </row>
    <row r="806" spans="1:34" x14ac:dyDescent="0.2">
      <c r="A806" s="347">
        <f t="shared" ca="1" si="354"/>
        <v>1E-4</v>
      </c>
      <c r="B806" s="304">
        <f t="shared" ca="1" si="355"/>
        <v>35.109100000000488</v>
      </c>
      <c r="D806" s="306">
        <f t="shared" ca="1" si="356"/>
        <v>-0.80645791311826776</v>
      </c>
      <c r="E806" s="307">
        <f t="shared" ca="1" si="357"/>
        <v>-2.231900013008624</v>
      </c>
      <c r="F806" s="304">
        <f t="shared" ca="1" si="358"/>
        <v>2.3731312719061637</v>
      </c>
      <c r="G806" s="306">
        <f t="shared" ca="1" si="359"/>
        <v>12.918074366684486</v>
      </c>
      <c r="H806" s="307">
        <f t="shared" ca="1" si="360"/>
        <v>-121.38916207891656</v>
      </c>
      <c r="I806" s="304">
        <f t="shared" ca="1" si="361"/>
        <v>122.07458914763819</v>
      </c>
      <c r="J806" s="306">
        <f t="shared" ca="1" si="362"/>
        <v>874.13727041639572</v>
      </c>
      <c r="K806" s="307">
        <f t="shared" ca="1" si="363"/>
        <v>-4.5923237770580219</v>
      </c>
      <c r="L806" s="304">
        <f t="shared" ca="1" si="348"/>
        <v>874.14933333424233</v>
      </c>
      <c r="M806" s="306">
        <f t="shared" ca="1" si="364"/>
        <v>-1.4647766674117546</v>
      </c>
      <c r="N806" s="304">
        <f t="shared" ca="1" si="365"/>
        <v>-83.925520971931405</v>
      </c>
      <c r="P806" s="310">
        <f t="shared" ca="1" si="366"/>
        <v>23</v>
      </c>
      <c r="Q806" s="304">
        <f t="shared" ca="1" si="367"/>
        <v>0</v>
      </c>
      <c r="R806" s="306">
        <f t="shared" ca="1" si="368"/>
        <v>0</v>
      </c>
      <c r="S806" s="307">
        <f t="shared" ca="1" si="369"/>
        <v>7.8079999999999892</v>
      </c>
      <c r="T806" s="304">
        <f t="shared" ca="1" si="349"/>
        <v>76.5964799999999</v>
      </c>
      <c r="U806" s="311">
        <f t="shared" ca="1" si="350"/>
        <v>0</v>
      </c>
      <c r="V806" s="306">
        <f t="shared" ca="1" si="351"/>
        <v>1.2255626888651625</v>
      </c>
      <c r="W806" s="304">
        <f t="shared" ca="1" si="352"/>
        <v>59.504194202138706</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2.1340270991595949</v>
      </c>
      <c r="AH806" s="304">
        <f t="shared" ca="1" si="376"/>
        <v>-7.6208906158315761</v>
      </c>
    </row>
    <row r="807" spans="1:34" x14ac:dyDescent="0.2">
      <c r="A807" s="347">
        <f t="shared" ca="1" si="354"/>
        <v>1E-4</v>
      </c>
      <c r="B807" s="304">
        <f t="shared" ca="1" si="355"/>
        <v>35.109200000000492</v>
      </c>
      <c r="D807" s="306">
        <f t="shared" ca="1" si="356"/>
        <v>-0.80645526728010908</v>
      </c>
      <c r="E807" s="307">
        <f t="shared" ca="1" si="357"/>
        <v>-2.2318636330403319</v>
      </c>
      <c r="F807" s="304">
        <f t="shared" ca="1" si="358"/>
        <v>2.3730961578941172</v>
      </c>
      <c r="G807" s="306">
        <f t="shared" ca="1" si="359"/>
        <v>12.917993721157758</v>
      </c>
      <c r="H807" s="307">
        <f t="shared" ca="1" si="360"/>
        <v>-121.38938526527986</v>
      </c>
      <c r="I807" s="304">
        <f t="shared" ca="1" si="361"/>
        <v>122.07480254689095</v>
      </c>
      <c r="J807" s="306">
        <f t="shared" ca="1" si="362"/>
        <v>874.13727041639572</v>
      </c>
      <c r="K807" s="307">
        <f t="shared" ca="1" si="363"/>
        <v>-4.6044627044252318</v>
      </c>
      <c r="L807" s="304">
        <f t="shared" ca="1" si="348"/>
        <v>874.14939719010465</v>
      </c>
      <c r="M807" s="306">
        <f t="shared" ca="1" si="364"/>
        <v>-1.4647775177965487</v>
      </c>
      <c r="N807" s="304">
        <f t="shared" ca="1" si="365"/>
        <v>-83.925569695391076</v>
      </c>
      <c r="P807" s="310">
        <f t="shared" ca="1" si="366"/>
        <v>23</v>
      </c>
      <c r="Q807" s="304">
        <f t="shared" ca="1" si="367"/>
        <v>0</v>
      </c>
      <c r="R807" s="306">
        <f t="shared" ca="1" si="368"/>
        <v>0</v>
      </c>
      <c r="S807" s="307">
        <f t="shared" ca="1" si="369"/>
        <v>7.8079999999999892</v>
      </c>
      <c r="T807" s="304">
        <f t="shared" ca="1" si="349"/>
        <v>76.5964799999999</v>
      </c>
      <c r="U807" s="311">
        <f t="shared" ca="1" si="350"/>
        <v>0</v>
      </c>
      <c r="V807" s="306">
        <f t="shared" ca="1" si="351"/>
        <v>1.2255641765677903</v>
      </c>
      <c r="W807" s="304">
        <f t="shared" ca="1" si="352"/>
        <v>59.504474473540441</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2.1339920862480639</v>
      </c>
      <c r="AH807" s="304">
        <f t="shared" ca="1" si="376"/>
        <v>-7.6209265115444147</v>
      </c>
    </row>
    <row r="808" spans="1:34" x14ac:dyDescent="0.2">
      <c r="A808" s="347">
        <f t="shared" ca="1" si="354"/>
        <v>1E-4</v>
      </c>
      <c r="B808" s="304">
        <f t="shared" ca="1" si="355"/>
        <v>35.109300000000495</v>
      </c>
      <c r="D808" s="306">
        <f t="shared" ca="1" si="356"/>
        <v>-0.8064526214119252</v>
      </c>
      <c r="E808" s="307">
        <f t="shared" ca="1" si="357"/>
        <v>-2.2318272533737256</v>
      </c>
      <c r="F808" s="304">
        <f t="shared" ca="1" si="358"/>
        <v>2.3730610441966875</v>
      </c>
      <c r="G808" s="306">
        <f t="shared" ca="1" si="359"/>
        <v>12.917913075895617</v>
      </c>
      <c r="H808" s="307">
        <f t="shared" ca="1" si="360"/>
        <v>-121.38960844800519</v>
      </c>
      <c r="I808" s="304">
        <f t="shared" ca="1" si="361"/>
        <v>122.07501594264245</v>
      </c>
      <c r="J808" s="306">
        <f t="shared" ca="1" si="362"/>
        <v>874.13727041639572</v>
      </c>
      <c r="K808" s="307">
        <f t="shared" ca="1" si="363"/>
        <v>-4.6166016541108963</v>
      </c>
      <c r="L808" s="304">
        <f t="shared" ca="1" si="348"/>
        <v>874.14946121464811</v>
      </c>
      <c r="M808" s="306">
        <f t="shared" ca="1" si="364"/>
        <v>-1.4647783681730611</v>
      </c>
      <c r="N808" s="304">
        <f t="shared" ca="1" si="365"/>
        <v>-83.925618418376231</v>
      </c>
      <c r="P808" s="310">
        <f t="shared" ca="1" si="366"/>
        <v>23</v>
      </c>
      <c r="Q808" s="304">
        <f t="shared" ca="1" si="367"/>
        <v>0</v>
      </c>
      <c r="R808" s="306">
        <f t="shared" ca="1" si="368"/>
        <v>0</v>
      </c>
      <c r="S808" s="307">
        <f t="shared" ca="1" si="369"/>
        <v>7.8079999999999892</v>
      </c>
      <c r="T808" s="304">
        <f t="shared" ca="1" si="349"/>
        <v>76.5964799999999</v>
      </c>
      <c r="U808" s="311">
        <f t="shared" ca="1" si="350"/>
        <v>0</v>
      </c>
      <c r="V808" s="306">
        <f t="shared" ca="1" si="351"/>
        <v>1.2255656642749599</v>
      </c>
      <c r="W808" s="304">
        <f t="shared" ca="1" si="352"/>
        <v>59.504754742618125</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2.1339570736185358</v>
      </c>
      <c r="AH808" s="304">
        <f t="shared" ca="1" si="376"/>
        <v>-7.6209624069595954</v>
      </c>
    </row>
    <row r="809" spans="1:34" x14ac:dyDescent="0.2">
      <c r="A809" s="347">
        <f t="shared" ca="1" si="354"/>
        <v>1E-4</v>
      </c>
      <c r="B809" s="304">
        <f t="shared" ca="1" si="355"/>
        <v>35.109400000000498</v>
      </c>
      <c r="D809" s="306">
        <f t="shared" ca="1" si="356"/>
        <v>-0.80644997551371544</v>
      </c>
      <c r="E809" s="307">
        <f t="shared" ca="1" si="357"/>
        <v>-2.2317908740087962</v>
      </c>
      <c r="F809" s="304">
        <f t="shared" ca="1" si="358"/>
        <v>2.3730259308138666</v>
      </c>
      <c r="G809" s="306">
        <f t="shared" ca="1" si="359"/>
        <v>12.917832430898066</v>
      </c>
      <c r="H809" s="307">
        <f t="shared" ca="1" si="360"/>
        <v>-121.38983162709259</v>
      </c>
      <c r="I809" s="304">
        <f t="shared" ca="1" si="361"/>
        <v>122.07522933489271</v>
      </c>
      <c r="J809" s="306">
        <f t="shared" ca="1" si="362"/>
        <v>874.13727041639572</v>
      </c>
      <c r="K809" s="307">
        <f t="shared" ca="1" si="363"/>
        <v>-4.6287406261146513</v>
      </c>
      <c r="L809" s="304">
        <f t="shared" ca="1" si="348"/>
        <v>874.14952540787363</v>
      </c>
      <c r="M809" s="306">
        <f t="shared" ca="1" si="364"/>
        <v>-1.4647792185412916</v>
      </c>
      <c r="N809" s="304">
        <f t="shared" ca="1" si="365"/>
        <v>-83.925667140886873</v>
      </c>
      <c r="P809" s="310">
        <f t="shared" ca="1" si="366"/>
        <v>23</v>
      </c>
      <c r="Q809" s="304">
        <f t="shared" ca="1" si="367"/>
        <v>0</v>
      </c>
      <c r="R809" s="306">
        <f t="shared" ca="1" si="368"/>
        <v>0</v>
      </c>
      <c r="S809" s="307">
        <f t="shared" ca="1" si="369"/>
        <v>7.8079999999999892</v>
      </c>
      <c r="T809" s="304">
        <f t="shared" ca="1" si="349"/>
        <v>76.5964799999999</v>
      </c>
      <c r="U809" s="311">
        <f t="shared" ca="1" si="350"/>
        <v>0</v>
      </c>
      <c r="V809" s="306">
        <f t="shared" ca="1" si="351"/>
        <v>1.2255671519866711</v>
      </c>
      <c r="W809" s="304">
        <f t="shared" ca="1" si="352"/>
        <v>59.505035009371724</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2.133922061271007</v>
      </c>
      <c r="AH809" s="304">
        <f t="shared" ca="1" si="376"/>
        <v>-7.620998302077127</v>
      </c>
    </row>
    <row r="810" spans="1:34" x14ac:dyDescent="0.2">
      <c r="A810" s="347">
        <f t="shared" ca="1" si="354"/>
        <v>1E-4</v>
      </c>
      <c r="B810" s="304">
        <f t="shared" ca="1" si="355"/>
        <v>35.109500000000502</v>
      </c>
      <c r="D810" s="306">
        <f t="shared" ca="1" si="356"/>
        <v>-0.80644732958548071</v>
      </c>
      <c r="E810" s="307">
        <f t="shared" ca="1" si="357"/>
        <v>-2.2317544949455481</v>
      </c>
      <c r="F810" s="304">
        <f t="shared" ca="1" si="358"/>
        <v>2.3729908177456589</v>
      </c>
      <c r="G810" s="306">
        <f t="shared" ca="1" si="359"/>
        <v>12.917751786165107</v>
      </c>
      <c r="H810" s="307">
        <f t="shared" ca="1" si="360"/>
        <v>-121.39005480254208</v>
      </c>
      <c r="I810" s="304">
        <f t="shared" ca="1" si="361"/>
        <v>122.07544272364177</v>
      </c>
      <c r="J810" s="306">
        <f t="shared" ca="1" si="362"/>
        <v>874.13727041639572</v>
      </c>
      <c r="K810" s="307">
        <f t="shared" ca="1" si="363"/>
        <v>-4.6408796204361327</v>
      </c>
      <c r="L810" s="304">
        <f t="shared" ca="1" si="348"/>
        <v>874.1495897697821</v>
      </c>
      <c r="M810" s="306">
        <f t="shared" ca="1" si="364"/>
        <v>-1.4647800689012405</v>
      </c>
      <c r="N810" s="304">
        <f t="shared" ca="1" si="365"/>
        <v>-83.925715862923013</v>
      </c>
      <c r="P810" s="310">
        <f t="shared" ca="1" si="366"/>
        <v>23</v>
      </c>
      <c r="Q810" s="304">
        <f t="shared" ca="1" si="367"/>
        <v>0</v>
      </c>
      <c r="R810" s="306">
        <f t="shared" ca="1" si="368"/>
        <v>0</v>
      </c>
      <c r="S810" s="307">
        <f t="shared" ca="1" si="369"/>
        <v>7.8079999999999892</v>
      </c>
      <c r="T810" s="304">
        <f t="shared" ca="1" si="349"/>
        <v>76.5964799999999</v>
      </c>
      <c r="U810" s="311">
        <f t="shared" ca="1" si="350"/>
        <v>0</v>
      </c>
      <c r="V810" s="306">
        <f t="shared" ca="1" si="351"/>
        <v>1.2255686397029242</v>
      </c>
      <c r="W810" s="304">
        <f t="shared" ca="1" si="352"/>
        <v>59.505315273801244</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2.1338870492054829</v>
      </c>
      <c r="AH810" s="304">
        <f t="shared" ca="1" si="376"/>
        <v>-7.6210341968970043</v>
      </c>
    </row>
    <row r="811" spans="1:34" x14ac:dyDescent="0.2">
      <c r="A811" s="347">
        <f t="shared" ca="1" si="354"/>
        <v>1E-4</v>
      </c>
      <c r="B811" s="304">
        <f t="shared" ca="1" si="355"/>
        <v>35.109600000000505</v>
      </c>
      <c r="D811" s="306">
        <f t="shared" ca="1" si="356"/>
        <v>-0.80644468362722121</v>
      </c>
      <c r="E811" s="307">
        <f t="shared" ca="1" si="357"/>
        <v>-2.2317181161839823</v>
      </c>
      <c r="F811" s="304">
        <f t="shared" ca="1" si="358"/>
        <v>2.3729557049920658</v>
      </c>
      <c r="G811" s="306">
        <f t="shared" ca="1" si="359"/>
        <v>12.917671141696745</v>
      </c>
      <c r="H811" s="307">
        <f t="shared" ca="1" si="360"/>
        <v>-121.39027797435369</v>
      </c>
      <c r="I811" s="304">
        <f t="shared" ca="1" si="361"/>
        <v>122.07565610888963</v>
      </c>
      <c r="J811" s="306">
        <f t="shared" ca="1" si="362"/>
        <v>874.13727041639572</v>
      </c>
      <c r="K811" s="307">
        <f t="shared" ca="1" si="363"/>
        <v>-4.6530186370749771</v>
      </c>
      <c r="L811" s="304">
        <f t="shared" ca="1" si="348"/>
        <v>874.14965430037432</v>
      </c>
      <c r="M811" s="306">
        <f t="shared" ca="1" si="364"/>
        <v>-1.464780919252908</v>
      </c>
      <c r="N811" s="304">
        <f t="shared" ca="1" si="365"/>
        <v>-83.925764584484654</v>
      </c>
      <c r="P811" s="310">
        <f t="shared" ca="1" si="366"/>
        <v>23</v>
      </c>
      <c r="Q811" s="304">
        <f t="shared" ca="1" si="367"/>
        <v>0</v>
      </c>
      <c r="R811" s="306">
        <f t="shared" ca="1" si="368"/>
        <v>0</v>
      </c>
      <c r="S811" s="307">
        <f t="shared" ca="1" si="369"/>
        <v>7.8079999999999892</v>
      </c>
      <c r="T811" s="304">
        <f t="shared" ca="1" si="349"/>
        <v>76.5964799999999</v>
      </c>
      <c r="U811" s="311">
        <f t="shared" ca="1" si="350"/>
        <v>0</v>
      </c>
      <c r="V811" s="306">
        <f t="shared" ca="1" si="351"/>
        <v>1.2255701274237183</v>
      </c>
      <c r="W811" s="304">
        <f t="shared" ca="1" si="352"/>
        <v>59.50559553590665</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2.1338520374219598</v>
      </c>
      <c r="AH811" s="304">
        <f t="shared" ca="1" si="376"/>
        <v>-7.6210700914192273</v>
      </c>
    </row>
    <row r="812" spans="1:34" x14ac:dyDescent="0.2">
      <c r="A812" s="347">
        <f t="shared" ca="1" si="354"/>
        <v>1E-4</v>
      </c>
      <c r="B812" s="304">
        <f t="shared" ca="1" si="355"/>
        <v>35.109700000000508</v>
      </c>
      <c r="D812" s="306">
        <f t="shared" ca="1" si="356"/>
        <v>-0.80644203763893652</v>
      </c>
      <c r="E812" s="307">
        <f t="shared" ca="1" si="357"/>
        <v>-2.2316817377241014</v>
      </c>
      <c r="F812" s="304">
        <f t="shared" ca="1" si="358"/>
        <v>2.3729205925530894</v>
      </c>
      <c r="G812" s="306">
        <f t="shared" ca="1" si="359"/>
        <v>12.917590497492981</v>
      </c>
      <c r="H812" s="307">
        <f t="shared" ca="1" si="360"/>
        <v>-121.39050114252747</v>
      </c>
      <c r="I812" s="304">
        <f t="shared" ca="1" si="361"/>
        <v>122.07586949063636</v>
      </c>
      <c r="J812" s="306">
        <f t="shared" ca="1" si="362"/>
        <v>874.13727041639572</v>
      </c>
      <c r="K812" s="307">
        <f t="shared" ca="1" si="363"/>
        <v>-4.6651576760308213</v>
      </c>
      <c r="L812" s="304">
        <f t="shared" ca="1" si="348"/>
        <v>874.14971899965121</v>
      </c>
      <c r="M812" s="306">
        <f t="shared" ca="1" si="364"/>
        <v>-1.4647817695962939</v>
      </c>
      <c r="N812" s="304">
        <f t="shared" ca="1" si="365"/>
        <v>-83.925813305571808</v>
      </c>
      <c r="P812" s="310">
        <f t="shared" ca="1" si="366"/>
        <v>23</v>
      </c>
      <c r="Q812" s="304">
        <f t="shared" ca="1" si="367"/>
        <v>0</v>
      </c>
      <c r="R812" s="306">
        <f t="shared" ca="1" si="368"/>
        <v>0</v>
      </c>
      <c r="S812" s="307">
        <f t="shared" ca="1" si="369"/>
        <v>7.8079999999999892</v>
      </c>
      <c r="T812" s="304">
        <f t="shared" ca="1" si="349"/>
        <v>76.5964799999999</v>
      </c>
      <c r="U812" s="311">
        <f t="shared" ca="1" si="350"/>
        <v>0</v>
      </c>
      <c r="V812" s="306">
        <f t="shared" ca="1" si="351"/>
        <v>1.2255716151490537</v>
      </c>
      <c r="W812" s="304">
        <f t="shared" ca="1" si="352"/>
        <v>59.505875795687984</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2.133817025920445</v>
      </c>
      <c r="AH812" s="304">
        <f t="shared" ca="1" si="376"/>
        <v>-7.6211059856437924</v>
      </c>
    </row>
    <row r="813" spans="1:34" x14ac:dyDescent="0.2">
      <c r="A813" s="347">
        <f t="shared" ca="1" si="354"/>
        <v>1E-4</v>
      </c>
      <c r="B813" s="304">
        <f t="shared" ca="1" si="355"/>
        <v>35.109800000000511</v>
      </c>
      <c r="D813" s="306">
        <f t="shared" ca="1" si="356"/>
        <v>-0.80643939162063027</v>
      </c>
      <c r="E813" s="307">
        <f t="shared" ca="1" si="357"/>
        <v>-2.2316453595659009</v>
      </c>
      <c r="F813" s="304">
        <f t="shared" ca="1" si="358"/>
        <v>2.3728854804287272</v>
      </c>
      <c r="G813" s="306">
        <f t="shared" ca="1" si="359"/>
        <v>12.917509853553819</v>
      </c>
      <c r="H813" s="307">
        <f t="shared" ca="1" si="360"/>
        <v>-121.39072430706342</v>
      </c>
      <c r="I813" s="304">
        <f t="shared" ca="1" si="361"/>
        <v>122.07608286888197</v>
      </c>
      <c r="J813" s="306">
        <f t="shared" ca="1" si="362"/>
        <v>874.13727041639572</v>
      </c>
      <c r="K813" s="307">
        <f t="shared" ca="1" si="363"/>
        <v>-4.6772967373033012</v>
      </c>
      <c r="L813" s="304">
        <f t="shared" ca="1" si="348"/>
        <v>874.14978386761368</v>
      </c>
      <c r="M813" s="306">
        <f t="shared" ca="1" si="364"/>
        <v>-1.4647826199313985</v>
      </c>
      <c r="N813" s="304">
        <f t="shared" ca="1" si="365"/>
        <v>-83.925862026184475</v>
      </c>
      <c r="P813" s="310">
        <f t="shared" ca="1" si="366"/>
        <v>23</v>
      </c>
      <c r="Q813" s="304">
        <f t="shared" ca="1" si="367"/>
        <v>0</v>
      </c>
      <c r="R813" s="306">
        <f t="shared" ca="1" si="368"/>
        <v>0</v>
      </c>
      <c r="S813" s="307">
        <f t="shared" ca="1" si="369"/>
        <v>7.8079999999999892</v>
      </c>
      <c r="T813" s="304">
        <f t="shared" ca="1" si="349"/>
        <v>76.5964799999999</v>
      </c>
      <c r="U813" s="311">
        <f t="shared" ca="1" si="350"/>
        <v>0</v>
      </c>
      <c r="V813" s="306">
        <f t="shared" ca="1" si="351"/>
        <v>1.225573102878931</v>
      </c>
      <c r="W813" s="304">
        <f t="shared" ca="1" si="352"/>
        <v>59.506156053145247</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2.1337820147009312</v>
      </c>
      <c r="AH813" s="304">
        <f t="shared" ca="1" si="376"/>
        <v>-7.6211418795707049</v>
      </c>
    </row>
    <row r="814" spans="1:34" x14ac:dyDescent="0.2">
      <c r="A814" s="347">
        <f t="shared" ca="1" si="354"/>
        <v>1E-4</v>
      </c>
      <c r="B814" s="304">
        <f t="shared" ca="1" si="355"/>
        <v>35.109900000000515</v>
      </c>
      <c r="D814" s="306">
        <f t="shared" ca="1" si="356"/>
        <v>-0.80643674557230283</v>
      </c>
      <c r="E814" s="307">
        <f t="shared" ca="1" si="357"/>
        <v>-2.2316089817093809</v>
      </c>
      <c r="F814" s="304">
        <f t="shared" ca="1" si="358"/>
        <v>2.3728503686189795</v>
      </c>
      <c r="G814" s="306">
        <f t="shared" ca="1" si="359"/>
        <v>12.917429209879261</v>
      </c>
      <c r="H814" s="307">
        <f t="shared" ca="1" si="360"/>
        <v>-121.3909474679616</v>
      </c>
      <c r="I814" s="304">
        <f t="shared" ca="1" si="361"/>
        <v>122.07629624362649</v>
      </c>
      <c r="J814" s="306">
        <f t="shared" ca="1" si="362"/>
        <v>874.13727041639572</v>
      </c>
      <c r="K814" s="307">
        <f t="shared" ca="1" si="363"/>
        <v>-4.6894358208920526</v>
      </c>
      <c r="L814" s="304">
        <f t="shared" ca="1" si="348"/>
        <v>874.14984890426263</v>
      </c>
      <c r="M814" s="306">
        <f t="shared" ca="1" si="364"/>
        <v>-1.4647834702582219</v>
      </c>
      <c r="N814" s="304">
        <f t="shared" ca="1" si="365"/>
        <v>-83.925910746322657</v>
      </c>
      <c r="P814" s="310">
        <f t="shared" ca="1" si="366"/>
        <v>23</v>
      </c>
      <c r="Q814" s="304">
        <f t="shared" ca="1" si="367"/>
        <v>0</v>
      </c>
      <c r="R814" s="306">
        <f t="shared" ca="1" si="368"/>
        <v>0</v>
      </c>
      <c r="S814" s="307">
        <f t="shared" ca="1" si="369"/>
        <v>7.8079999999999892</v>
      </c>
      <c r="T814" s="304">
        <f t="shared" ca="1" si="349"/>
        <v>76.5964799999999</v>
      </c>
      <c r="U814" s="311">
        <f t="shared" ca="1" si="350"/>
        <v>0</v>
      </c>
      <c r="V814" s="306">
        <f t="shared" ca="1" si="351"/>
        <v>1.2255745906133495</v>
      </c>
      <c r="W814" s="304">
        <f t="shared" ca="1" si="352"/>
        <v>59.506436308278424</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2.1337470037634194</v>
      </c>
      <c r="AH814" s="304">
        <f t="shared" ca="1" si="376"/>
        <v>-7.6211777731999657</v>
      </c>
    </row>
    <row r="815" spans="1:34" x14ac:dyDescent="0.2">
      <c r="A815" s="347">
        <f t="shared" ca="1" si="354"/>
        <v>1E-4</v>
      </c>
      <c r="B815" s="304">
        <f t="shared" ca="1" si="355"/>
        <v>35.110000000000518</v>
      </c>
      <c r="D815" s="306">
        <f t="shared" ca="1" si="356"/>
        <v>-0.80643409949395362</v>
      </c>
      <c r="E815" s="307">
        <f t="shared" ca="1" si="357"/>
        <v>-2.2315726041545423</v>
      </c>
      <c r="F815" s="304">
        <f t="shared" ca="1" si="358"/>
        <v>2.3728152571238472</v>
      </c>
      <c r="G815" s="306">
        <f t="shared" ca="1" si="359"/>
        <v>12.917348566469311</v>
      </c>
      <c r="H815" s="307">
        <f t="shared" ca="1" si="360"/>
        <v>-121.39117062522202</v>
      </c>
      <c r="I815" s="304">
        <f t="shared" ca="1" si="361"/>
        <v>122.07650961486993</v>
      </c>
      <c r="J815" s="306">
        <f t="shared" ca="1" si="362"/>
        <v>874.13727041639572</v>
      </c>
      <c r="K815" s="307">
        <f t="shared" ca="1" si="363"/>
        <v>-4.7015749267967122</v>
      </c>
      <c r="L815" s="304">
        <f t="shared" ca="1" si="348"/>
        <v>874.14991410959897</v>
      </c>
      <c r="M815" s="306">
        <f t="shared" ca="1" si="364"/>
        <v>-1.4647843205767643</v>
      </c>
      <c r="N815" s="304">
        <f t="shared" ca="1" si="365"/>
        <v>-83.925959465986381</v>
      </c>
      <c r="P815" s="310">
        <f t="shared" ca="1" si="366"/>
        <v>23</v>
      </c>
      <c r="Q815" s="304">
        <f t="shared" ca="1" si="367"/>
        <v>0</v>
      </c>
      <c r="R815" s="306">
        <f t="shared" ca="1" si="368"/>
        <v>0</v>
      </c>
      <c r="S815" s="307">
        <f t="shared" ca="1" si="369"/>
        <v>7.8079999999999892</v>
      </c>
      <c r="T815" s="304">
        <f t="shared" ca="1" si="349"/>
        <v>76.5964799999999</v>
      </c>
      <c r="U815" s="311">
        <f t="shared" ca="1" si="350"/>
        <v>0</v>
      </c>
      <c r="V815" s="306">
        <f t="shared" ca="1" si="351"/>
        <v>1.2255760783523095</v>
      </c>
      <c r="W815" s="304">
        <f t="shared" ca="1" si="352"/>
        <v>59.506716561087508</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2.1337119931079132</v>
      </c>
      <c r="AH815" s="304">
        <f t="shared" ca="1" si="376"/>
        <v>-7.6212136665315713</v>
      </c>
    </row>
    <row r="816" spans="1:34" x14ac:dyDescent="0.2">
      <c r="A816" s="347">
        <f t="shared" ca="1" si="354"/>
        <v>1E-4</v>
      </c>
      <c r="B816" s="304">
        <f t="shared" ca="1" si="355"/>
        <v>35.110100000000521</v>
      </c>
      <c r="D816" s="306">
        <f t="shared" ca="1" si="356"/>
        <v>-0.80643145338558264</v>
      </c>
      <c r="E816" s="307">
        <f t="shared" ca="1" si="357"/>
        <v>-2.2315362269013868</v>
      </c>
      <c r="F816" s="304">
        <f t="shared" ca="1" si="358"/>
        <v>2.3727801459433322</v>
      </c>
      <c r="G816" s="306">
        <f t="shared" ca="1" si="359"/>
        <v>12.917267923323973</v>
      </c>
      <c r="H816" s="307">
        <f t="shared" ca="1" si="360"/>
        <v>-121.3913937788447</v>
      </c>
      <c r="I816" s="304">
        <f t="shared" ca="1" si="361"/>
        <v>122.07672298261234</v>
      </c>
      <c r="J816" s="306">
        <f t="shared" ca="1" si="362"/>
        <v>874.13727041639572</v>
      </c>
      <c r="K816" s="307">
        <f t="shared" ca="1" si="363"/>
        <v>-4.7137140550169159</v>
      </c>
      <c r="L816" s="304">
        <f t="shared" ca="1" si="348"/>
        <v>874.1499794836235</v>
      </c>
      <c r="M816" s="306">
        <f t="shared" ca="1" si="364"/>
        <v>-1.4647851708870259</v>
      </c>
      <c r="N816" s="304">
        <f t="shared" ca="1" si="365"/>
        <v>-83.926008185175647</v>
      </c>
      <c r="P816" s="310">
        <f t="shared" ca="1" si="366"/>
        <v>23</v>
      </c>
      <c r="Q816" s="304">
        <f t="shared" ca="1" si="367"/>
        <v>0</v>
      </c>
      <c r="R816" s="306">
        <f t="shared" ca="1" si="368"/>
        <v>0</v>
      </c>
      <c r="S816" s="307">
        <f t="shared" ca="1" si="369"/>
        <v>7.8079999999999892</v>
      </c>
      <c r="T816" s="304">
        <f t="shared" ca="1" si="349"/>
        <v>76.5964799999999</v>
      </c>
      <c r="U816" s="311">
        <f t="shared" ca="1" si="350"/>
        <v>0</v>
      </c>
      <c r="V816" s="306">
        <f t="shared" ca="1" si="351"/>
        <v>1.225577566095811</v>
      </c>
      <c r="W816" s="304">
        <f t="shared" ca="1" si="352"/>
        <v>59.506996811572499</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2.1336769827344142</v>
      </c>
      <c r="AH816" s="304">
        <f t="shared" ca="1" si="376"/>
        <v>-7.6212495595655216</v>
      </c>
    </row>
    <row r="817" spans="1:34" x14ac:dyDescent="0.2">
      <c r="A817" s="347">
        <f t="shared" ca="1" si="354"/>
        <v>1E-4</v>
      </c>
      <c r="B817" s="304">
        <f t="shared" ca="1" si="355"/>
        <v>35.110200000000525</v>
      </c>
      <c r="D817" s="306">
        <f t="shared" ca="1" si="356"/>
        <v>-0.80642880724719157</v>
      </c>
      <c r="E817" s="307">
        <f t="shared" ca="1" si="357"/>
        <v>-2.2314998499499152</v>
      </c>
      <c r="F817" s="304">
        <f t="shared" ca="1" si="358"/>
        <v>2.3727450350774357</v>
      </c>
      <c r="G817" s="306">
        <f t="shared" ca="1" si="359"/>
        <v>12.917187280443247</v>
      </c>
      <c r="H817" s="307">
        <f t="shared" ca="1" si="360"/>
        <v>-121.39161692882969</v>
      </c>
      <c r="I817" s="304">
        <f t="shared" ca="1" si="361"/>
        <v>122.07693634685373</v>
      </c>
      <c r="J817" s="306">
        <f t="shared" ca="1" si="362"/>
        <v>874.13727041639572</v>
      </c>
      <c r="K817" s="307">
        <f t="shared" ca="1" si="363"/>
        <v>-4.7258532055522995</v>
      </c>
      <c r="L817" s="304">
        <f t="shared" ca="1" si="348"/>
        <v>874.15004502633724</v>
      </c>
      <c r="M817" s="306">
        <f t="shared" ca="1" si="364"/>
        <v>-1.4647860211890065</v>
      </c>
      <c r="N817" s="304">
        <f t="shared" ca="1" si="365"/>
        <v>-83.926056903890441</v>
      </c>
      <c r="P817" s="310">
        <f t="shared" ca="1" si="366"/>
        <v>23</v>
      </c>
      <c r="Q817" s="304">
        <f t="shared" ca="1" si="367"/>
        <v>0</v>
      </c>
      <c r="R817" s="306">
        <f t="shared" ca="1" si="368"/>
        <v>0</v>
      </c>
      <c r="S817" s="307">
        <f t="shared" ca="1" si="369"/>
        <v>7.8079999999999892</v>
      </c>
      <c r="T817" s="304">
        <f t="shared" ca="1" si="349"/>
        <v>76.5964799999999</v>
      </c>
      <c r="U817" s="311">
        <f t="shared" ca="1" si="350"/>
        <v>0</v>
      </c>
      <c r="V817" s="306">
        <f t="shared" ca="1" si="351"/>
        <v>1.2255790538438536</v>
      </c>
      <c r="W817" s="304">
        <f t="shared" ca="1" si="352"/>
        <v>59.50727705973339</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2.1336419726429234</v>
      </c>
      <c r="AH817" s="304">
        <f t="shared" ca="1" si="376"/>
        <v>-7.6212854523018159</v>
      </c>
    </row>
    <row r="818" spans="1:34" x14ac:dyDescent="0.2">
      <c r="A818" s="347">
        <f t="shared" ca="1" si="354"/>
        <v>1E-4</v>
      </c>
      <c r="B818" s="304">
        <f t="shared" ca="1" si="355"/>
        <v>35.110300000000528</v>
      </c>
      <c r="D818" s="306">
        <f t="shared" ca="1" si="356"/>
        <v>-0.80642616107878196</v>
      </c>
      <c r="E818" s="307">
        <f t="shared" ca="1" si="357"/>
        <v>-2.231463473300126</v>
      </c>
      <c r="F818" s="304">
        <f t="shared" ca="1" si="358"/>
        <v>2.3727099245261574</v>
      </c>
      <c r="G818" s="306">
        <f t="shared" ca="1" si="359"/>
        <v>12.917106637827139</v>
      </c>
      <c r="H818" s="307">
        <f t="shared" ca="1" si="360"/>
        <v>-121.39184007517702</v>
      </c>
      <c r="I818" s="304">
        <f t="shared" ca="1" si="361"/>
        <v>122.07714970759413</v>
      </c>
      <c r="J818" s="306">
        <f t="shared" ca="1" si="362"/>
        <v>874.13727041639572</v>
      </c>
      <c r="K818" s="307">
        <f t="shared" ca="1" si="363"/>
        <v>-4.7379923784024998</v>
      </c>
      <c r="L818" s="304">
        <f t="shared" ca="1" si="348"/>
        <v>874.15011073774087</v>
      </c>
      <c r="M818" s="306">
        <f t="shared" ca="1" si="364"/>
        <v>-1.4647868714827066</v>
      </c>
      <c r="N818" s="304">
        <f t="shared" ca="1" si="365"/>
        <v>-83.926105622130805</v>
      </c>
      <c r="P818" s="310">
        <f t="shared" ca="1" si="366"/>
        <v>23</v>
      </c>
      <c r="Q818" s="304">
        <f t="shared" ca="1" si="367"/>
        <v>0</v>
      </c>
      <c r="R818" s="306">
        <f t="shared" ca="1" si="368"/>
        <v>0</v>
      </c>
      <c r="S818" s="307">
        <f t="shared" ca="1" si="369"/>
        <v>7.8079999999999892</v>
      </c>
      <c r="T818" s="304">
        <f t="shared" ca="1" si="349"/>
        <v>76.5964799999999</v>
      </c>
      <c r="U818" s="311">
        <f t="shared" ca="1" si="350"/>
        <v>0</v>
      </c>
      <c r="V818" s="306">
        <f t="shared" ca="1" si="351"/>
        <v>1.2255805415964374</v>
      </c>
      <c r="W818" s="304">
        <f t="shared" ca="1" si="352"/>
        <v>59.507557305570195</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2.1336069628334347</v>
      </c>
      <c r="AH818" s="304">
        <f t="shared" ca="1" si="376"/>
        <v>-7.6213213447404549</v>
      </c>
    </row>
    <row r="819" spans="1:34" x14ac:dyDescent="0.2">
      <c r="A819" s="347">
        <f t="shared" ca="1" si="354"/>
        <v>1E-4</v>
      </c>
      <c r="B819" s="304">
        <f t="shared" ca="1" si="355"/>
        <v>35.110400000000531</v>
      </c>
      <c r="D819" s="306">
        <f t="shared" ca="1" si="356"/>
        <v>-0.80642351488035247</v>
      </c>
      <c r="E819" s="307">
        <f t="shared" ca="1" si="357"/>
        <v>-2.2314270969520189</v>
      </c>
      <c r="F819" s="304">
        <f t="shared" ca="1" si="358"/>
        <v>2.3726748142894967</v>
      </c>
      <c r="G819" s="306">
        <f t="shared" ca="1" si="359"/>
        <v>12.917025995475651</v>
      </c>
      <c r="H819" s="307">
        <f t="shared" ca="1" si="360"/>
        <v>-121.39206321788672</v>
      </c>
      <c r="I819" s="304">
        <f t="shared" ca="1" si="361"/>
        <v>122.07736306483361</v>
      </c>
      <c r="J819" s="306">
        <f t="shared" ca="1" si="362"/>
        <v>874.13727041639572</v>
      </c>
      <c r="K819" s="307">
        <f t="shared" ca="1" si="363"/>
        <v>-4.7501315735671525</v>
      </c>
      <c r="L819" s="304">
        <f t="shared" ca="1" si="348"/>
        <v>874.15017661783554</v>
      </c>
      <c r="M819" s="306">
        <f t="shared" ca="1" si="364"/>
        <v>-1.4647877217681258</v>
      </c>
      <c r="N819" s="304">
        <f t="shared" ca="1" si="365"/>
        <v>-83.926154339896712</v>
      </c>
      <c r="P819" s="310">
        <f t="shared" ca="1" si="366"/>
        <v>23</v>
      </c>
      <c r="Q819" s="304">
        <f t="shared" ca="1" si="367"/>
        <v>0</v>
      </c>
      <c r="R819" s="306">
        <f t="shared" ca="1" si="368"/>
        <v>0</v>
      </c>
      <c r="S819" s="307">
        <f t="shared" ca="1" si="369"/>
        <v>7.8079999999999892</v>
      </c>
      <c r="T819" s="304">
        <f t="shared" ca="1" si="349"/>
        <v>76.5964799999999</v>
      </c>
      <c r="U819" s="311">
        <f t="shared" ca="1" si="350"/>
        <v>0</v>
      </c>
      <c r="V819" s="306">
        <f t="shared" ca="1" si="351"/>
        <v>1.2255820293535626</v>
      </c>
      <c r="W819" s="304">
        <f t="shared" ca="1" si="352"/>
        <v>59.507837549082929</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2.1335719533059558</v>
      </c>
      <c r="AH819" s="304">
        <f t="shared" ca="1" si="376"/>
        <v>-7.6213572368814395</v>
      </c>
    </row>
    <row r="820" spans="1:34" x14ac:dyDescent="0.2">
      <c r="A820" s="347">
        <f t="shared" ca="1" si="354"/>
        <v>1E-4</v>
      </c>
      <c r="B820" s="304">
        <f t="shared" ca="1" si="355"/>
        <v>35.110500000000535</v>
      </c>
      <c r="D820" s="306">
        <f t="shared" ca="1" si="356"/>
        <v>-0.80642086865190787</v>
      </c>
      <c r="E820" s="307">
        <f t="shared" ca="1" si="357"/>
        <v>-2.2313907209055932</v>
      </c>
      <c r="F820" s="304">
        <f t="shared" ca="1" si="358"/>
        <v>2.3726397043674541</v>
      </c>
      <c r="G820" s="306">
        <f t="shared" ca="1" si="359"/>
        <v>12.916945353388785</v>
      </c>
      <c r="H820" s="307">
        <f t="shared" ca="1" si="360"/>
        <v>-121.39228635695881</v>
      </c>
      <c r="I820" s="304">
        <f t="shared" ca="1" si="361"/>
        <v>122.07757641857214</v>
      </c>
      <c r="J820" s="306">
        <f t="shared" ca="1" si="362"/>
        <v>874.13727041639572</v>
      </c>
      <c r="K820" s="307">
        <f t="shared" ca="1" si="363"/>
        <v>-4.7622707910458946</v>
      </c>
      <c r="L820" s="304">
        <f t="shared" ca="1" si="348"/>
        <v>874.15024266662203</v>
      </c>
      <c r="M820" s="306">
        <f t="shared" ca="1" si="364"/>
        <v>-1.4647885720452647</v>
      </c>
      <c r="N820" s="304">
        <f t="shared" ca="1" si="365"/>
        <v>-83.926203057188189</v>
      </c>
      <c r="P820" s="310">
        <f t="shared" ca="1" si="366"/>
        <v>23</v>
      </c>
      <c r="Q820" s="304">
        <f t="shared" ca="1" si="367"/>
        <v>0</v>
      </c>
      <c r="R820" s="306">
        <f t="shared" ca="1" si="368"/>
        <v>0</v>
      </c>
      <c r="S820" s="307">
        <f t="shared" ca="1" si="369"/>
        <v>7.8079999999999892</v>
      </c>
      <c r="T820" s="304">
        <f t="shared" ca="1" si="349"/>
        <v>76.5964799999999</v>
      </c>
      <c r="U820" s="311">
        <f t="shared" ca="1" si="350"/>
        <v>0</v>
      </c>
      <c r="V820" s="306">
        <f t="shared" ca="1" si="351"/>
        <v>1.2255835171152289</v>
      </c>
      <c r="W820" s="304">
        <f t="shared" ca="1" si="352"/>
        <v>59.508117790271548</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2.1335369440604808</v>
      </c>
      <c r="AH820" s="304">
        <f t="shared" ca="1" si="376"/>
        <v>-7.6213931287247707</v>
      </c>
    </row>
    <row r="821" spans="1:34" x14ac:dyDescent="0.2">
      <c r="A821" s="347">
        <f t="shared" ca="1" si="354"/>
        <v>1E-4</v>
      </c>
      <c r="B821" s="304">
        <f t="shared" ca="1" si="355"/>
        <v>35.110600000000538</v>
      </c>
      <c r="D821" s="306">
        <f t="shared" ca="1" si="356"/>
        <v>-0.80641822239344463</v>
      </c>
      <c r="E821" s="307">
        <f t="shared" ca="1" si="357"/>
        <v>-2.2313543451608515</v>
      </c>
      <c r="F821" s="304">
        <f t="shared" ca="1" si="358"/>
        <v>2.3726045947600318</v>
      </c>
      <c r="G821" s="306">
        <f t="shared" ca="1" si="359"/>
        <v>12.916864711566546</v>
      </c>
      <c r="H821" s="307">
        <f t="shared" ca="1" si="360"/>
        <v>-121.39250949239332</v>
      </c>
      <c r="I821" s="304">
        <f t="shared" ca="1" si="361"/>
        <v>122.07778976880977</v>
      </c>
      <c r="J821" s="306">
        <f t="shared" ca="1" si="362"/>
        <v>874.13727041639572</v>
      </c>
      <c r="K821" s="307">
        <f t="shared" ca="1" si="363"/>
        <v>-4.7744100308383626</v>
      </c>
      <c r="L821" s="304">
        <f t="shared" ca="1" si="348"/>
        <v>874.15030888410115</v>
      </c>
      <c r="M821" s="306">
        <f t="shared" ca="1" si="364"/>
        <v>-1.4647894223141233</v>
      </c>
      <c r="N821" s="304">
        <f t="shared" ca="1" si="365"/>
        <v>-83.926251774005237</v>
      </c>
      <c r="P821" s="310">
        <f t="shared" ca="1" si="366"/>
        <v>23</v>
      </c>
      <c r="Q821" s="304">
        <f t="shared" ca="1" si="367"/>
        <v>0</v>
      </c>
      <c r="R821" s="306">
        <f t="shared" ca="1" si="368"/>
        <v>0</v>
      </c>
      <c r="S821" s="307">
        <f t="shared" ca="1" si="369"/>
        <v>7.8079999999999892</v>
      </c>
      <c r="T821" s="304">
        <f t="shared" ca="1" si="349"/>
        <v>76.5964799999999</v>
      </c>
      <c r="U821" s="311">
        <f t="shared" ca="1" si="350"/>
        <v>0</v>
      </c>
      <c r="V821" s="306">
        <f t="shared" ca="1" si="351"/>
        <v>1.2255850048814365</v>
      </c>
      <c r="W821" s="304">
        <f t="shared" ca="1" si="352"/>
        <v>59.508398029136082</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2.1335019350970148</v>
      </c>
      <c r="AH821" s="304">
        <f t="shared" ca="1" si="376"/>
        <v>-7.6214290202704449</v>
      </c>
    </row>
    <row r="822" spans="1:34" x14ac:dyDescent="0.2">
      <c r="A822" s="347">
        <f t="shared" ca="1" si="354"/>
        <v>1E-4</v>
      </c>
      <c r="B822" s="304">
        <f t="shared" ca="1" si="355"/>
        <v>35.110700000000541</v>
      </c>
      <c r="D822" s="306">
        <f t="shared" ca="1" si="356"/>
        <v>-0.8064155761049645</v>
      </c>
      <c r="E822" s="307">
        <f t="shared" ca="1" si="357"/>
        <v>-2.2313179697177929</v>
      </c>
      <c r="F822" s="304">
        <f t="shared" ca="1" si="358"/>
        <v>2.3725694854672299</v>
      </c>
      <c r="G822" s="306">
        <f t="shared" ca="1" si="359"/>
        <v>12.916784070008935</v>
      </c>
      <c r="H822" s="307">
        <f t="shared" ca="1" si="360"/>
        <v>-121.39273262419029</v>
      </c>
      <c r="I822" s="304">
        <f t="shared" ca="1" si="361"/>
        <v>122.07800311554654</v>
      </c>
      <c r="J822" s="306">
        <f t="shared" ca="1" si="362"/>
        <v>874.13727041639572</v>
      </c>
      <c r="K822" s="307">
        <f t="shared" ca="1" si="363"/>
        <v>-4.7865492929441915</v>
      </c>
      <c r="L822" s="304">
        <f t="shared" ca="1" si="348"/>
        <v>874.15037527027391</v>
      </c>
      <c r="M822" s="306">
        <f t="shared" ca="1" si="364"/>
        <v>-1.4647902725747017</v>
      </c>
      <c r="N822" s="304">
        <f t="shared" ca="1" si="365"/>
        <v>-83.92630049034787</v>
      </c>
      <c r="P822" s="310">
        <f t="shared" ca="1" si="366"/>
        <v>23</v>
      </c>
      <c r="Q822" s="304">
        <f t="shared" ca="1" si="367"/>
        <v>0</v>
      </c>
      <c r="R822" s="306">
        <f t="shared" ca="1" si="368"/>
        <v>0</v>
      </c>
      <c r="S822" s="307">
        <f t="shared" ca="1" si="369"/>
        <v>7.8079999999999892</v>
      </c>
      <c r="T822" s="304">
        <f t="shared" ca="1" si="349"/>
        <v>76.5964799999999</v>
      </c>
      <c r="U822" s="311">
        <f t="shared" ca="1" si="350"/>
        <v>0</v>
      </c>
      <c r="V822" s="306">
        <f t="shared" ca="1" si="351"/>
        <v>1.2255864926521853</v>
      </c>
      <c r="W822" s="304">
        <f t="shared" ca="1" si="352"/>
        <v>59.508678265676522</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2.1334669264155561</v>
      </c>
      <c r="AH822" s="304">
        <f t="shared" ca="1" si="376"/>
        <v>-7.6214649115184638</v>
      </c>
    </row>
    <row r="823" spans="1:34" x14ac:dyDescent="0.2">
      <c r="A823" s="347">
        <f t="shared" ca="1" si="354"/>
        <v>1E-4</v>
      </c>
      <c r="B823" s="304">
        <f t="shared" ca="1" si="355"/>
        <v>35.110800000000545</v>
      </c>
      <c r="D823" s="306">
        <f t="shared" ca="1" si="356"/>
        <v>-0.80641292978646928</v>
      </c>
      <c r="E823" s="307">
        <f t="shared" ca="1" si="357"/>
        <v>-2.2312815945764166</v>
      </c>
      <c r="F823" s="304">
        <f t="shared" ca="1" si="358"/>
        <v>2.3725343764890474</v>
      </c>
      <c r="G823" s="306">
        <f t="shared" ca="1" si="359"/>
        <v>12.916703428715957</v>
      </c>
      <c r="H823" s="307">
        <f t="shared" ca="1" si="360"/>
        <v>-121.39295575234975</v>
      </c>
      <c r="I823" s="304">
        <f t="shared" ca="1" si="361"/>
        <v>122.07821645878246</v>
      </c>
      <c r="J823" s="306">
        <f t="shared" ca="1" si="362"/>
        <v>874.13727041639572</v>
      </c>
      <c r="K823" s="307">
        <f t="shared" ca="1" si="363"/>
        <v>-4.7986885773630181</v>
      </c>
      <c r="L823" s="304">
        <f t="shared" ca="1" si="348"/>
        <v>874.15044182514112</v>
      </c>
      <c r="M823" s="306">
        <f t="shared" ca="1" si="364"/>
        <v>-1.4647911228269999</v>
      </c>
      <c r="N823" s="304">
        <f t="shared" ca="1" si="365"/>
        <v>-83.926349206216074</v>
      </c>
      <c r="P823" s="310">
        <f t="shared" ca="1" si="366"/>
        <v>23</v>
      </c>
      <c r="Q823" s="304">
        <f t="shared" ca="1" si="367"/>
        <v>0</v>
      </c>
      <c r="R823" s="306">
        <f t="shared" ca="1" si="368"/>
        <v>0</v>
      </c>
      <c r="S823" s="307">
        <f t="shared" ca="1" si="369"/>
        <v>7.8079999999999892</v>
      </c>
      <c r="T823" s="304">
        <f t="shared" ca="1" si="349"/>
        <v>76.5964799999999</v>
      </c>
      <c r="U823" s="311">
        <f t="shared" ca="1" si="350"/>
        <v>0</v>
      </c>
      <c r="V823" s="306">
        <f t="shared" ca="1" si="351"/>
        <v>1.2255879804274752</v>
      </c>
      <c r="W823" s="304">
        <f t="shared" ca="1" si="352"/>
        <v>59.508958499892884</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2.1334319180161083</v>
      </c>
      <c r="AH823" s="304">
        <f t="shared" ca="1" si="376"/>
        <v>-7.6215008024688276</v>
      </c>
    </row>
    <row r="824" spans="1:34" x14ac:dyDescent="0.2">
      <c r="A824" s="347">
        <f t="shared" ca="1" si="354"/>
        <v>1E-4</v>
      </c>
      <c r="B824" s="304">
        <f t="shared" ca="1" si="355"/>
        <v>35.110900000000548</v>
      </c>
      <c r="D824" s="306">
        <f t="shared" ca="1" si="356"/>
        <v>-0.80641028343796062</v>
      </c>
      <c r="E824" s="307">
        <f t="shared" ca="1" si="357"/>
        <v>-2.2312452197367225</v>
      </c>
      <c r="F824" s="304">
        <f t="shared" ca="1" si="358"/>
        <v>2.3724992678254861</v>
      </c>
      <c r="G824" s="306">
        <f t="shared" ca="1" si="359"/>
        <v>12.916622787687613</v>
      </c>
      <c r="H824" s="307">
        <f t="shared" ca="1" si="360"/>
        <v>-121.39317887687173</v>
      </c>
      <c r="I824" s="304">
        <f t="shared" ca="1" si="361"/>
        <v>122.07842979851759</v>
      </c>
      <c r="J824" s="306">
        <f t="shared" ca="1" si="362"/>
        <v>874.13727041639572</v>
      </c>
      <c r="K824" s="307">
        <f t="shared" ca="1" si="363"/>
        <v>-4.8108278840944791</v>
      </c>
      <c r="L824" s="304">
        <f t="shared" ca="1" si="348"/>
        <v>874.15050854870367</v>
      </c>
      <c r="M824" s="306">
        <f t="shared" ca="1" si="364"/>
        <v>-1.4647919730710182</v>
      </c>
      <c r="N824" s="304">
        <f t="shared" ca="1" si="365"/>
        <v>-83.926397921609876</v>
      </c>
      <c r="P824" s="310">
        <f t="shared" ca="1" si="366"/>
        <v>23</v>
      </c>
      <c r="Q824" s="304">
        <f t="shared" ca="1" si="367"/>
        <v>0</v>
      </c>
      <c r="R824" s="306">
        <f t="shared" ca="1" si="368"/>
        <v>0</v>
      </c>
      <c r="S824" s="307">
        <f t="shared" ca="1" si="369"/>
        <v>7.8079999999999892</v>
      </c>
      <c r="T824" s="304">
        <f t="shared" ca="1" si="349"/>
        <v>76.5964799999999</v>
      </c>
      <c r="U824" s="311">
        <f t="shared" ca="1" si="350"/>
        <v>0</v>
      </c>
      <c r="V824" s="306">
        <f t="shared" ca="1" si="351"/>
        <v>1.2255894682073061</v>
      </c>
      <c r="W824" s="304">
        <f t="shared" ca="1" si="352"/>
        <v>59.509238731785146</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2.133396909898666</v>
      </c>
      <c r="AH824" s="304">
        <f t="shared" ca="1" si="376"/>
        <v>-7.6215366931215378</v>
      </c>
    </row>
    <row r="825" spans="1:34" x14ac:dyDescent="0.2">
      <c r="A825" s="347">
        <f t="shared" ca="1" si="354"/>
        <v>1E-4</v>
      </c>
      <c r="B825" s="304">
        <f t="shared" ca="1" si="355"/>
        <v>35.111000000000551</v>
      </c>
      <c r="D825" s="306">
        <f t="shared" ca="1" si="356"/>
        <v>-0.80640763705943652</v>
      </c>
      <c r="E825" s="307">
        <f t="shared" ca="1" si="357"/>
        <v>-2.2312088451987107</v>
      </c>
      <c r="F825" s="304">
        <f t="shared" ca="1" si="358"/>
        <v>2.3724641594765448</v>
      </c>
      <c r="G825" s="306">
        <f t="shared" ca="1" si="359"/>
        <v>12.916542146923907</v>
      </c>
      <c r="H825" s="307">
        <f t="shared" ca="1" si="360"/>
        <v>-121.39340199775624</v>
      </c>
      <c r="I825" s="304">
        <f t="shared" ca="1" si="361"/>
        <v>122.07864313475191</v>
      </c>
      <c r="J825" s="306">
        <f t="shared" ca="1" si="362"/>
        <v>874.13727041639572</v>
      </c>
      <c r="K825" s="307">
        <f t="shared" ca="1" si="363"/>
        <v>-4.8229672131382104</v>
      </c>
      <c r="L825" s="304">
        <f t="shared" ca="1" si="348"/>
        <v>874.1505754409626</v>
      </c>
      <c r="M825" s="306">
        <f t="shared" ca="1" si="364"/>
        <v>-1.4647928233067564</v>
      </c>
      <c r="N825" s="304">
        <f t="shared" ca="1" si="365"/>
        <v>-83.926446636529263</v>
      </c>
      <c r="P825" s="310">
        <f t="shared" ca="1" si="366"/>
        <v>23</v>
      </c>
      <c r="Q825" s="304">
        <f t="shared" ca="1" si="367"/>
        <v>0</v>
      </c>
      <c r="R825" s="306">
        <f t="shared" ca="1" si="368"/>
        <v>0</v>
      </c>
      <c r="S825" s="307">
        <f t="shared" ca="1" si="369"/>
        <v>7.8079999999999892</v>
      </c>
      <c r="T825" s="304">
        <f t="shared" ca="1" si="349"/>
        <v>76.5964799999999</v>
      </c>
      <c r="U825" s="311">
        <f t="shared" ca="1" si="350"/>
        <v>0</v>
      </c>
      <c r="V825" s="306">
        <f t="shared" ca="1" si="351"/>
        <v>1.2255909559916782</v>
      </c>
      <c r="W825" s="304">
        <f t="shared" ca="1" si="352"/>
        <v>59.509518961353315</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2.1333619020632337</v>
      </c>
      <c r="AH825" s="304">
        <f t="shared" ca="1" si="376"/>
        <v>-7.6215725834765919</v>
      </c>
    </row>
    <row r="826" spans="1:34" x14ac:dyDescent="0.2">
      <c r="A826" s="347">
        <f t="shared" ca="1" si="354"/>
        <v>1E-4</v>
      </c>
      <c r="B826" s="304">
        <f t="shared" ca="1" si="355"/>
        <v>35.111100000000555</v>
      </c>
      <c r="D826" s="306">
        <f t="shared" ca="1" si="356"/>
        <v>-0.80640499065090065</v>
      </c>
      <c r="E826" s="307">
        <f t="shared" ca="1" si="357"/>
        <v>-2.2311724709623828</v>
      </c>
      <c r="F826" s="304">
        <f t="shared" ca="1" si="358"/>
        <v>2.3724290514422268</v>
      </c>
      <c r="G826" s="306">
        <f t="shared" ca="1" si="359"/>
        <v>12.916461506424842</v>
      </c>
      <c r="H826" s="307">
        <f t="shared" ca="1" si="360"/>
        <v>-121.39362511500335</v>
      </c>
      <c r="I826" s="304">
        <f t="shared" ca="1" si="361"/>
        <v>122.07885646748549</v>
      </c>
      <c r="J826" s="306">
        <f t="shared" ca="1" si="362"/>
        <v>874.13727041639572</v>
      </c>
      <c r="K826" s="307">
        <f t="shared" ca="1" si="363"/>
        <v>-4.8351065644938487</v>
      </c>
      <c r="L826" s="304">
        <f t="shared" ca="1" si="348"/>
        <v>874.15064250191847</v>
      </c>
      <c r="M826" s="306">
        <f t="shared" ca="1" si="364"/>
        <v>-1.4647936735342151</v>
      </c>
      <c r="N826" s="304">
        <f t="shared" ca="1" si="365"/>
        <v>-83.926495350974278</v>
      </c>
      <c r="P826" s="310">
        <f t="shared" ca="1" si="366"/>
        <v>23</v>
      </c>
      <c r="Q826" s="304">
        <f t="shared" ca="1" si="367"/>
        <v>0</v>
      </c>
      <c r="R826" s="306">
        <f t="shared" ca="1" si="368"/>
        <v>0</v>
      </c>
      <c r="S826" s="307">
        <f t="shared" ca="1" si="369"/>
        <v>7.8079999999999892</v>
      </c>
      <c r="T826" s="304">
        <f t="shared" ca="1" si="349"/>
        <v>76.5964799999999</v>
      </c>
      <c r="U826" s="311">
        <f t="shared" ca="1" si="350"/>
        <v>0</v>
      </c>
      <c r="V826" s="306">
        <f t="shared" ca="1" si="351"/>
        <v>1.2255924437805912</v>
      </c>
      <c r="W826" s="304">
        <f t="shared" ca="1" si="352"/>
        <v>59.50979918859737</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2.1333268945098069</v>
      </c>
      <c r="AH826" s="304">
        <f t="shared" ca="1" si="376"/>
        <v>-7.6216084735339908</v>
      </c>
    </row>
    <row r="827" spans="1:34" x14ac:dyDescent="0.2">
      <c r="A827" s="347">
        <f t="shared" ca="1" si="354"/>
        <v>1E-4</v>
      </c>
      <c r="B827" s="304">
        <f t="shared" ca="1" si="355"/>
        <v>35.111200000000558</v>
      </c>
      <c r="D827" s="306">
        <f t="shared" ca="1" si="356"/>
        <v>-0.80640234421235069</v>
      </c>
      <c r="E827" s="307">
        <f t="shared" ca="1" si="357"/>
        <v>-2.2311360970277399</v>
      </c>
      <c r="F827" s="304">
        <f t="shared" ca="1" si="358"/>
        <v>2.3723939437225323</v>
      </c>
      <c r="G827" s="306">
        <f t="shared" ca="1" si="359"/>
        <v>12.916380866190421</v>
      </c>
      <c r="H827" s="307">
        <f t="shared" ca="1" si="360"/>
        <v>-121.39384822861305</v>
      </c>
      <c r="I827" s="304">
        <f t="shared" ca="1" si="361"/>
        <v>122.07906979671834</v>
      </c>
      <c r="J827" s="306">
        <f t="shared" ca="1" si="362"/>
        <v>874.13727041639572</v>
      </c>
      <c r="K827" s="307">
        <f t="shared" ca="1" si="363"/>
        <v>-4.8472459381610298</v>
      </c>
      <c r="L827" s="304">
        <f t="shared" ca="1" si="348"/>
        <v>874.15070973157253</v>
      </c>
      <c r="M827" s="306">
        <f t="shared" ca="1" si="364"/>
        <v>-1.4647945237533941</v>
      </c>
      <c r="N827" s="304">
        <f t="shared" ca="1" si="365"/>
        <v>-83.926544064944892</v>
      </c>
      <c r="P827" s="310">
        <f t="shared" ca="1" si="366"/>
        <v>23</v>
      </c>
      <c r="Q827" s="304">
        <f t="shared" ca="1" si="367"/>
        <v>0</v>
      </c>
      <c r="R827" s="306">
        <f t="shared" ca="1" si="368"/>
        <v>0</v>
      </c>
      <c r="S827" s="307">
        <f t="shared" ca="1" si="369"/>
        <v>7.8079999999999892</v>
      </c>
      <c r="T827" s="304">
        <f t="shared" ca="1" si="349"/>
        <v>76.5964799999999</v>
      </c>
      <c r="U827" s="311">
        <f t="shared" ca="1" si="350"/>
        <v>0</v>
      </c>
      <c r="V827" s="306">
        <f t="shared" ca="1" si="351"/>
        <v>1.2255939315740456</v>
      </c>
      <c r="W827" s="304">
        <f t="shared" ca="1" si="352"/>
        <v>59.510079413517367</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2.1332918872383981</v>
      </c>
      <c r="AH827" s="304">
        <f t="shared" ca="1" si="376"/>
        <v>-7.621644363293731</v>
      </c>
    </row>
    <row r="828" spans="1:34" x14ac:dyDescent="0.2">
      <c r="A828" s="347">
        <f t="shared" ca="1" si="354"/>
        <v>1E-4</v>
      </c>
      <c r="B828" s="304">
        <f t="shared" ca="1" si="355"/>
        <v>35.111300000000561</v>
      </c>
      <c r="D828" s="306">
        <f t="shared" ca="1" si="356"/>
        <v>-0.80639969774378928</v>
      </c>
      <c r="E828" s="307">
        <f t="shared" ca="1" si="357"/>
        <v>-2.2310997233947747</v>
      </c>
      <c r="F828" s="304">
        <f t="shared" ca="1" si="358"/>
        <v>2.3723588363174564</v>
      </c>
      <c r="G828" s="306">
        <f t="shared" ca="1" si="359"/>
        <v>12.916300226220647</v>
      </c>
      <c r="H828" s="307">
        <f t="shared" ca="1" si="360"/>
        <v>-121.39407133858539</v>
      </c>
      <c r="I828" s="304">
        <f t="shared" ca="1" si="361"/>
        <v>122.07928312245049</v>
      </c>
      <c r="J828" s="306">
        <f t="shared" ca="1" si="362"/>
        <v>874.13727041639572</v>
      </c>
      <c r="K828" s="307">
        <f t="shared" ca="1" si="363"/>
        <v>-4.8593853341393896</v>
      </c>
      <c r="L828" s="304">
        <f t="shared" ca="1" si="348"/>
        <v>874.15077712992547</v>
      </c>
      <c r="M828" s="306">
        <f t="shared" ca="1" si="364"/>
        <v>-1.4647953739642936</v>
      </c>
      <c r="N828" s="304">
        <f t="shared" ca="1" si="365"/>
        <v>-83.926592778441133</v>
      </c>
      <c r="P828" s="310">
        <f t="shared" ca="1" si="366"/>
        <v>23</v>
      </c>
      <c r="Q828" s="304">
        <f t="shared" ca="1" si="367"/>
        <v>0</v>
      </c>
      <c r="R828" s="306">
        <f t="shared" ca="1" si="368"/>
        <v>0</v>
      </c>
      <c r="S828" s="307">
        <f t="shared" ca="1" si="369"/>
        <v>7.8079999999999892</v>
      </c>
      <c r="T828" s="304">
        <f t="shared" ca="1" si="349"/>
        <v>76.5964799999999</v>
      </c>
      <c r="U828" s="311">
        <f t="shared" ca="1" si="350"/>
        <v>0</v>
      </c>
      <c r="V828" s="306">
        <f t="shared" ca="1" si="351"/>
        <v>1.2255954193720404</v>
      </c>
      <c r="W828" s="304">
        <f t="shared" ca="1" si="352"/>
        <v>59.510359636113222</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2.1332568802489931</v>
      </c>
      <c r="AH828" s="304">
        <f t="shared" ca="1" si="376"/>
        <v>-7.6216802527558212</v>
      </c>
    </row>
    <row r="829" spans="1:34" x14ac:dyDescent="0.2">
      <c r="A829" s="347">
        <f t="shared" ca="1" si="354"/>
        <v>1E-4</v>
      </c>
      <c r="B829" s="304">
        <f t="shared" ca="1" si="355"/>
        <v>35.111400000000565</v>
      </c>
      <c r="D829" s="306">
        <f t="shared" ca="1" si="356"/>
        <v>-0.80639705124521688</v>
      </c>
      <c r="E829" s="307">
        <f t="shared" ca="1" si="357"/>
        <v>-2.2310633500634998</v>
      </c>
      <c r="F829" s="304">
        <f t="shared" ca="1" si="358"/>
        <v>2.3723237292270101</v>
      </c>
      <c r="G829" s="306">
        <f t="shared" ca="1" si="359"/>
        <v>12.916219586515522</v>
      </c>
      <c r="H829" s="307">
        <f t="shared" ca="1" si="360"/>
        <v>-121.39429444492039</v>
      </c>
      <c r="I829" s="304">
        <f t="shared" ca="1" si="361"/>
        <v>122.07949644468196</v>
      </c>
      <c r="J829" s="306">
        <f t="shared" ca="1" si="362"/>
        <v>874.13727041639572</v>
      </c>
      <c r="K829" s="307">
        <f t="shared" ca="1" si="363"/>
        <v>-4.8715247524285648</v>
      </c>
      <c r="L829" s="304">
        <f t="shared" ca="1" si="348"/>
        <v>874.1508446969782</v>
      </c>
      <c r="M829" s="306">
        <f t="shared" ca="1" si="364"/>
        <v>-1.4647962241669137</v>
      </c>
      <c r="N829" s="304">
        <f t="shared" ca="1" si="365"/>
        <v>-83.926641491463002</v>
      </c>
      <c r="P829" s="310">
        <f t="shared" ca="1" si="366"/>
        <v>23</v>
      </c>
      <c r="Q829" s="304">
        <f t="shared" ca="1" si="367"/>
        <v>0</v>
      </c>
      <c r="R829" s="306">
        <f t="shared" ca="1" si="368"/>
        <v>0</v>
      </c>
      <c r="S829" s="307">
        <f t="shared" ca="1" si="369"/>
        <v>7.8079999999999892</v>
      </c>
      <c r="T829" s="304">
        <f t="shared" ca="1" si="349"/>
        <v>76.5964799999999</v>
      </c>
      <c r="U829" s="311">
        <f t="shared" ca="1" si="350"/>
        <v>0</v>
      </c>
      <c r="V829" s="306">
        <f t="shared" ca="1" si="351"/>
        <v>1.225596907174576</v>
      </c>
      <c r="W829" s="304">
        <f t="shared" ca="1" si="352"/>
        <v>59.510639856384984</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2.1332218735416024</v>
      </c>
      <c r="AH829" s="304">
        <f t="shared" ca="1" si="376"/>
        <v>-7.621716141920249</v>
      </c>
    </row>
    <row r="830" spans="1:34" x14ac:dyDescent="0.2">
      <c r="A830" s="347">
        <f t="shared" ca="1" si="354"/>
        <v>1E-4</v>
      </c>
      <c r="B830" s="304">
        <f t="shared" ca="1" si="355"/>
        <v>35.111500000000568</v>
      </c>
      <c r="D830" s="306">
        <f t="shared" ca="1" si="356"/>
        <v>-0.80639440471663404</v>
      </c>
      <c r="E830" s="307">
        <f t="shared" ca="1" si="357"/>
        <v>-2.2310269770339071</v>
      </c>
      <c r="F830" s="304">
        <f t="shared" ca="1" si="358"/>
        <v>2.3722886224511863</v>
      </c>
      <c r="G830" s="306">
        <f t="shared" ca="1" si="359"/>
        <v>12.916138947075051</v>
      </c>
      <c r="H830" s="307">
        <f t="shared" ca="1" si="360"/>
        <v>-121.39451754761809</v>
      </c>
      <c r="I830" s="304">
        <f t="shared" ca="1" si="361"/>
        <v>122.07970976341279</v>
      </c>
      <c r="J830" s="306">
        <f t="shared" ca="1" si="362"/>
        <v>874.13727041639572</v>
      </c>
      <c r="K830" s="307">
        <f t="shared" ca="1" si="363"/>
        <v>-4.8836641930281921</v>
      </c>
      <c r="L830" s="304">
        <f t="shared" ca="1" si="348"/>
        <v>874.15091243273162</v>
      </c>
      <c r="M830" s="306">
        <f t="shared" ca="1" si="364"/>
        <v>-1.4647970743612544</v>
      </c>
      <c r="N830" s="304">
        <f t="shared" ca="1" si="365"/>
        <v>-83.926690204010484</v>
      </c>
      <c r="P830" s="310">
        <f t="shared" ca="1" si="366"/>
        <v>23</v>
      </c>
      <c r="Q830" s="304">
        <f t="shared" ca="1" si="367"/>
        <v>0</v>
      </c>
      <c r="R830" s="306">
        <f t="shared" ca="1" si="368"/>
        <v>0</v>
      </c>
      <c r="S830" s="307">
        <f t="shared" ca="1" si="369"/>
        <v>7.8079999999999892</v>
      </c>
      <c r="T830" s="304">
        <f t="shared" ca="1" si="349"/>
        <v>76.5964799999999</v>
      </c>
      <c r="U830" s="311">
        <f t="shared" ca="1" si="350"/>
        <v>0</v>
      </c>
      <c r="V830" s="306">
        <f t="shared" ca="1" si="351"/>
        <v>1.2255983949816533</v>
      </c>
      <c r="W830" s="304">
        <f t="shared" ca="1" si="352"/>
        <v>59.510920074332681</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2.1331868671162244</v>
      </c>
      <c r="AH830" s="304">
        <f t="shared" ca="1" si="376"/>
        <v>-7.6217520307870217</v>
      </c>
    </row>
    <row r="831" spans="1:34" x14ac:dyDescent="0.2">
      <c r="A831" s="347">
        <f t="shared" ca="1" si="354"/>
        <v>1E-4</v>
      </c>
      <c r="B831" s="304">
        <f t="shared" ca="1" si="355"/>
        <v>35.111600000000571</v>
      </c>
      <c r="D831" s="306">
        <f t="shared" ca="1" si="356"/>
        <v>-0.80639175815804298</v>
      </c>
      <c r="E831" s="307">
        <f t="shared" ca="1" si="357"/>
        <v>-2.2309906043059948</v>
      </c>
      <c r="F831" s="304">
        <f t="shared" ca="1" si="358"/>
        <v>2.3722535159899851</v>
      </c>
      <c r="G831" s="306">
        <f t="shared" ca="1" si="359"/>
        <v>12.916058307899236</v>
      </c>
      <c r="H831" s="307">
        <f t="shared" ca="1" si="360"/>
        <v>-121.39474064667853</v>
      </c>
      <c r="I831" s="304">
        <f t="shared" ca="1" si="361"/>
        <v>122.07992307864302</v>
      </c>
      <c r="J831" s="306">
        <f t="shared" ca="1" si="362"/>
        <v>874.13727041639572</v>
      </c>
      <c r="K831" s="307">
        <f t="shared" ca="1" si="363"/>
        <v>-4.8958036559379066</v>
      </c>
      <c r="L831" s="304">
        <f t="shared" ca="1" si="348"/>
        <v>874.15098033718664</v>
      </c>
      <c r="M831" s="306">
        <f t="shared" ca="1" si="364"/>
        <v>-1.4647979245473162</v>
      </c>
      <c r="N831" s="304">
        <f t="shared" ca="1" si="365"/>
        <v>-83.926738916083622</v>
      </c>
      <c r="P831" s="310">
        <f t="shared" ca="1" si="366"/>
        <v>23</v>
      </c>
      <c r="Q831" s="304">
        <f t="shared" ca="1" si="367"/>
        <v>0</v>
      </c>
      <c r="R831" s="306">
        <f t="shared" ca="1" si="368"/>
        <v>0</v>
      </c>
      <c r="S831" s="307">
        <f t="shared" ca="1" si="369"/>
        <v>7.8079999999999892</v>
      </c>
      <c r="T831" s="304">
        <f t="shared" ca="1" si="349"/>
        <v>76.5964799999999</v>
      </c>
      <c r="U831" s="311">
        <f t="shared" ca="1" si="350"/>
        <v>0</v>
      </c>
      <c r="V831" s="306">
        <f t="shared" ca="1" si="351"/>
        <v>1.225599882793271</v>
      </c>
      <c r="W831" s="304">
        <f t="shared" ca="1" si="352"/>
        <v>59.511200289956257</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2.1331518609728519</v>
      </c>
      <c r="AH831" s="304">
        <f t="shared" ca="1" si="376"/>
        <v>-7.6217879193561426</v>
      </c>
    </row>
    <row r="832" spans="1:34" x14ac:dyDescent="0.2">
      <c r="A832" s="347">
        <f t="shared" ca="1" si="354"/>
        <v>1E-4</v>
      </c>
      <c r="B832" s="304">
        <f t="shared" ca="1" si="355"/>
        <v>35.111700000000575</v>
      </c>
      <c r="D832" s="306">
        <f t="shared" ca="1" si="356"/>
        <v>-0.80638911156944104</v>
      </c>
      <c r="E832" s="307">
        <f t="shared" ca="1" si="357"/>
        <v>-2.2309542318797675</v>
      </c>
      <c r="F832" s="304">
        <f t="shared" ca="1" si="358"/>
        <v>2.37221840984341</v>
      </c>
      <c r="G832" s="306">
        <f t="shared" ca="1" si="359"/>
        <v>12.915977668988079</v>
      </c>
      <c r="H832" s="307">
        <f t="shared" ca="1" si="360"/>
        <v>-121.39496374210172</v>
      </c>
      <c r="I832" s="304">
        <f t="shared" ca="1" si="361"/>
        <v>122.08013639037266</v>
      </c>
      <c r="J832" s="306">
        <f t="shared" ca="1" si="362"/>
        <v>874.13727041639572</v>
      </c>
      <c r="K832" s="307">
        <f t="shared" ca="1" si="363"/>
        <v>-4.9079431411573458</v>
      </c>
      <c r="L832" s="304">
        <f t="shared" ca="1" si="348"/>
        <v>874.15104841034406</v>
      </c>
      <c r="M832" s="306">
        <f t="shared" ca="1" si="364"/>
        <v>-1.4647987747250988</v>
      </c>
      <c r="N832" s="304">
        <f t="shared" ca="1" si="365"/>
        <v>-83.926787627682401</v>
      </c>
      <c r="P832" s="310">
        <f t="shared" ca="1" si="366"/>
        <v>23</v>
      </c>
      <c r="Q832" s="304">
        <f t="shared" ca="1" si="367"/>
        <v>0</v>
      </c>
      <c r="R832" s="306">
        <f t="shared" ca="1" si="368"/>
        <v>0</v>
      </c>
      <c r="S832" s="307">
        <f t="shared" ca="1" si="369"/>
        <v>7.8079999999999892</v>
      </c>
      <c r="T832" s="304">
        <f t="shared" ca="1" si="349"/>
        <v>76.5964799999999</v>
      </c>
      <c r="U832" s="311">
        <f t="shared" ca="1" si="350"/>
        <v>0</v>
      </c>
      <c r="V832" s="306">
        <f t="shared" ca="1" si="351"/>
        <v>1.2256013706094295</v>
      </c>
      <c r="W832" s="304">
        <f t="shared" ca="1" si="352"/>
        <v>59.51148050325574</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2.1331168551114974</v>
      </c>
      <c r="AH832" s="304">
        <f t="shared" ca="1" si="376"/>
        <v>-7.6218238076276048</v>
      </c>
    </row>
    <row r="833" spans="1:34" x14ac:dyDescent="0.2">
      <c r="A833" s="347">
        <f t="shared" ca="1" si="354"/>
        <v>1E-4</v>
      </c>
      <c r="B833" s="304">
        <f t="shared" ca="1" si="355"/>
        <v>35.111800000000578</v>
      </c>
      <c r="D833" s="306">
        <f t="shared" ca="1" si="356"/>
        <v>-0.8063864649508321</v>
      </c>
      <c r="E833" s="307">
        <f t="shared" ca="1" si="357"/>
        <v>-2.2309178597552242</v>
      </c>
      <c r="F833" s="304">
        <f t="shared" ca="1" si="358"/>
        <v>2.3721833040114606</v>
      </c>
      <c r="G833" s="306">
        <f t="shared" ca="1" si="359"/>
        <v>12.915897030341585</v>
      </c>
      <c r="H833" s="307">
        <f t="shared" ca="1" si="360"/>
        <v>-121.39518683388769</v>
      </c>
      <c r="I833" s="304">
        <f t="shared" ca="1" si="361"/>
        <v>122.08034969860172</v>
      </c>
      <c r="J833" s="306">
        <f t="shared" ca="1" si="362"/>
        <v>874.13727041639572</v>
      </c>
      <c r="K833" s="307">
        <f t="shared" ca="1" si="363"/>
        <v>-4.9200826486861455</v>
      </c>
      <c r="L833" s="304">
        <f t="shared" ca="1" si="348"/>
        <v>874.15111665220491</v>
      </c>
      <c r="M833" s="306">
        <f t="shared" ca="1" si="364"/>
        <v>-1.4647996248946025</v>
      </c>
      <c r="N833" s="304">
        <f t="shared" ca="1" si="365"/>
        <v>-83.926836338806837</v>
      </c>
      <c r="P833" s="310">
        <f t="shared" ca="1" si="366"/>
        <v>23</v>
      </c>
      <c r="Q833" s="304">
        <f t="shared" ca="1" si="367"/>
        <v>0</v>
      </c>
      <c r="R833" s="306">
        <f t="shared" ca="1" si="368"/>
        <v>0</v>
      </c>
      <c r="S833" s="307">
        <f t="shared" ca="1" si="369"/>
        <v>7.8079999999999892</v>
      </c>
      <c r="T833" s="304">
        <f t="shared" ca="1" si="349"/>
        <v>76.5964799999999</v>
      </c>
      <c r="U833" s="311">
        <f t="shared" ca="1" si="350"/>
        <v>0</v>
      </c>
      <c r="V833" s="306">
        <f t="shared" ca="1" si="351"/>
        <v>1.2256028584301291</v>
      </c>
      <c r="W833" s="304">
        <f t="shared" ca="1" si="352"/>
        <v>59.511760714231116</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2.133081849532152</v>
      </c>
      <c r="AH833" s="304">
        <f t="shared" ca="1" si="376"/>
        <v>-7.6218596956014117</v>
      </c>
    </row>
    <row r="834" spans="1:34" x14ac:dyDescent="0.2">
      <c r="A834" s="347">
        <f t="shared" ca="1" si="354"/>
        <v>1E-4</v>
      </c>
      <c r="B834" s="304">
        <f t="shared" ca="1" si="355"/>
        <v>35.111900000000581</v>
      </c>
      <c r="D834" s="306">
        <f t="shared" ca="1" si="356"/>
        <v>-0.80638381830221584</v>
      </c>
      <c r="E834" s="307">
        <f t="shared" ca="1" si="357"/>
        <v>-2.2308814879323648</v>
      </c>
      <c r="F834" s="304">
        <f t="shared" ca="1" si="358"/>
        <v>2.3721481984941377</v>
      </c>
      <c r="G834" s="306">
        <f t="shared" ca="1" si="359"/>
        <v>12.915816391959755</v>
      </c>
      <c r="H834" s="307">
        <f t="shared" ca="1" si="360"/>
        <v>-121.39540992203649</v>
      </c>
      <c r="I834" s="304">
        <f t="shared" ca="1" si="361"/>
        <v>122.08056300333028</v>
      </c>
      <c r="J834" s="306">
        <f t="shared" ca="1" si="362"/>
        <v>874.13727041639572</v>
      </c>
      <c r="K834" s="307">
        <f t="shared" ca="1" si="363"/>
        <v>-4.9322221785239417</v>
      </c>
      <c r="L834" s="304">
        <f t="shared" ca="1" si="348"/>
        <v>874.15118506277008</v>
      </c>
      <c r="M834" s="306">
        <f t="shared" ca="1" si="364"/>
        <v>-1.4648004750558272</v>
      </c>
      <c r="N834" s="304">
        <f t="shared" ca="1" si="365"/>
        <v>-83.926885049456914</v>
      </c>
      <c r="P834" s="310">
        <f t="shared" ca="1" si="366"/>
        <v>23</v>
      </c>
      <c r="Q834" s="304">
        <f t="shared" ca="1" si="367"/>
        <v>0</v>
      </c>
      <c r="R834" s="306">
        <f t="shared" ca="1" si="368"/>
        <v>0</v>
      </c>
      <c r="S834" s="307">
        <f t="shared" ca="1" si="369"/>
        <v>7.8079999999999892</v>
      </c>
      <c r="T834" s="304">
        <f t="shared" ca="1" si="349"/>
        <v>76.5964799999999</v>
      </c>
      <c r="U834" s="311">
        <f t="shared" ca="1" si="350"/>
        <v>0</v>
      </c>
      <c r="V834" s="306">
        <f t="shared" ca="1" si="351"/>
        <v>1.2256043462553694</v>
      </c>
      <c r="W834" s="304">
        <f t="shared" ca="1" si="352"/>
        <v>59.51204092288242</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2.1330468442348209</v>
      </c>
      <c r="AH834" s="304">
        <f t="shared" ca="1" si="376"/>
        <v>-7.6218955832775617</v>
      </c>
    </row>
    <row r="835" spans="1:34" x14ac:dyDescent="0.2">
      <c r="A835" s="347">
        <f t="shared" ca="1" si="354"/>
        <v>1E-4</v>
      </c>
      <c r="B835" s="304">
        <f t="shared" ca="1" si="355"/>
        <v>35.112000000000585</v>
      </c>
      <c r="D835" s="306">
        <f t="shared" ca="1" si="356"/>
        <v>-0.80638117162359435</v>
      </c>
      <c r="E835" s="307">
        <f t="shared" ca="1" si="357"/>
        <v>-2.230845116411186</v>
      </c>
      <c r="F835" s="304">
        <f t="shared" ca="1" si="358"/>
        <v>2.3721130932914392</v>
      </c>
      <c r="G835" s="306">
        <f t="shared" ca="1" si="359"/>
        <v>12.915735753842592</v>
      </c>
      <c r="H835" s="307">
        <f t="shared" ca="1" si="360"/>
        <v>-121.39563300654814</v>
      </c>
      <c r="I835" s="304">
        <f t="shared" ca="1" si="361"/>
        <v>122.08077630455833</v>
      </c>
      <c r="J835" s="306">
        <f t="shared" ca="1" si="362"/>
        <v>874.13727041639572</v>
      </c>
      <c r="K835" s="307">
        <f t="shared" ca="1" si="363"/>
        <v>-4.9443617306703711</v>
      </c>
      <c r="L835" s="304">
        <f t="shared" ca="1" si="348"/>
        <v>874.15125364204027</v>
      </c>
      <c r="M835" s="306">
        <f t="shared" ca="1" si="364"/>
        <v>-1.4648013252087735</v>
      </c>
      <c r="N835" s="304">
        <f t="shared" ca="1" si="365"/>
        <v>-83.926933759632675</v>
      </c>
      <c r="P835" s="310">
        <f t="shared" ca="1" si="366"/>
        <v>23</v>
      </c>
      <c r="Q835" s="304">
        <f t="shared" ca="1" si="367"/>
        <v>0</v>
      </c>
      <c r="R835" s="306">
        <f t="shared" ca="1" si="368"/>
        <v>0</v>
      </c>
      <c r="S835" s="307">
        <f t="shared" ca="1" si="369"/>
        <v>7.8079999999999892</v>
      </c>
      <c r="T835" s="304">
        <f t="shared" ca="1" si="349"/>
        <v>76.5964799999999</v>
      </c>
      <c r="U835" s="311">
        <f t="shared" ca="1" si="350"/>
        <v>0</v>
      </c>
      <c r="V835" s="306">
        <f t="shared" ca="1" si="351"/>
        <v>1.2256058340851506</v>
      </c>
      <c r="W835" s="304">
        <f t="shared" ca="1" si="352"/>
        <v>59.51232112920961</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2.133011839219499</v>
      </c>
      <c r="AH835" s="304">
        <f t="shared" ca="1" si="376"/>
        <v>-7.6219314706560581</v>
      </c>
    </row>
    <row r="836" spans="1:34" x14ac:dyDescent="0.2">
      <c r="A836" s="347">
        <f t="shared" ca="1" si="354"/>
        <v>1E-4</v>
      </c>
      <c r="B836" s="304">
        <f t="shared" ca="1" si="355"/>
        <v>35.112100000000588</v>
      </c>
      <c r="D836" s="306">
        <f t="shared" ca="1" si="356"/>
        <v>-0.80637852491496542</v>
      </c>
      <c r="E836" s="307">
        <f t="shared" ca="1" si="357"/>
        <v>-2.2308087451916929</v>
      </c>
      <c r="F836" s="304">
        <f t="shared" ca="1" si="358"/>
        <v>2.3720779884033685</v>
      </c>
      <c r="G836" s="306">
        <f t="shared" ca="1" si="359"/>
        <v>12.9156551159901</v>
      </c>
      <c r="H836" s="307">
        <f t="shared" ca="1" si="360"/>
        <v>-121.39585608742266</v>
      </c>
      <c r="I836" s="304">
        <f t="shared" ca="1" si="361"/>
        <v>122.08098960228588</v>
      </c>
      <c r="J836" s="306">
        <f t="shared" ca="1" si="362"/>
        <v>874.13727041639572</v>
      </c>
      <c r="K836" s="307">
        <f t="shared" ca="1" si="363"/>
        <v>-4.9565013051250695</v>
      </c>
      <c r="L836" s="304">
        <f t="shared" ref="L836:L899" ca="1" si="377">SQRT(pos_x^2+pos_z^2)</f>
        <v>874.1513223900165</v>
      </c>
      <c r="M836" s="306">
        <f t="shared" ca="1" si="364"/>
        <v>-1.464802175353441</v>
      </c>
      <c r="N836" s="304">
        <f t="shared" ca="1" si="365"/>
        <v>-83.926982469334106</v>
      </c>
      <c r="P836" s="310">
        <f t="shared" ca="1" si="366"/>
        <v>23</v>
      </c>
      <c r="Q836" s="304">
        <f t="shared" ca="1" si="367"/>
        <v>0</v>
      </c>
      <c r="R836" s="306">
        <f t="shared" ca="1" si="368"/>
        <v>0</v>
      </c>
      <c r="S836" s="307">
        <f t="shared" ca="1" si="369"/>
        <v>7.8079999999999892</v>
      </c>
      <c r="T836" s="304">
        <f t="shared" ref="T836:T899" ca="1" si="378">m*g</f>
        <v>76.5964799999999</v>
      </c>
      <c r="U836" s="311">
        <f t="shared" ref="U836:U899" ca="1" si="379">IF(pos_xz&lt;L_rampe,Poids*COS(Beta),0)</f>
        <v>0</v>
      </c>
      <c r="V836" s="306">
        <f t="shared" ref="V836:V899" ca="1" si="380">Rho_moyen*(20000-Alt_rampe-pos_z)/(20000+Alt_rampe+pos_z)</f>
        <v>1.2256073219194723</v>
      </c>
      <c r="W836" s="304">
        <f t="shared" ref="W836:W899" ca="1" si="381">1/2*Rho*Sref*Cx*vit_xz^2</f>
        <v>59.512601333212658</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2.1329768344861924</v>
      </c>
      <c r="AH836" s="304">
        <f t="shared" ca="1" si="376"/>
        <v>-7.6219673577368967</v>
      </c>
    </row>
    <row r="837" spans="1:34" x14ac:dyDescent="0.2">
      <c r="A837" s="347">
        <f t="shared" ref="A837:A900" ca="1" si="383">IF(B836+0.01&lt;=T_ini+ROUNDUP(Temps_fin_propu,0), 0.01, IF(K836&gt;0, 0.1, 0.0001))</f>
        <v>1E-4</v>
      </c>
      <c r="B837" s="304">
        <f t="shared" ref="B837:B900" ca="1" si="384">B836+pas</f>
        <v>35.112200000000591</v>
      </c>
      <c r="D837" s="306">
        <f t="shared" ref="D837:D900" ca="1" si="385">IF(AND(L836&lt;L_rampe,Poussee&lt;Poids*SIN(M836)),0,(-W836+Poussee)/m*COS(M836)-U836/m*SIN(M836))</f>
        <v>-0.80637587817633205</v>
      </c>
      <c r="E837" s="307">
        <f t="shared" ref="E837:E900" ca="1" si="386">IF(AND(L836&lt;L_rampe,Poussee&lt;Poids*SIN(M836)),0,(-W836+Poussee)/m*SIN(M836)+U836/m*COS(M836)-Poids/m)</f>
        <v>-2.2307723742738874</v>
      </c>
      <c r="F837" s="304">
        <f t="shared" ref="F837:F900" ca="1" si="387">SQRT(acc_x^2+acc_z^2)</f>
        <v>2.3720428838299292</v>
      </c>
      <c r="G837" s="306">
        <f t="shared" ref="G837:G900" ca="1" si="388">G836+acc_x*pas</f>
        <v>12.915574478402283</v>
      </c>
      <c r="H837" s="307">
        <f t="shared" ref="H837:H900" ca="1" si="389">H836+acc_z*pas</f>
        <v>-121.39607916466008</v>
      </c>
      <c r="I837" s="304">
        <f t="shared" ref="I837:I900" ca="1" si="390">SQRT(vit_x^2+vit_z^2)</f>
        <v>122.08120289651299</v>
      </c>
      <c r="J837" s="306">
        <f t="shared" ref="J837:J900" ca="1" si="391">J836+0.5*(vit_x+G836)*pas*(K836&gt;=0)</f>
        <v>874.13727041639572</v>
      </c>
      <c r="K837" s="307">
        <f t="shared" ref="K837:K900" ca="1" si="392">K836+0.5*(vit_z+H836)*pas</f>
        <v>-4.9686409018876736</v>
      </c>
      <c r="L837" s="304">
        <f t="shared" ca="1" si="377"/>
        <v>874.15139130669968</v>
      </c>
      <c r="M837" s="306">
        <f t="shared" ref="M837:M900" ca="1" si="393">IF(AND(L836&gt;L_rampe,G837&gt;0),ATAN2(G837,H837),$M$4)</f>
        <v>-1.4648030254898303</v>
      </c>
      <c r="N837" s="304">
        <f t="shared" ref="N837:N900" ca="1" si="394">DEGREES(Beta)</f>
        <v>-83.927031178561222</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7.8079999999999892</v>
      </c>
      <c r="T837" s="304">
        <f t="shared" ca="1" si="378"/>
        <v>76.5964799999999</v>
      </c>
      <c r="U837" s="311">
        <f t="shared" ca="1" si="379"/>
        <v>0</v>
      </c>
      <c r="V837" s="306">
        <f t="shared" ca="1" si="380"/>
        <v>1.2256088097583346</v>
      </c>
      <c r="W837" s="304">
        <f t="shared" ca="1" si="381"/>
        <v>59.512881534891626</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2.1329418300349055</v>
      </c>
      <c r="AH837" s="304">
        <f t="shared" ref="AH837:AH900" ca="1" si="405">IF(AND(L836&lt;L_rampe,Poussee&lt;Poids*SIN(M836)), g*SIN(M836), (-W836+Poussee)/m)</f>
        <v>-7.6220032445200747</v>
      </c>
    </row>
    <row r="838" spans="1:34" x14ac:dyDescent="0.2">
      <c r="A838" s="347">
        <f t="shared" ca="1" si="383"/>
        <v>1E-4</v>
      </c>
      <c r="B838" s="304">
        <f t="shared" ca="1" si="384"/>
        <v>35.112300000000594</v>
      </c>
      <c r="D838" s="306">
        <f t="shared" ca="1" si="385"/>
        <v>-0.80637323140769335</v>
      </c>
      <c r="E838" s="307">
        <f t="shared" ca="1" si="386"/>
        <v>-2.2307360036577633</v>
      </c>
      <c r="F838" s="304">
        <f t="shared" ca="1" si="387"/>
        <v>2.3720077795711156</v>
      </c>
      <c r="G838" s="306">
        <f t="shared" ca="1" si="388"/>
        <v>12.915493841079142</v>
      </c>
      <c r="H838" s="307">
        <f t="shared" ca="1" si="389"/>
        <v>-121.39630223826045</v>
      </c>
      <c r="I838" s="304">
        <f t="shared" ca="1" si="390"/>
        <v>122.0814161872397</v>
      </c>
      <c r="J838" s="306">
        <f t="shared" ca="1" si="391"/>
        <v>874.13727041639572</v>
      </c>
      <c r="K838" s="307">
        <f t="shared" ca="1" si="392"/>
        <v>-4.9807805209578193</v>
      </c>
      <c r="L838" s="304">
        <f t="shared" ca="1" si="377"/>
        <v>874.1514603920906</v>
      </c>
      <c r="M838" s="306">
        <f t="shared" ca="1" si="393"/>
        <v>-1.4648038756179411</v>
      </c>
      <c r="N838" s="304">
        <f t="shared" ca="1" si="394"/>
        <v>-83.927079887314022</v>
      </c>
      <c r="P838" s="310">
        <f t="shared" ca="1" si="395"/>
        <v>23</v>
      </c>
      <c r="Q838" s="304">
        <f t="shared" ca="1" si="396"/>
        <v>0</v>
      </c>
      <c r="R838" s="306">
        <f t="shared" ca="1" si="397"/>
        <v>0</v>
      </c>
      <c r="S838" s="307">
        <f t="shared" ca="1" si="398"/>
        <v>7.8079999999999892</v>
      </c>
      <c r="T838" s="304">
        <f t="shared" ca="1" si="378"/>
        <v>76.5964799999999</v>
      </c>
      <c r="U838" s="311">
        <f t="shared" ca="1" si="379"/>
        <v>0</v>
      </c>
      <c r="V838" s="306">
        <f t="shared" ca="1" si="380"/>
        <v>1.2256102976017376</v>
      </c>
      <c r="W838" s="304">
        <f t="shared" ca="1" si="381"/>
        <v>59.513161734246488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2.1329068258656285</v>
      </c>
      <c r="AH838" s="304">
        <f t="shared" ca="1" si="405"/>
        <v>-7.6220391310055984</v>
      </c>
    </row>
    <row r="839" spans="1:34" x14ac:dyDescent="0.2">
      <c r="A839" s="347">
        <f t="shared" ca="1" si="383"/>
        <v>1E-4</v>
      </c>
      <c r="B839" s="304">
        <f t="shared" ca="1" si="384"/>
        <v>35.112400000000598</v>
      </c>
      <c r="D839" s="306">
        <f t="shared" ca="1" si="385"/>
        <v>-0.80637058460905209</v>
      </c>
      <c r="E839" s="307">
        <f t="shared" ca="1" si="386"/>
        <v>-2.2306996333433258</v>
      </c>
      <c r="F839" s="304">
        <f t="shared" ca="1" si="387"/>
        <v>2.371972675626933</v>
      </c>
      <c r="G839" s="306">
        <f t="shared" ca="1" si="388"/>
        <v>12.91541320402068</v>
      </c>
      <c r="H839" s="307">
        <f t="shared" ca="1" si="389"/>
        <v>-121.39652530822379</v>
      </c>
      <c r="I839" s="304">
        <f t="shared" ca="1" si="390"/>
        <v>122.08162947446603</v>
      </c>
      <c r="J839" s="306">
        <f t="shared" ca="1" si="391"/>
        <v>874.13727041639572</v>
      </c>
      <c r="K839" s="307">
        <f t="shared" ca="1" si="392"/>
        <v>-4.9929201623351434</v>
      </c>
      <c r="L839" s="304">
        <f t="shared" ca="1" si="377"/>
        <v>874.15152964619028</v>
      </c>
      <c r="M839" s="306">
        <f t="shared" ca="1" si="393"/>
        <v>-1.4648047257377739</v>
      </c>
      <c r="N839" s="304">
        <f t="shared" ca="1" si="394"/>
        <v>-83.927128595592521</v>
      </c>
      <c r="P839" s="310">
        <f t="shared" ca="1" si="395"/>
        <v>23</v>
      </c>
      <c r="Q839" s="304">
        <f t="shared" ca="1" si="396"/>
        <v>0</v>
      </c>
      <c r="R839" s="306">
        <f t="shared" ca="1" si="397"/>
        <v>0</v>
      </c>
      <c r="S839" s="307">
        <f t="shared" ca="1" si="398"/>
        <v>7.8079999999999892</v>
      </c>
      <c r="T839" s="304">
        <f t="shared" ca="1" si="378"/>
        <v>76.5964799999999</v>
      </c>
      <c r="U839" s="311">
        <f t="shared" ca="1" si="379"/>
        <v>0</v>
      </c>
      <c r="V839" s="306">
        <f t="shared" ca="1" si="380"/>
        <v>1.2256117854496815</v>
      </c>
      <c r="W839" s="304">
        <f t="shared" ca="1" si="381"/>
        <v>59.513441931277271</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2.1328718219783687</v>
      </c>
      <c r="AH839" s="304">
        <f t="shared" ca="1" si="405"/>
        <v>-7.6220750171934641</v>
      </c>
    </row>
    <row r="840" spans="1:34" x14ac:dyDescent="0.2">
      <c r="A840" s="347">
        <f t="shared" ca="1" si="383"/>
        <v>1E-4</v>
      </c>
      <c r="B840" s="304">
        <f t="shared" ca="1" si="384"/>
        <v>35.112500000000601</v>
      </c>
      <c r="D840" s="306">
        <f t="shared" ca="1" si="385"/>
        <v>-0.80636793778040727</v>
      </c>
      <c r="E840" s="307">
        <f t="shared" ca="1" si="386"/>
        <v>-2.2306632633305679</v>
      </c>
      <c r="F840" s="304">
        <f t="shared" ca="1" si="387"/>
        <v>2.3719375719973756</v>
      </c>
      <c r="G840" s="306">
        <f t="shared" ca="1" si="388"/>
        <v>12.915332567226903</v>
      </c>
      <c r="H840" s="307">
        <f t="shared" ca="1" si="389"/>
        <v>-121.39674837455011</v>
      </c>
      <c r="I840" s="304">
        <f t="shared" ca="1" si="390"/>
        <v>122.08184275819197</v>
      </c>
      <c r="J840" s="306">
        <f t="shared" ca="1" si="391"/>
        <v>874.13727041639572</v>
      </c>
      <c r="K840" s="307">
        <f t="shared" ca="1" si="392"/>
        <v>-5.0050598260192825</v>
      </c>
      <c r="L840" s="304">
        <f t="shared" ca="1" si="377"/>
        <v>874.15159906899953</v>
      </c>
      <c r="M840" s="306">
        <f t="shared" ca="1" si="393"/>
        <v>-1.4648055758493286</v>
      </c>
      <c r="N840" s="304">
        <f t="shared" ca="1" si="394"/>
        <v>-83.927177303396718</v>
      </c>
      <c r="P840" s="310">
        <f t="shared" ca="1" si="395"/>
        <v>23</v>
      </c>
      <c r="Q840" s="304">
        <f t="shared" ca="1" si="396"/>
        <v>0</v>
      </c>
      <c r="R840" s="306">
        <f t="shared" ca="1" si="397"/>
        <v>0</v>
      </c>
      <c r="S840" s="307">
        <f t="shared" ca="1" si="398"/>
        <v>7.8079999999999892</v>
      </c>
      <c r="T840" s="304">
        <f t="shared" ca="1" si="378"/>
        <v>76.5964799999999</v>
      </c>
      <c r="U840" s="311">
        <f t="shared" ca="1" si="379"/>
        <v>0</v>
      </c>
      <c r="V840" s="306">
        <f t="shared" ca="1" si="380"/>
        <v>1.2256132733021659</v>
      </c>
      <c r="W840" s="304">
        <f t="shared" ca="1" si="381"/>
        <v>59.513722125983918</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2.1328368183731206</v>
      </c>
      <c r="AH840" s="304">
        <f t="shared" ca="1" si="405"/>
        <v>-7.6221109030836773</v>
      </c>
    </row>
    <row r="841" spans="1:34" x14ac:dyDescent="0.2">
      <c r="A841" s="347">
        <f t="shared" ca="1" si="383"/>
        <v>1E-4</v>
      </c>
      <c r="B841" s="304">
        <f t="shared" ca="1" si="384"/>
        <v>35.112600000000604</v>
      </c>
      <c r="D841" s="306">
        <f t="shared" ca="1" si="385"/>
        <v>-0.80636529092175946</v>
      </c>
      <c r="E841" s="307">
        <f t="shared" ca="1" si="386"/>
        <v>-2.2306268936194984</v>
      </c>
      <c r="F841" s="304">
        <f t="shared" ca="1" si="387"/>
        <v>2.3719024686824515</v>
      </c>
      <c r="G841" s="306">
        <f t="shared" ca="1" si="388"/>
        <v>12.915251930697812</v>
      </c>
      <c r="H841" s="307">
        <f t="shared" ca="1" si="389"/>
        <v>-121.39697143723947</v>
      </c>
      <c r="I841" s="304">
        <f t="shared" ca="1" si="390"/>
        <v>122.08205603841758</v>
      </c>
      <c r="J841" s="306">
        <f t="shared" ca="1" si="391"/>
        <v>874.13727041639572</v>
      </c>
      <c r="K841" s="307">
        <f t="shared" ca="1" si="392"/>
        <v>-5.0171995120098716</v>
      </c>
      <c r="L841" s="304">
        <f t="shared" ca="1" si="377"/>
        <v>874.15166866051925</v>
      </c>
      <c r="M841" s="306">
        <f t="shared" ca="1" si="393"/>
        <v>-1.464806425952605</v>
      </c>
      <c r="N841" s="304">
        <f t="shared" ca="1" si="394"/>
        <v>-83.927226010726599</v>
      </c>
      <c r="P841" s="310">
        <f t="shared" ca="1" si="395"/>
        <v>23</v>
      </c>
      <c r="Q841" s="304">
        <f t="shared" ca="1" si="396"/>
        <v>0</v>
      </c>
      <c r="R841" s="306">
        <f t="shared" ca="1" si="397"/>
        <v>0</v>
      </c>
      <c r="S841" s="307">
        <f t="shared" ca="1" si="398"/>
        <v>7.8079999999999892</v>
      </c>
      <c r="T841" s="304">
        <f t="shared" ca="1" si="378"/>
        <v>76.5964799999999</v>
      </c>
      <c r="U841" s="311">
        <f t="shared" ca="1" si="379"/>
        <v>0</v>
      </c>
      <c r="V841" s="306">
        <f t="shared" ca="1" si="380"/>
        <v>1.2256147611591908</v>
      </c>
      <c r="W841" s="304">
        <f t="shared" ca="1" si="381"/>
        <v>59.514002318366458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2.1328018150498922</v>
      </c>
      <c r="AH841" s="304">
        <f t="shared" ca="1" si="405"/>
        <v>-7.62214678867623</v>
      </c>
    </row>
    <row r="842" spans="1:34" x14ac:dyDescent="0.2">
      <c r="A842" s="347">
        <f t="shared" ca="1" si="383"/>
        <v>1E-4</v>
      </c>
      <c r="B842" s="304">
        <f t="shared" ca="1" si="384"/>
        <v>35.112700000000608</v>
      </c>
      <c r="D842" s="306">
        <f t="shared" ca="1" si="385"/>
        <v>-0.80636264403311275</v>
      </c>
      <c r="E842" s="307">
        <f t="shared" ca="1" si="386"/>
        <v>-2.2305905242101138</v>
      </c>
      <c r="F842" s="304">
        <f t="shared" ca="1" si="387"/>
        <v>2.3718673656821587</v>
      </c>
      <c r="G842" s="306">
        <f t="shared" ca="1" si="388"/>
        <v>12.915171294433408</v>
      </c>
      <c r="H842" s="307">
        <f t="shared" ca="1" si="389"/>
        <v>-121.39719449629189</v>
      </c>
      <c r="I842" s="304">
        <f t="shared" ca="1" si="390"/>
        <v>122.0822693151429</v>
      </c>
      <c r="J842" s="306">
        <f t="shared" ca="1" si="391"/>
        <v>874.13727041639572</v>
      </c>
      <c r="K842" s="307">
        <f t="shared" ca="1" si="392"/>
        <v>-5.0293392203065483</v>
      </c>
      <c r="L842" s="304">
        <f t="shared" ca="1" si="377"/>
        <v>874.15173842075035</v>
      </c>
      <c r="M842" s="306">
        <f t="shared" ca="1" si="393"/>
        <v>-1.4648072760476039</v>
      </c>
      <c r="N842" s="304">
        <f t="shared" ca="1" si="394"/>
        <v>-83.927274717582222</v>
      </c>
      <c r="P842" s="310">
        <f t="shared" ca="1" si="395"/>
        <v>23</v>
      </c>
      <c r="Q842" s="304">
        <f t="shared" ca="1" si="396"/>
        <v>0</v>
      </c>
      <c r="R842" s="306">
        <f t="shared" ca="1" si="397"/>
        <v>0</v>
      </c>
      <c r="S842" s="307">
        <f t="shared" ca="1" si="398"/>
        <v>7.8079999999999892</v>
      </c>
      <c r="T842" s="304">
        <f t="shared" ca="1" si="378"/>
        <v>76.5964799999999</v>
      </c>
      <c r="U842" s="311">
        <f t="shared" ca="1" si="379"/>
        <v>0</v>
      </c>
      <c r="V842" s="306">
        <f t="shared" ca="1" si="380"/>
        <v>1.2256162490207561</v>
      </c>
      <c r="W842" s="304">
        <f t="shared" ca="1" si="381"/>
        <v>59.514282508424905</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2.1327668120086791</v>
      </c>
      <c r="AH842" s="304">
        <f t="shared" ca="1" si="405"/>
        <v>-7.6221826739711247</v>
      </c>
    </row>
    <row r="843" spans="1:34" x14ac:dyDescent="0.2">
      <c r="A843" s="347">
        <f t="shared" ca="1" si="383"/>
        <v>1E-4</v>
      </c>
      <c r="B843" s="304">
        <f t="shared" ca="1" si="384"/>
        <v>35.112800000000611</v>
      </c>
      <c r="D843" s="306">
        <f t="shared" ca="1" si="385"/>
        <v>-0.80635999711446349</v>
      </c>
      <c r="E843" s="307">
        <f t="shared" ca="1" si="386"/>
        <v>-2.2305541551024115</v>
      </c>
      <c r="F843" s="304">
        <f t="shared" ca="1" si="387"/>
        <v>2.3718322629964939</v>
      </c>
      <c r="G843" s="306">
        <f t="shared" ca="1" si="388"/>
        <v>12.915090658433696</v>
      </c>
      <c r="H843" s="307">
        <f t="shared" ca="1" si="389"/>
        <v>-121.39741755170739</v>
      </c>
      <c r="I843" s="304">
        <f t="shared" ca="1" si="390"/>
        <v>122.08248258836791</v>
      </c>
      <c r="J843" s="306">
        <f t="shared" ca="1" si="391"/>
        <v>874.13727041639572</v>
      </c>
      <c r="K843" s="307">
        <f t="shared" ca="1" si="392"/>
        <v>-5.0414789509089486</v>
      </c>
      <c r="L843" s="304">
        <f t="shared" ca="1" si="377"/>
        <v>874.15180834969351</v>
      </c>
      <c r="M843" s="306">
        <f t="shared" ca="1" si="393"/>
        <v>-1.4648081261343249</v>
      </c>
      <c r="N843" s="304">
        <f t="shared" ca="1" si="394"/>
        <v>-83.927323423963557</v>
      </c>
      <c r="P843" s="310">
        <f t="shared" ca="1" si="395"/>
        <v>23</v>
      </c>
      <c r="Q843" s="304">
        <f t="shared" ca="1" si="396"/>
        <v>0</v>
      </c>
      <c r="R843" s="306">
        <f t="shared" ca="1" si="397"/>
        <v>0</v>
      </c>
      <c r="S843" s="307">
        <f t="shared" ca="1" si="398"/>
        <v>7.8079999999999892</v>
      </c>
      <c r="T843" s="304">
        <f t="shared" ca="1" si="378"/>
        <v>76.5964799999999</v>
      </c>
      <c r="U843" s="311">
        <f t="shared" ca="1" si="379"/>
        <v>0</v>
      </c>
      <c r="V843" s="306">
        <f t="shared" ca="1" si="380"/>
        <v>1.2256177368868619</v>
      </c>
      <c r="W843" s="304">
        <f t="shared" ca="1" si="381"/>
        <v>59.51456269615921</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2.132731809249484</v>
      </c>
      <c r="AH843" s="304">
        <f t="shared" ca="1" si="405"/>
        <v>-7.6222185589683642</v>
      </c>
    </row>
    <row r="844" spans="1:34" x14ac:dyDescent="0.2">
      <c r="A844" s="347">
        <f t="shared" ca="1" si="383"/>
        <v>1E-4</v>
      </c>
      <c r="B844" s="304">
        <f t="shared" ca="1" si="384"/>
        <v>35.112900000000614</v>
      </c>
      <c r="D844" s="306">
        <f t="shared" ca="1" si="385"/>
        <v>-0.80635735016581467</v>
      </c>
      <c r="E844" s="307">
        <f t="shared" ca="1" si="386"/>
        <v>-2.2305177862963985</v>
      </c>
      <c r="F844" s="304">
        <f t="shared" ca="1" si="387"/>
        <v>2.3717971606254658</v>
      </c>
      <c r="G844" s="306">
        <f t="shared" ca="1" si="388"/>
        <v>12.915010022698679</v>
      </c>
      <c r="H844" s="307">
        <f t="shared" ca="1" si="389"/>
        <v>-121.39764060348602</v>
      </c>
      <c r="I844" s="304">
        <f t="shared" ca="1" si="390"/>
        <v>122.08269585809271</v>
      </c>
      <c r="J844" s="306">
        <f t="shared" ca="1" si="391"/>
        <v>874.13727041639572</v>
      </c>
      <c r="K844" s="307">
        <f t="shared" ca="1" si="392"/>
        <v>-5.0536187038167082</v>
      </c>
      <c r="L844" s="304">
        <f t="shared" ca="1" si="377"/>
        <v>874.15187844734999</v>
      </c>
      <c r="M844" s="306">
        <f t="shared" ca="1" si="393"/>
        <v>-1.4648089762127683</v>
      </c>
      <c r="N844" s="304">
        <f t="shared" ca="1" si="394"/>
        <v>-83.927372129870619</v>
      </c>
      <c r="P844" s="310">
        <f t="shared" ca="1" si="395"/>
        <v>23</v>
      </c>
      <c r="Q844" s="304">
        <f t="shared" ca="1" si="396"/>
        <v>0</v>
      </c>
      <c r="R844" s="306">
        <f t="shared" ca="1" si="397"/>
        <v>0</v>
      </c>
      <c r="S844" s="307">
        <f t="shared" ca="1" si="398"/>
        <v>7.8079999999999892</v>
      </c>
      <c r="T844" s="304">
        <f t="shared" ca="1" si="378"/>
        <v>76.5964799999999</v>
      </c>
      <c r="U844" s="311">
        <f t="shared" ca="1" si="379"/>
        <v>0</v>
      </c>
      <c r="V844" s="306">
        <f t="shared" ca="1" si="380"/>
        <v>1.2256192247575084</v>
      </c>
      <c r="W844" s="304">
        <f t="shared" ca="1" si="381"/>
        <v>59.51484288156945</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2.1326968067723078</v>
      </c>
      <c r="AH844" s="304">
        <f t="shared" ca="1" si="405"/>
        <v>-7.6222544436679422</v>
      </c>
    </row>
    <row r="845" spans="1:34" x14ac:dyDescent="0.2">
      <c r="A845" s="347">
        <f t="shared" ca="1" si="383"/>
        <v>1E-4</v>
      </c>
      <c r="B845" s="304">
        <f t="shared" ca="1" si="384"/>
        <v>35.113000000000618</v>
      </c>
      <c r="D845" s="306">
        <f t="shared" ca="1" si="385"/>
        <v>-0.80635470318716729</v>
      </c>
      <c r="E845" s="307">
        <f t="shared" ca="1" si="386"/>
        <v>-2.2304814177920651</v>
      </c>
      <c r="F845" s="304">
        <f t="shared" ca="1" si="387"/>
        <v>2.3717620585690642</v>
      </c>
      <c r="G845" s="306">
        <f t="shared" ca="1" si="388"/>
        <v>12.91492938722836</v>
      </c>
      <c r="H845" s="307">
        <f t="shared" ca="1" si="389"/>
        <v>-121.3978636516278</v>
      </c>
      <c r="I845" s="304">
        <f t="shared" ca="1" si="390"/>
        <v>122.08290912431727</v>
      </c>
      <c r="J845" s="306">
        <f t="shared" ca="1" si="391"/>
        <v>874.13727041639572</v>
      </c>
      <c r="K845" s="307">
        <f t="shared" ca="1" si="392"/>
        <v>-5.0657584790294639</v>
      </c>
      <c r="L845" s="304">
        <f t="shared" ca="1" si="377"/>
        <v>874.15194871372034</v>
      </c>
      <c r="M845" s="306">
        <f t="shared" ca="1" si="393"/>
        <v>-1.4648098262829343</v>
      </c>
      <c r="N845" s="304">
        <f t="shared" ca="1" si="394"/>
        <v>-83.927420835303423</v>
      </c>
      <c r="P845" s="310">
        <f t="shared" ca="1" si="395"/>
        <v>23</v>
      </c>
      <c r="Q845" s="304">
        <f t="shared" ca="1" si="396"/>
        <v>0</v>
      </c>
      <c r="R845" s="306">
        <f t="shared" ca="1" si="397"/>
        <v>0</v>
      </c>
      <c r="S845" s="307">
        <f t="shared" ca="1" si="398"/>
        <v>7.8079999999999892</v>
      </c>
      <c r="T845" s="304">
        <f t="shared" ca="1" si="378"/>
        <v>76.5964799999999</v>
      </c>
      <c r="U845" s="311">
        <f t="shared" ca="1" si="379"/>
        <v>0</v>
      </c>
      <c r="V845" s="306">
        <f t="shared" ca="1" si="380"/>
        <v>1.225620712632695</v>
      </c>
      <c r="W845" s="304">
        <f t="shared" ca="1" si="381"/>
        <v>59.515123064655548</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2.1326618045771442</v>
      </c>
      <c r="AH845" s="304">
        <f t="shared" ca="1" si="405"/>
        <v>-7.6222903280698686</v>
      </c>
    </row>
    <row r="846" spans="1:34" x14ac:dyDescent="0.2">
      <c r="A846" s="347">
        <f t="shared" ca="1" si="383"/>
        <v>1E-4</v>
      </c>
      <c r="B846" s="304">
        <f t="shared" ca="1" si="384"/>
        <v>35.113100000000621</v>
      </c>
      <c r="D846" s="306">
        <f t="shared" ca="1" si="385"/>
        <v>-0.80635205617852013</v>
      </c>
      <c r="E846" s="307">
        <f t="shared" ca="1" si="386"/>
        <v>-2.2304450495894201</v>
      </c>
      <c r="F846" s="304">
        <f t="shared" ca="1" si="387"/>
        <v>2.3717269568272985</v>
      </c>
      <c r="G846" s="306">
        <f t="shared" ca="1" si="388"/>
        <v>12.914848752022742</v>
      </c>
      <c r="H846" s="307">
        <f t="shared" ca="1" si="389"/>
        <v>-121.39808669613276</v>
      </c>
      <c r="I846" s="304">
        <f t="shared" ca="1" si="390"/>
        <v>122.08312238704166</v>
      </c>
      <c r="J846" s="306">
        <f t="shared" ca="1" si="391"/>
        <v>874.13727041639572</v>
      </c>
      <c r="K846" s="307">
        <f t="shared" ca="1" si="392"/>
        <v>-5.0778982765468523</v>
      </c>
      <c r="L846" s="304">
        <f t="shared" ca="1" si="377"/>
        <v>874.15201914880561</v>
      </c>
      <c r="M846" s="306">
        <f t="shared" ca="1" si="393"/>
        <v>-1.4648106763448228</v>
      </c>
      <c r="N846" s="304">
        <f t="shared" ca="1" si="394"/>
        <v>-83.927469540261953</v>
      </c>
      <c r="P846" s="310">
        <f t="shared" ca="1" si="395"/>
        <v>23</v>
      </c>
      <c r="Q846" s="304">
        <f t="shared" ca="1" si="396"/>
        <v>0</v>
      </c>
      <c r="R846" s="306">
        <f t="shared" ca="1" si="397"/>
        <v>0</v>
      </c>
      <c r="S846" s="307">
        <f t="shared" ca="1" si="398"/>
        <v>7.8079999999999892</v>
      </c>
      <c r="T846" s="304">
        <f t="shared" ca="1" si="378"/>
        <v>76.5964799999999</v>
      </c>
      <c r="U846" s="311">
        <f t="shared" ca="1" si="379"/>
        <v>0</v>
      </c>
      <c r="V846" s="306">
        <f t="shared" ca="1" si="380"/>
        <v>1.2256222005124227</v>
      </c>
      <c r="W846" s="304">
        <f t="shared" ca="1" si="381"/>
        <v>59.515403245417595</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2.1326268026640021</v>
      </c>
      <c r="AH846" s="304">
        <f t="shared" ca="1" si="405"/>
        <v>-7.6223262121741326</v>
      </c>
    </row>
    <row r="847" spans="1:34" x14ac:dyDescent="0.2">
      <c r="A847" s="347">
        <f t="shared" ca="1" si="383"/>
        <v>1E-4</v>
      </c>
      <c r="B847" s="304">
        <f t="shared" ca="1" si="384"/>
        <v>35.113200000000624</v>
      </c>
      <c r="D847" s="306">
        <f t="shared" ca="1" si="385"/>
        <v>-0.80634940913987785</v>
      </c>
      <c r="E847" s="307">
        <f t="shared" ca="1" si="386"/>
        <v>-2.2304086816884521</v>
      </c>
      <c r="F847" s="304">
        <f t="shared" ca="1" si="387"/>
        <v>2.3716918554001589</v>
      </c>
      <c r="G847" s="306">
        <f t="shared" ca="1" si="388"/>
        <v>12.914768117081827</v>
      </c>
      <c r="H847" s="307">
        <f t="shared" ca="1" si="389"/>
        <v>-121.39830973700093</v>
      </c>
      <c r="I847" s="304">
        <f t="shared" ca="1" si="390"/>
        <v>122.08333564626585</v>
      </c>
      <c r="J847" s="306">
        <f t="shared" ca="1" si="391"/>
        <v>874.13727041639572</v>
      </c>
      <c r="K847" s="307">
        <f t="shared" ca="1" si="392"/>
        <v>-5.0900380963685095</v>
      </c>
      <c r="L847" s="304">
        <f t="shared" ca="1" si="377"/>
        <v>874.1520897526068</v>
      </c>
      <c r="M847" s="306">
        <f t="shared" ca="1" si="393"/>
        <v>-1.464811526398434</v>
      </c>
      <c r="N847" s="304">
        <f t="shared" ca="1" si="394"/>
        <v>-83.927518244746238</v>
      </c>
      <c r="P847" s="310">
        <f t="shared" ca="1" si="395"/>
        <v>23</v>
      </c>
      <c r="Q847" s="304">
        <f t="shared" ca="1" si="396"/>
        <v>0</v>
      </c>
      <c r="R847" s="306">
        <f t="shared" ca="1" si="397"/>
        <v>0</v>
      </c>
      <c r="S847" s="307">
        <f t="shared" ca="1" si="398"/>
        <v>7.8079999999999892</v>
      </c>
      <c r="T847" s="304">
        <f t="shared" ca="1" si="378"/>
        <v>76.5964799999999</v>
      </c>
      <c r="U847" s="311">
        <f t="shared" ca="1" si="379"/>
        <v>0</v>
      </c>
      <c r="V847" s="306">
        <f t="shared" ca="1" si="380"/>
        <v>1.2256236883966902</v>
      </c>
      <c r="W847" s="304">
        <f t="shared" ca="1" si="381"/>
        <v>59.515683423855478</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2.1325918010328717</v>
      </c>
      <c r="AH847" s="304">
        <f t="shared" ca="1" si="405"/>
        <v>-7.6223620959807477</v>
      </c>
    </row>
    <row r="848" spans="1:34" x14ac:dyDescent="0.2">
      <c r="A848" s="347">
        <f t="shared" ca="1" si="383"/>
        <v>1E-4</v>
      </c>
      <c r="B848" s="304">
        <f t="shared" ca="1" si="384"/>
        <v>35.113300000000628</v>
      </c>
      <c r="D848" s="306">
        <f t="shared" ca="1" si="385"/>
        <v>-0.80634676207123723</v>
      </c>
      <c r="E848" s="307">
        <f t="shared" ca="1" si="386"/>
        <v>-2.2303723140891778</v>
      </c>
      <c r="F848" s="304">
        <f t="shared" ca="1" si="387"/>
        <v>2.3716567542876605</v>
      </c>
      <c r="G848" s="306">
        <f t="shared" ca="1" si="388"/>
        <v>12.91468748240562</v>
      </c>
      <c r="H848" s="307">
        <f t="shared" ca="1" si="389"/>
        <v>-121.39853277423234</v>
      </c>
      <c r="I848" s="304">
        <f t="shared" ca="1" si="390"/>
        <v>122.08354890198993</v>
      </c>
      <c r="J848" s="306">
        <f t="shared" ca="1" si="391"/>
        <v>874.13727041639572</v>
      </c>
      <c r="K848" s="307">
        <f t="shared" ca="1" si="392"/>
        <v>-5.1021779384940711</v>
      </c>
      <c r="L848" s="304">
        <f t="shared" ca="1" si="377"/>
        <v>874.15216052512449</v>
      </c>
      <c r="M848" s="306">
        <f t="shared" ca="1" si="393"/>
        <v>-1.4648123764437682</v>
      </c>
      <c r="N848" s="304">
        <f t="shared" ca="1" si="394"/>
        <v>-83.927566948756279</v>
      </c>
      <c r="P848" s="310">
        <f t="shared" ca="1" si="395"/>
        <v>23</v>
      </c>
      <c r="Q848" s="304">
        <f t="shared" ca="1" si="396"/>
        <v>0</v>
      </c>
      <c r="R848" s="306">
        <f t="shared" ca="1" si="397"/>
        <v>0</v>
      </c>
      <c r="S848" s="307">
        <f t="shared" ca="1" si="398"/>
        <v>7.8079999999999892</v>
      </c>
      <c r="T848" s="304">
        <f t="shared" ca="1" si="378"/>
        <v>76.5964799999999</v>
      </c>
      <c r="U848" s="311">
        <f t="shared" ca="1" si="379"/>
        <v>0</v>
      </c>
      <c r="V848" s="306">
        <f t="shared" ca="1" si="380"/>
        <v>1.2256251762854982</v>
      </c>
      <c r="W848" s="304">
        <f t="shared" ca="1" si="381"/>
        <v>59.515963599969261</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2.1325567996837655</v>
      </c>
      <c r="AH848" s="304">
        <f t="shared" ca="1" si="405"/>
        <v>-7.6223979794896977</v>
      </c>
    </row>
    <row r="849" spans="1:34" x14ac:dyDescent="0.2">
      <c r="A849" s="347">
        <f t="shared" ca="1" si="383"/>
        <v>1E-4</v>
      </c>
      <c r="B849" s="304">
        <f t="shared" ca="1" si="384"/>
        <v>35.113400000000631</v>
      </c>
      <c r="D849" s="306">
        <f t="shared" ca="1" si="385"/>
        <v>-0.80634411497260083</v>
      </c>
      <c r="E849" s="307">
        <f t="shared" ca="1" si="386"/>
        <v>-2.2303359467915858</v>
      </c>
      <c r="F849" s="304">
        <f t="shared" ca="1" si="387"/>
        <v>2.371621653489794</v>
      </c>
      <c r="G849" s="306">
        <f t="shared" ca="1" si="388"/>
        <v>12.914606847994122</v>
      </c>
      <c r="H849" s="307">
        <f t="shared" ca="1" si="389"/>
        <v>-121.39875580782702</v>
      </c>
      <c r="I849" s="304">
        <f t="shared" ca="1" si="390"/>
        <v>122.0837621542139</v>
      </c>
      <c r="J849" s="306">
        <f t="shared" ca="1" si="391"/>
        <v>874.13727041639572</v>
      </c>
      <c r="K849" s="307">
        <f t="shared" ca="1" si="392"/>
        <v>-5.114317802923174</v>
      </c>
      <c r="L849" s="304">
        <f t="shared" ca="1" si="377"/>
        <v>874.15223146635969</v>
      </c>
      <c r="M849" s="306">
        <f t="shared" ca="1" si="393"/>
        <v>-1.4648132264808253</v>
      </c>
      <c r="N849" s="304">
        <f t="shared" ca="1" si="394"/>
        <v>-83.92761565229209</v>
      </c>
      <c r="P849" s="310">
        <f t="shared" ca="1" si="395"/>
        <v>23</v>
      </c>
      <c r="Q849" s="304">
        <f t="shared" ca="1" si="396"/>
        <v>0</v>
      </c>
      <c r="R849" s="306">
        <f t="shared" ca="1" si="397"/>
        <v>0</v>
      </c>
      <c r="S849" s="307">
        <f t="shared" ca="1" si="398"/>
        <v>7.8079999999999892</v>
      </c>
      <c r="T849" s="304">
        <f t="shared" ca="1" si="378"/>
        <v>76.5964799999999</v>
      </c>
      <c r="U849" s="311">
        <f t="shared" ca="1" si="379"/>
        <v>0</v>
      </c>
      <c r="V849" s="306">
        <f t="shared" ca="1" si="380"/>
        <v>1.2256266641788465</v>
      </c>
      <c r="W849" s="304">
        <f t="shared" ca="1" si="381"/>
        <v>59.516243773758937</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2.1325217986166782</v>
      </c>
      <c r="AH849" s="304">
        <f t="shared" ca="1" si="405"/>
        <v>-7.6224338627009915</v>
      </c>
    </row>
    <row r="850" spans="1:34" x14ac:dyDescent="0.2">
      <c r="A850" s="347">
        <f t="shared" ca="1" si="383"/>
        <v>1E-4</v>
      </c>
      <c r="B850" s="304">
        <f t="shared" ca="1" si="384"/>
        <v>35.113500000000634</v>
      </c>
      <c r="D850" s="306">
        <f t="shared" ca="1" si="385"/>
        <v>-0.80634146784396832</v>
      </c>
      <c r="E850" s="307">
        <f t="shared" ca="1" si="386"/>
        <v>-2.2302995797956786</v>
      </c>
      <c r="F850" s="304">
        <f t="shared" ca="1" si="387"/>
        <v>2.3715865530065621</v>
      </c>
      <c r="G850" s="306">
        <f t="shared" ca="1" si="388"/>
        <v>12.914526213847338</v>
      </c>
      <c r="H850" s="307">
        <f t="shared" ca="1" si="389"/>
        <v>-121.39897883778499</v>
      </c>
      <c r="I850" s="304">
        <f t="shared" ca="1" si="390"/>
        <v>122.08397540293778</v>
      </c>
      <c r="J850" s="306">
        <f t="shared" ca="1" si="391"/>
        <v>874.13727041639572</v>
      </c>
      <c r="K850" s="307">
        <f t="shared" ca="1" si="392"/>
        <v>-5.1264576896554548</v>
      </c>
      <c r="L850" s="304">
        <f t="shared" ca="1" si="377"/>
        <v>874.15230257631345</v>
      </c>
      <c r="M850" s="306">
        <f t="shared" ca="1" si="393"/>
        <v>-1.4648140765096056</v>
      </c>
      <c r="N850" s="304">
        <f t="shared" ca="1" si="394"/>
        <v>-83.927664355353656</v>
      </c>
      <c r="P850" s="310">
        <f t="shared" ca="1" si="395"/>
        <v>23</v>
      </c>
      <c r="Q850" s="304">
        <f t="shared" ca="1" si="396"/>
        <v>0</v>
      </c>
      <c r="R850" s="306">
        <f t="shared" ca="1" si="397"/>
        <v>0</v>
      </c>
      <c r="S850" s="307">
        <f t="shared" ca="1" si="398"/>
        <v>7.8079999999999892</v>
      </c>
      <c r="T850" s="304">
        <f t="shared" ca="1" si="378"/>
        <v>76.5964799999999</v>
      </c>
      <c r="U850" s="311">
        <f t="shared" ca="1" si="379"/>
        <v>0</v>
      </c>
      <c r="V850" s="306">
        <f t="shared" ca="1" si="380"/>
        <v>1.2256281520767349</v>
      </c>
      <c r="W850" s="304">
        <f t="shared" ca="1" si="381"/>
        <v>59.516523945224492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2.1324867978316107</v>
      </c>
      <c r="AH850" s="304">
        <f t="shared" ca="1" si="405"/>
        <v>-7.6224697456146284</v>
      </c>
    </row>
    <row r="851" spans="1:34" x14ac:dyDescent="0.2">
      <c r="A851" s="347">
        <f t="shared" ca="1" si="383"/>
        <v>1E-4</v>
      </c>
      <c r="B851" s="304">
        <f t="shared" ca="1" si="384"/>
        <v>35.113600000000638</v>
      </c>
      <c r="D851" s="306">
        <f t="shared" ca="1" si="385"/>
        <v>-0.80633882068534135</v>
      </c>
      <c r="E851" s="307">
        <f t="shared" ca="1" si="386"/>
        <v>-2.2302632131014573</v>
      </c>
      <c r="F851" s="304">
        <f t="shared" ca="1" si="387"/>
        <v>2.3715514528379651</v>
      </c>
      <c r="G851" s="306">
        <f t="shared" ca="1" si="388"/>
        <v>12.914445579965269</v>
      </c>
      <c r="H851" s="307">
        <f t="shared" ca="1" si="389"/>
        <v>-121.3992018641063</v>
      </c>
      <c r="I851" s="304">
        <f t="shared" ca="1" si="390"/>
        <v>122.08418864816163</v>
      </c>
      <c r="J851" s="306">
        <f t="shared" ca="1" si="391"/>
        <v>874.13727041639572</v>
      </c>
      <c r="K851" s="307">
        <f t="shared" ca="1" si="392"/>
        <v>-5.1385975986905494</v>
      </c>
      <c r="L851" s="304">
        <f t="shared" ca="1" si="377"/>
        <v>874.15237385498654</v>
      </c>
      <c r="M851" s="306">
        <f t="shared" ca="1" si="393"/>
        <v>-1.4648149265301091</v>
      </c>
      <c r="N851" s="304">
        <f t="shared" ca="1" si="394"/>
        <v>-83.92771305794102</v>
      </c>
      <c r="P851" s="310">
        <f t="shared" ca="1" si="395"/>
        <v>23</v>
      </c>
      <c r="Q851" s="304">
        <f t="shared" ca="1" si="396"/>
        <v>0</v>
      </c>
      <c r="R851" s="306">
        <f t="shared" ca="1" si="397"/>
        <v>0</v>
      </c>
      <c r="S851" s="307">
        <f t="shared" ca="1" si="398"/>
        <v>7.8079999999999892</v>
      </c>
      <c r="T851" s="304">
        <f t="shared" ca="1" si="378"/>
        <v>76.5964799999999</v>
      </c>
      <c r="U851" s="311">
        <f t="shared" ca="1" si="379"/>
        <v>0</v>
      </c>
      <c r="V851" s="306">
        <f t="shared" ca="1" si="380"/>
        <v>1.2256296399791642</v>
      </c>
      <c r="W851" s="304">
        <f t="shared" ca="1" si="381"/>
        <v>59.516804114365968</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2.132451797328561</v>
      </c>
      <c r="AH851" s="304">
        <f t="shared" ca="1" si="405"/>
        <v>-7.6225056282306065</v>
      </c>
    </row>
    <row r="852" spans="1:34" x14ac:dyDescent="0.2">
      <c r="A852" s="347">
        <f t="shared" ca="1" si="383"/>
        <v>1E-4</v>
      </c>
      <c r="B852" s="304">
        <f t="shared" ca="1" si="384"/>
        <v>35.113700000000641</v>
      </c>
      <c r="D852" s="306">
        <f t="shared" ca="1" si="385"/>
        <v>-0.80633617349672038</v>
      </c>
      <c r="E852" s="307">
        <f t="shared" ca="1" si="386"/>
        <v>-2.230226846708919</v>
      </c>
      <c r="F852" s="304">
        <f t="shared" ca="1" si="387"/>
        <v>2.3715163529840022</v>
      </c>
      <c r="G852" s="306">
        <f t="shared" ca="1" si="388"/>
        <v>12.91436494634792</v>
      </c>
      <c r="H852" s="307">
        <f t="shared" ca="1" si="389"/>
        <v>-121.39942488679097</v>
      </c>
      <c r="I852" s="304">
        <f t="shared" ca="1" si="390"/>
        <v>122.08440188988544</v>
      </c>
      <c r="J852" s="306">
        <f t="shared" ca="1" si="391"/>
        <v>874.13727041639572</v>
      </c>
      <c r="K852" s="307">
        <f t="shared" ca="1" si="392"/>
        <v>-5.1507375300280946</v>
      </c>
      <c r="L852" s="304">
        <f t="shared" ca="1" si="377"/>
        <v>874.15244530237976</v>
      </c>
      <c r="M852" s="306">
        <f t="shared" ca="1" si="393"/>
        <v>-1.464815776542336</v>
      </c>
      <c r="N852" s="304">
        <f t="shared" ca="1" si="394"/>
        <v>-83.927761760054153</v>
      </c>
      <c r="P852" s="310">
        <f t="shared" ca="1" si="395"/>
        <v>23</v>
      </c>
      <c r="Q852" s="304">
        <f t="shared" ca="1" si="396"/>
        <v>0</v>
      </c>
      <c r="R852" s="306">
        <f t="shared" ca="1" si="397"/>
        <v>0</v>
      </c>
      <c r="S852" s="307">
        <f t="shared" ca="1" si="398"/>
        <v>7.8079999999999892</v>
      </c>
      <c r="T852" s="304">
        <f t="shared" ca="1" si="378"/>
        <v>76.5964799999999</v>
      </c>
      <c r="U852" s="311">
        <f t="shared" ca="1" si="379"/>
        <v>0</v>
      </c>
      <c r="V852" s="306">
        <f t="shared" ca="1" si="380"/>
        <v>1.2256311278861329</v>
      </c>
      <c r="W852" s="304">
        <f t="shared" ca="1" si="381"/>
        <v>59.517084281183287</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2.1324167971075321</v>
      </c>
      <c r="AH852" s="304">
        <f t="shared" ca="1" si="405"/>
        <v>-7.6225415105489303</v>
      </c>
    </row>
    <row r="853" spans="1:34" x14ac:dyDescent="0.2">
      <c r="A853" s="347">
        <f t="shared" ca="1" si="383"/>
        <v>1E-4</v>
      </c>
      <c r="B853" s="304">
        <f t="shared" ca="1" si="384"/>
        <v>35.113800000000644</v>
      </c>
      <c r="D853" s="306">
        <f t="shared" ca="1" si="385"/>
        <v>-0.80633352627810617</v>
      </c>
      <c r="E853" s="307">
        <f t="shared" ca="1" si="386"/>
        <v>-2.2301904806180692</v>
      </c>
      <c r="F853" s="304">
        <f t="shared" ca="1" si="387"/>
        <v>2.3714812534446779</v>
      </c>
      <c r="G853" s="306">
        <f t="shared" ca="1" si="388"/>
        <v>12.914284312995292</v>
      </c>
      <c r="H853" s="307">
        <f t="shared" ca="1" si="389"/>
        <v>-121.39964790583903</v>
      </c>
      <c r="I853" s="304">
        <f t="shared" ca="1" si="390"/>
        <v>122.08461512810925</v>
      </c>
      <c r="J853" s="306">
        <f t="shared" ca="1" si="391"/>
        <v>874.13727041639572</v>
      </c>
      <c r="K853" s="307">
        <f t="shared" ca="1" si="392"/>
        <v>-5.1628774836677263</v>
      </c>
      <c r="L853" s="304">
        <f t="shared" ca="1" si="377"/>
        <v>874.15251691849414</v>
      </c>
      <c r="M853" s="306">
        <f t="shared" ca="1" si="393"/>
        <v>-1.4648166265462861</v>
      </c>
      <c r="N853" s="304">
        <f t="shared" ca="1" si="394"/>
        <v>-83.927810461693056</v>
      </c>
      <c r="P853" s="310">
        <f t="shared" ca="1" si="395"/>
        <v>23</v>
      </c>
      <c r="Q853" s="304">
        <f t="shared" ca="1" si="396"/>
        <v>0</v>
      </c>
      <c r="R853" s="306">
        <f t="shared" ca="1" si="397"/>
        <v>0</v>
      </c>
      <c r="S853" s="307">
        <f t="shared" ca="1" si="398"/>
        <v>7.8079999999999892</v>
      </c>
      <c r="T853" s="304">
        <f t="shared" ca="1" si="378"/>
        <v>76.5964799999999</v>
      </c>
      <c r="U853" s="311">
        <f t="shared" ca="1" si="379"/>
        <v>0</v>
      </c>
      <c r="V853" s="306">
        <f t="shared" ca="1" si="380"/>
        <v>1.2256326157976423</v>
      </c>
      <c r="W853" s="304">
        <f t="shared" ca="1" si="381"/>
        <v>59.517364445676485</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2.1323817971685246</v>
      </c>
      <c r="AH853" s="304">
        <f t="shared" ca="1" si="405"/>
        <v>-7.6225773925695917</v>
      </c>
    </row>
    <row r="854" spans="1:34" x14ac:dyDescent="0.2">
      <c r="A854" s="347">
        <f t="shared" ca="1" si="383"/>
        <v>1E-4</v>
      </c>
      <c r="B854" s="304">
        <f t="shared" ca="1" si="384"/>
        <v>35.113900000000648</v>
      </c>
      <c r="D854" s="306">
        <f t="shared" ca="1" si="385"/>
        <v>-0.80633087902950051</v>
      </c>
      <c r="E854" s="307">
        <f t="shared" ca="1" si="386"/>
        <v>-2.2301541148289061</v>
      </c>
      <c r="F854" s="304">
        <f t="shared" ca="1" si="387"/>
        <v>2.3714461542199916</v>
      </c>
      <c r="G854" s="306">
        <f t="shared" ca="1" si="388"/>
        <v>12.91420367990739</v>
      </c>
      <c r="H854" s="307">
        <f t="shared" ca="1" si="389"/>
        <v>-121.39987092125051</v>
      </c>
      <c r="I854" s="304">
        <f t="shared" ca="1" si="390"/>
        <v>122.08482836283311</v>
      </c>
      <c r="J854" s="306">
        <f t="shared" ca="1" si="391"/>
        <v>874.13727041639572</v>
      </c>
      <c r="K854" s="307">
        <f t="shared" ca="1" si="392"/>
        <v>-5.175017459609081</v>
      </c>
      <c r="L854" s="304">
        <f t="shared" ca="1" si="377"/>
        <v>874.15258870333048</v>
      </c>
      <c r="M854" s="306">
        <f t="shared" ca="1" si="393"/>
        <v>-1.4648174765419599</v>
      </c>
      <c r="N854" s="304">
        <f t="shared" ca="1" si="394"/>
        <v>-83.927859162857771</v>
      </c>
      <c r="P854" s="310">
        <f t="shared" ca="1" si="395"/>
        <v>23</v>
      </c>
      <c r="Q854" s="304">
        <f t="shared" ca="1" si="396"/>
        <v>0</v>
      </c>
      <c r="R854" s="306">
        <f t="shared" ca="1" si="397"/>
        <v>0</v>
      </c>
      <c r="S854" s="307">
        <f t="shared" ca="1" si="398"/>
        <v>7.8079999999999892</v>
      </c>
      <c r="T854" s="304">
        <f t="shared" ca="1" si="378"/>
        <v>76.5964799999999</v>
      </c>
      <c r="U854" s="311">
        <f t="shared" ca="1" si="379"/>
        <v>0</v>
      </c>
      <c r="V854" s="306">
        <f t="shared" ca="1" si="380"/>
        <v>1.2256341037136917</v>
      </c>
      <c r="W854" s="304">
        <f t="shared" ca="1" si="381"/>
        <v>59.517644607845604</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2.1323467975115431</v>
      </c>
      <c r="AH854" s="304">
        <f t="shared" ca="1" si="405"/>
        <v>-7.6226132742925934</v>
      </c>
    </row>
    <row r="855" spans="1:34" x14ac:dyDescent="0.2">
      <c r="A855" s="347">
        <f t="shared" ca="1" si="383"/>
        <v>1E-4</v>
      </c>
      <c r="B855" s="304">
        <f t="shared" ca="1" si="384"/>
        <v>35.114000000000651</v>
      </c>
      <c r="D855" s="306">
        <f t="shared" ca="1" si="385"/>
        <v>-0.80632823175090262</v>
      </c>
      <c r="E855" s="307">
        <f t="shared" ca="1" si="386"/>
        <v>-2.2301177493414253</v>
      </c>
      <c r="F855" s="304">
        <f t="shared" ca="1" si="387"/>
        <v>2.3714110553099399</v>
      </c>
      <c r="G855" s="306">
        <f t="shared" ca="1" si="388"/>
        <v>12.914123047084214</v>
      </c>
      <c r="H855" s="307">
        <f t="shared" ca="1" si="389"/>
        <v>-121.40009393302545</v>
      </c>
      <c r="I855" s="304">
        <f t="shared" ca="1" si="390"/>
        <v>122.08504159405703</v>
      </c>
      <c r="J855" s="306">
        <f t="shared" ca="1" si="391"/>
        <v>874.13727041639572</v>
      </c>
      <c r="K855" s="307">
        <f t="shared" ca="1" si="392"/>
        <v>-5.1871574578517947</v>
      </c>
      <c r="L855" s="304">
        <f t="shared" ca="1" si="377"/>
        <v>874.15266065688979</v>
      </c>
      <c r="M855" s="306">
        <f t="shared" ca="1" si="393"/>
        <v>-1.4648183265293575</v>
      </c>
      <c r="N855" s="304">
        <f t="shared" ca="1" si="394"/>
        <v>-83.927907863548299</v>
      </c>
      <c r="P855" s="310">
        <f t="shared" ca="1" si="395"/>
        <v>23</v>
      </c>
      <c r="Q855" s="304">
        <f t="shared" ca="1" si="396"/>
        <v>0</v>
      </c>
      <c r="R855" s="306">
        <f t="shared" ca="1" si="397"/>
        <v>0</v>
      </c>
      <c r="S855" s="307">
        <f t="shared" ca="1" si="398"/>
        <v>7.8079999999999892</v>
      </c>
      <c r="T855" s="304">
        <f t="shared" ca="1" si="378"/>
        <v>76.5964799999999</v>
      </c>
      <c r="U855" s="311">
        <f t="shared" ca="1" si="379"/>
        <v>0</v>
      </c>
      <c r="V855" s="306">
        <f t="shared" ca="1" si="380"/>
        <v>1.2256355916342812</v>
      </c>
      <c r="W855" s="304">
        <f t="shared" ca="1" si="381"/>
        <v>59.517924767690602</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2.132311798136576</v>
      </c>
      <c r="AH855" s="304">
        <f t="shared" ca="1" si="405"/>
        <v>-7.6226491557179417</v>
      </c>
    </row>
    <row r="856" spans="1:34" x14ac:dyDescent="0.2">
      <c r="A856" s="347">
        <f t="shared" ca="1" si="383"/>
        <v>1E-4</v>
      </c>
      <c r="B856" s="304">
        <f t="shared" ca="1" si="384"/>
        <v>35.114100000000654</v>
      </c>
      <c r="D856" s="306">
        <f t="shared" ca="1" si="385"/>
        <v>-0.80632558444231328</v>
      </c>
      <c r="E856" s="307">
        <f t="shared" ca="1" si="386"/>
        <v>-2.2300813841556311</v>
      </c>
      <c r="F856" s="304">
        <f t="shared" ca="1" si="387"/>
        <v>2.3713759567145258</v>
      </c>
      <c r="G856" s="306">
        <f t="shared" ca="1" si="388"/>
        <v>12.91404241452577</v>
      </c>
      <c r="H856" s="307">
        <f t="shared" ca="1" si="389"/>
        <v>-121.40031694116387</v>
      </c>
      <c r="I856" s="304">
        <f t="shared" ca="1" si="390"/>
        <v>122.08525482178104</v>
      </c>
      <c r="J856" s="306">
        <f t="shared" ca="1" si="391"/>
        <v>874.13727041639572</v>
      </c>
      <c r="K856" s="307">
        <f t="shared" ca="1" si="392"/>
        <v>-5.1992974783955042</v>
      </c>
      <c r="L856" s="304">
        <f t="shared" ca="1" si="377"/>
        <v>874.15273277917277</v>
      </c>
      <c r="M856" s="306">
        <f t="shared" ca="1" si="393"/>
        <v>-1.4648191765084788</v>
      </c>
      <c r="N856" s="304">
        <f t="shared" ca="1" si="394"/>
        <v>-83.927956563764624</v>
      </c>
      <c r="P856" s="310">
        <f t="shared" ca="1" si="395"/>
        <v>23</v>
      </c>
      <c r="Q856" s="304">
        <f t="shared" ca="1" si="396"/>
        <v>0</v>
      </c>
      <c r="R856" s="306">
        <f t="shared" ca="1" si="397"/>
        <v>0</v>
      </c>
      <c r="S856" s="307">
        <f t="shared" ca="1" si="398"/>
        <v>7.8079999999999892</v>
      </c>
      <c r="T856" s="304">
        <f t="shared" ca="1" si="378"/>
        <v>76.5964799999999</v>
      </c>
      <c r="U856" s="311">
        <f t="shared" ca="1" si="379"/>
        <v>0</v>
      </c>
      <c r="V856" s="306">
        <f t="shared" ca="1" si="380"/>
        <v>1.2256370795594111</v>
      </c>
      <c r="W856" s="304">
        <f t="shared" ca="1" si="381"/>
        <v>59.518204925211485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2.1322767990436331</v>
      </c>
      <c r="AH856" s="304">
        <f t="shared" ca="1" si="405"/>
        <v>-7.6226850368456303</v>
      </c>
    </row>
    <row r="857" spans="1:34" x14ac:dyDescent="0.2">
      <c r="A857" s="347">
        <f t="shared" ca="1" si="383"/>
        <v>1E-4</v>
      </c>
      <c r="B857" s="304">
        <f t="shared" ca="1" si="384"/>
        <v>35.114200000000658</v>
      </c>
      <c r="D857" s="306">
        <f t="shared" ca="1" si="385"/>
        <v>-0.80632293710373459</v>
      </c>
      <c r="E857" s="307">
        <f t="shared" ca="1" si="386"/>
        <v>-2.2300450192715209</v>
      </c>
      <c r="F857" s="304">
        <f t="shared" ca="1" si="387"/>
        <v>2.3713408584337494</v>
      </c>
      <c r="G857" s="306">
        <f t="shared" ca="1" si="388"/>
        <v>12.913961782232059</v>
      </c>
      <c r="H857" s="307">
        <f t="shared" ca="1" si="389"/>
        <v>-121.4005399456658</v>
      </c>
      <c r="I857" s="304">
        <f t="shared" ca="1" si="390"/>
        <v>122.08546804600518</v>
      </c>
      <c r="J857" s="306">
        <f t="shared" ca="1" si="391"/>
        <v>874.13727041639572</v>
      </c>
      <c r="K857" s="307">
        <f t="shared" ca="1" si="392"/>
        <v>-5.211437521239846</v>
      </c>
      <c r="L857" s="304">
        <f t="shared" ca="1" si="377"/>
        <v>874.15280507018031</v>
      </c>
      <c r="M857" s="306">
        <f t="shared" ca="1" si="393"/>
        <v>-1.4648200264793241</v>
      </c>
      <c r="N857" s="304">
        <f t="shared" ca="1" si="394"/>
        <v>-83.928005263506762</v>
      </c>
      <c r="P857" s="310">
        <f t="shared" ca="1" si="395"/>
        <v>23</v>
      </c>
      <c r="Q857" s="304">
        <f t="shared" ca="1" si="396"/>
        <v>0</v>
      </c>
      <c r="R857" s="306">
        <f t="shared" ca="1" si="397"/>
        <v>0</v>
      </c>
      <c r="S857" s="307">
        <f t="shared" ca="1" si="398"/>
        <v>7.8079999999999892</v>
      </c>
      <c r="T857" s="304">
        <f t="shared" ca="1" si="378"/>
        <v>76.5964799999999</v>
      </c>
      <c r="U857" s="311">
        <f t="shared" ca="1" si="379"/>
        <v>0</v>
      </c>
      <c r="V857" s="306">
        <f t="shared" ca="1" si="380"/>
        <v>1.2256385674890806</v>
      </c>
      <c r="W857" s="304">
        <f t="shared" ca="1" si="381"/>
        <v>59.51848508040824</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2.1322418002327135</v>
      </c>
      <c r="AH857" s="304">
        <f t="shared" ca="1" si="405"/>
        <v>-7.6227209176756618</v>
      </c>
    </row>
    <row r="858" spans="1:34" x14ac:dyDescent="0.2">
      <c r="A858" s="347">
        <f t="shared" ca="1" si="383"/>
        <v>1E-4</v>
      </c>
      <c r="B858" s="304">
        <f t="shared" ca="1" si="384"/>
        <v>35.114300000000661</v>
      </c>
      <c r="D858" s="306">
        <f t="shared" ca="1" si="385"/>
        <v>-0.80632028973516612</v>
      </c>
      <c r="E858" s="307">
        <f t="shared" ca="1" si="386"/>
        <v>-2.2300086546890983</v>
      </c>
      <c r="F858" s="304">
        <f t="shared" ca="1" si="387"/>
        <v>2.3713057604676129</v>
      </c>
      <c r="G858" s="306">
        <f t="shared" ca="1" si="388"/>
        <v>12.913881150203085</v>
      </c>
      <c r="H858" s="307">
        <f t="shared" ca="1" si="389"/>
        <v>-121.40076294653127</v>
      </c>
      <c r="I858" s="304">
        <f t="shared" ca="1" si="390"/>
        <v>122.08568126672944</v>
      </c>
      <c r="J858" s="306">
        <f t="shared" ca="1" si="391"/>
        <v>874.13727041639572</v>
      </c>
      <c r="K858" s="307">
        <f t="shared" ca="1" si="392"/>
        <v>-5.2235775863844562</v>
      </c>
      <c r="L858" s="304">
        <f t="shared" ca="1" si="377"/>
        <v>874.15287752991344</v>
      </c>
      <c r="M858" s="306">
        <f t="shared" ca="1" si="393"/>
        <v>-1.4648208764418935</v>
      </c>
      <c r="N858" s="304">
        <f t="shared" ca="1" si="394"/>
        <v>-83.92805396277474</v>
      </c>
      <c r="P858" s="310">
        <f t="shared" ca="1" si="395"/>
        <v>23</v>
      </c>
      <c r="Q858" s="304">
        <f t="shared" ca="1" si="396"/>
        <v>0</v>
      </c>
      <c r="R858" s="306">
        <f t="shared" ca="1" si="397"/>
        <v>0</v>
      </c>
      <c r="S858" s="307">
        <f t="shared" ca="1" si="398"/>
        <v>7.8079999999999892</v>
      </c>
      <c r="T858" s="304">
        <f t="shared" ca="1" si="378"/>
        <v>76.5964799999999</v>
      </c>
      <c r="U858" s="311">
        <f t="shared" ca="1" si="379"/>
        <v>0</v>
      </c>
      <c r="V858" s="306">
        <f t="shared" ca="1" si="380"/>
        <v>1.2256400554232902</v>
      </c>
      <c r="W858" s="304">
        <f t="shared" ca="1" si="381"/>
        <v>59.518765233280881</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2.1322068017038172</v>
      </c>
      <c r="AH858" s="304">
        <f t="shared" ca="1" si="405"/>
        <v>-7.6227567982080329</v>
      </c>
    </row>
    <row r="859" spans="1:34" x14ac:dyDescent="0.2">
      <c r="A859" s="347">
        <f t="shared" ca="1" si="383"/>
        <v>1E-4</v>
      </c>
      <c r="B859" s="304">
        <f t="shared" ca="1" si="384"/>
        <v>35.114400000000664</v>
      </c>
      <c r="D859" s="306">
        <f t="shared" ca="1" si="385"/>
        <v>-0.80631764233660796</v>
      </c>
      <c r="E859" s="307">
        <f t="shared" ca="1" si="386"/>
        <v>-2.2299722904083614</v>
      </c>
      <c r="F859" s="304">
        <f t="shared" ca="1" si="387"/>
        <v>2.3712706628161153</v>
      </c>
      <c r="G859" s="306">
        <f t="shared" ca="1" si="388"/>
        <v>12.913800518438851</v>
      </c>
      <c r="H859" s="307">
        <f t="shared" ca="1" si="389"/>
        <v>-121.40098594376032</v>
      </c>
      <c r="I859" s="304">
        <f t="shared" ca="1" si="390"/>
        <v>122.08589448395389</v>
      </c>
      <c r="J859" s="306">
        <f t="shared" ca="1" si="391"/>
        <v>874.13727041639572</v>
      </c>
      <c r="K859" s="307">
        <f t="shared" ca="1" si="392"/>
        <v>-5.2357176738289706</v>
      </c>
      <c r="L859" s="304">
        <f t="shared" ca="1" si="377"/>
        <v>874.15295015837296</v>
      </c>
      <c r="M859" s="306">
        <f t="shared" ca="1" si="393"/>
        <v>-1.4648217263961869</v>
      </c>
      <c r="N859" s="304">
        <f t="shared" ca="1" si="394"/>
        <v>-83.928102661568531</v>
      </c>
      <c r="P859" s="310">
        <f t="shared" ca="1" si="395"/>
        <v>23</v>
      </c>
      <c r="Q859" s="304">
        <f t="shared" ca="1" si="396"/>
        <v>0</v>
      </c>
      <c r="R859" s="306">
        <f t="shared" ca="1" si="397"/>
        <v>0</v>
      </c>
      <c r="S859" s="307">
        <f t="shared" ca="1" si="398"/>
        <v>7.8079999999999892</v>
      </c>
      <c r="T859" s="304">
        <f t="shared" ca="1" si="378"/>
        <v>76.5964799999999</v>
      </c>
      <c r="U859" s="311">
        <f t="shared" ca="1" si="379"/>
        <v>0</v>
      </c>
      <c r="V859" s="306">
        <f t="shared" ca="1" si="380"/>
        <v>1.2256415433620402</v>
      </c>
      <c r="W859" s="304">
        <f t="shared" ca="1" si="381"/>
        <v>59.5190453838294</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2.1321718034569432</v>
      </c>
      <c r="AH859" s="304">
        <f t="shared" ca="1" si="405"/>
        <v>-7.622792678442746</v>
      </c>
    </row>
    <row r="860" spans="1:34" x14ac:dyDescent="0.2">
      <c r="A860" s="347">
        <f t="shared" ca="1" si="383"/>
        <v>1E-4</v>
      </c>
      <c r="B860" s="304">
        <f t="shared" ca="1" si="384"/>
        <v>35.114500000000668</v>
      </c>
      <c r="D860" s="306">
        <f t="shared" ca="1" si="385"/>
        <v>-0.80631499490806346</v>
      </c>
      <c r="E860" s="307">
        <f t="shared" ca="1" si="386"/>
        <v>-2.2299359264293113</v>
      </c>
      <c r="F860" s="304">
        <f t="shared" ca="1" si="387"/>
        <v>2.371235565479259</v>
      </c>
      <c r="G860" s="306">
        <f t="shared" ca="1" si="388"/>
        <v>12.91371988693936</v>
      </c>
      <c r="H860" s="307">
        <f t="shared" ca="1" si="389"/>
        <v>-121.40120893735296</v>
      </c>
      <c r="I860" s="304">
        <f t="shared" ca="1" si="390"/>
        <v>122.08610769767854</v>
      </c>
      <c r="J860" s="306">
        <f t="shared" ca="1" si="391"/>
        <v>874.13727041639572</v>
      </c>
      <c r="K860" s="307">
        <f t="shared" ca="1" si="392"/>
        <v>-5.2478577835730267</v>
      </c>
      <c r="L860" s="304">
        <f t="shared" ca="1" si="377"/>
        <v>874.15302295555989</v>
      </c>
      <c r="M860" s="306">
        <f t="shared" ca="1" si="393"/>
        <v>-1.4648225763422049</v>
      </c>
      <c r="N860" s="304">
        <f t="shared" ca="1" si="394"/>
        <v>-83.928151359888176</v>
      </c>
      <c r="P860" s="310">
        <f t="shared" ca="1" si="395"/>
        <v>23</v>
      </c>
      <c r="Q860" s="304">
        <f t="shared" ca="1" si="396"/>
        <v>0</v>
      </c>
      <c r="R860" s="306">
        <f t="shared" ca="1" si="397"/>
        <v>0</v>
      </c>
      <c r="S860" s="307">
        <f t="shared" ca="1" si="398"/>
        <v>7.8079999999999892</v>
      </c>
      <c r="T860" s="304">
        <f t="shared" ca="1" si="378"/>
        <v>76.5964799999999</v>
      </c>
      <c r="U860" s="311">
        <f t="shared" ca="1" si="379"/>
        <v>0</v>
      </c>
      <c r="V860" s="306">
        <f t="shared" ca="1" si="380"/>
        <v>1.2256430313053297</v>
      </c>
      <c r="W860" s="304">
        <f t="shared" ca="1" si="381"/>
        <v>59.519325532053799</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2.1321368054920926</v>
      </c>
      <c r="AH860" s="304">
        <f t="shared" ca="1" si="405"/>
        <v>-7.6228285583798003</v>
      </c>
    </row>
    <row r="861" spans="1:34" x14ac:dyDescent="0.2">
      <c r="A861" s="347">
        <f t="shared" ca="1" si="383"/>
        <v>1E-4</v>
      </c>
      <c r="B861" s="304">
        <f t="shared" ca="1" si="384"/>
        <v>35.114600000000671</v>
      </c>
      <c r="D861" s="306">
        <f t="shared" ca="1" si="385"/>
        <v>-0.80631234744952929</v>
      </c>
      <c r="E861" s="307">
        <f t="shared" ca="1" si="386"/>
        <v>-2.229899562751946</v>
      </c>
      <c r="F861" s="304">
        <f t="shared" ca="1" si="387"/>
        <v>2.3712004684570411</v>
      </c>
      <c r="G861" s="306">
        <f t="shared" ca="1" si="388"/>
        <v>12.913639255704615</v>
      </c>
      <c r="H861" s="307">
        <f t="shared" ca="1" si="389"/>
        <v>-121.40143192730923</v>
      </c>
      <c r="I861" s="304">
        <f t="shared" ca="1" si="390"/>
        <v>122.08632090790341</v>
      </c>
      <c r="J861" s="306">
        <f t="shared" ca="1" si="391"/>
        <v>874.13727041639572</v>
      </c>
      <c r="K861" s="307">
        <f t="shared" ca="1" si="392"/>
        <v>-5.2599979156162595</v>
      </c>
      <c r="L861" s="304">
        <f t="shared" ca="1" si="377"/>
        <v>874.1530959214748</v>
      </c>
      <c r="M861" s="306">
        <f t="shared" ca="1" si="393"/>
        <v>-1.4648234262799471</v>
      </c>
      <c r="N861" s="304">
        <f t="shared" ca="1" si="394"/>
        <v>-83.928200057733648</v>
      </c>
      <c r="P861" s="310">
        <f t="shared" ca="1" si="395"/>
        <v>23</v>
      </c>
      <c r="Q861" s="304">
        <f t="shared" ca="1" si="396"/>
        <v>0</v>
      </c>
      <c r="R861" s="306">
        <f t="shared" ca="1" si="397"/>
        <v>0</v>
      </c>
      <c r="S861" s="307">
        <f t="shared" ca="1" si="398"/>
        <v>7.8079999999999892</v>
      </c>
      <c r="T861" s="304">
        <f t="shared" ca="1" si="378"/>
        <v>76.5964799999999</v>
      </c>
      <c r="U861" s="311">
        <f t="shared" ca="1" si="379"/>
        <v>0</v>
      </c>
      <c r="V861" s="306">
        <f t="shared" ca="1" si="380"/>
        <v>1.2256445192531593</v>
      </c>
      <c r="W861" s="304">
        <f t="shared" ca="1" si="381"/>
        <v>59.519605677954068</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2.1321018078092688</v>
      </c>
      <c r="AH861" s="304">
        <f t="shared" ca="1" si="405"/>
        <v>-7.6228644380191959</v>
      </c>
    </row>
    <row r="862" spans="1:34" x14ac:dyDescent="0.2">
      <c r="A862" s="347">
        <f t="shared" ca="1" si="383"/>
        <v>1E-4</v>
      </c>
      <c r="B862" s="304">
        <f t="shared" ca="1" si="384"/>
        <v>35.114700000000674</v>
      </c>
      <c r="D862" s="306">
        <f t="shared" ca="1" si="385"/>
        <v>-0.8063096999610101</v>
      </c>
      <c r="E862" s="307">
        <f t="shared" ca="1" si="386"/>
        <v>-2.2298631993762692</v>
      </c>
      <c r="F862" s="304">
        <f t="shared" ca="1" si="387"/>
        <v>2.3711653717494663</v>
      </c>
      <c r="G862" s="306">
        <f t="shared" ca="1" si="388"/>
        <v>12.913558624734618</v>
      </c>
      <c r="H862" s="307">
        <f t="shared" ca="1" si="389"/>
        <v>-121.40165491362917</v>
      </c>
      <c r="I862" s="304">
        <f t="shared" ca="1" si="390"/>
        <v>122.08653411462855</v>
      </c>
      <c r="J862" s="306">
        <f t="shared" ca="1" si="391"/>
        <v>874.13727041639572</v>
      </c>
      <c r="K862" s="307">
        <f t="shared" ca="1" si="392"/>
        <v>-5.2721380699583067</v>
      </c>
      <c r="L862" s="304">
        <f t="shared" ca="1" si="377"/>
        <v>874.15316905611894</v>
      </c>
      <c r="M862" s="306">
        <f t="shared" ca="1" si="393"/>
        <v>-1.4648242762094137</v>
      </c>
      <c r="N862" s="304">
        <f t="shared" ca="1" si="394"/>
        <v>-83.92824875510496</v>
      </c>
      <c r="P862" s="310">
        <f t="shared" ca="1" si="395"/>
        <v>23</v>
      </c>
      <c r="Q862" s="304">
        <f t="shared" ca="1" si="396"/>
        <v>0</v>
      </c>
      <c r="R862" s="306">
        <f t="shared" ca="1" si="397"/>
        <v>0</v>
      </c>
      <c r="S862" s="307">
        <f t="shared" ca="1" si="398"/>
        <v>7.8079999999999892</v>
      </c>
      <c r="T862" s="304">
        <f t="shared" ca="1" si="378"/>
        <v>76.5964799999999</v>
      </c>
      <c r="U862" s="311">
        <f t="shared" ca="1" si="379"/>
        <v>0</v>
      </c>
      <c r="V862" s="306">
        <f t="shared" ca="1" si="380"/>
        <v>1.2256460072055291</v>
      </c>
      <c r="W862" s="304">
        <f t="shared" ca="1" si="381"/>
        <v>59.519885821530238</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2.1320668104084701</v>
      </c>
      <c r="AH862" s="304">
        <f t="shared" ca="1" si="405"/>
        <v>-7.6229003173609309</v>
      </c>
    </row>
    <row r="863" spans="1:34" x14ac:dyDescent="0.2">
      <c r="A863" s="347">
        <f t="shared" ca="1" si="383"/>
        <v>1E-4</v>
      </c>
      <c r="B863" s="304">
        <f t="shared" ca="1" si="384"/>
        <v>35.114800000000677</v>
      </c>
      <c r="D863" s="306">
        <f t="shared" ca="1" si="385"/>
        <v>-0.80630705244250656</v>
      </c>
      <c r="E863" s="307">
        <f t="shared" ca="1" si="386"/>
        <v>-2.2298268363022755</v>
      </c>
      <c r="F863" s="304">
        <f t="shared" ca="1" si="387"/>
        <v>2.3711302753565309</v>
      </c>
      <c r="G863" s="306">
        <f t="shared" ca="1" si="388"/>
        <v>12.913477994029373</v>
      </c>
      <c r="H863" s="307">
        <f t="shared" ca="1" si="389"/>
        <v>-121.4018778963128</v>
      </c>
      <c r="I863" s="304">
        <f t="shared" ca="1" si="390"/>
        <v>122.08674731785396</v>
      </c>
      <c r="J863" s="306">
        <f t="shared" ca="1" si="391"/>
        <v>874.13727041639572</v>
      </c>
      <c r="K863" s="307">
        <f t="shared" ca="1" si="392"/>
        <v>-5.2842782465988041</v>
      </c>
      <c r="L863" s="304">
        <f t="shared" ca="1" si="377"/>
        <v>874.15324235949299</v>
      </c>
      <c r="M863" s="306">
        <f t="shared" ca="1" si="393"/>
        <v>-1.4648251261306051</v>
      </c>
      <c r="N863" s="304">
        <f t="shared" ca="1" si="394"/>
        <v>-83.928297452002155</v>
      </c>
      <c r="P863" s="310">
        <f t="shared" ca="1" si="395"/>
        <v>23</v>
      </c>
      <c r="Q863" s="304">
        <f t="shared" ca="1" si="396"/>
        <v>0</v>
      </c>
      <c r="R863" s="306">
        <f t="shared" ca="1" si="397"/>
        <v>0</v>
      </c>
      <c r="S863" s="307">
        <f t="shared" ca="1" si="398"/>
        <v>7.8079999999999892</v>
      </c>
      <c r="T863" s="304">
        <f t="shared" ca="1" si="378"/>
        <v>76.5964799999999</v>
      </c>
      <c r="U863" s="311">
        <f t="shared" ca="1" si="379"/>
        <v>0</v>
      </c>
      <c r="V863" s="306">
        <f t="shared" ca="1" si="380"/>
        <v>1.2256474951624385</v>
      </c>
      <c r="W863" s="304">
        <f t="shared" ca="1" si="381"/>
        <v>59.520165962782251</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2.1320318132896912</v>
      </c>
      <c r="AH863" s="304">
        <f t="shared" ca="1" si="405"/>
        <v>-7.6229361964050106</v>
      </c>
    </row>
    <row r="864" spans="1:34" x14ac:dyDescent="0.2">
      <c r="A864" s="347">
        <f t="shared" ca="1" si="383"/>
        <v>1E-4</v>
      </c>
      <c r="B864" s="304">
        <f t="shared" ca="1" si="384"/>
        <v>35.114900000000681</v>
      </c>
      <c r="D864" s="306">
        <f t="shared" ca="1" si="385"/>
        <v>-0.80630440489401611</v>
      </c>
      <c r="E864" s="307">
        <f t="shared" ca="1" si="386"/>
        <v>-2.2297904735299729</v>
      </c>
      <c r="F864" s="304">
        <f t="shared" ca="1" si="387"/>
        <v>2.3710951792782411</v>
      </c>
      <c r="G864" s="306">
        <f t="shared" ca="1" si="388"/>
        <v>12.913397363588883</v>
      </c>
      <c r="H864" s="307">
        <f t="shared" ca="1" si="389"/>
        <v>-121.40210087536015</v>
      </c>
      <c r="I864" s="304">
        <f t="shared" ca="1" si="390"/>
        <v>122.0869605175797</v>
      </c>
      <c r="J864" s="306">
        <f t="shared" ca="1" si="391"/>
        <v>874.13727041639572</v>
      </c>
      <c r="K864" s="307">
        <f t="shared" ca="1" si="392"/>
        <v>-5.2964184455373875</v>
      </c>
      <c r="L864" s="304">
        <f t="shared" ca="1" si="377"/>
        <v>874.15331583159775</v>
      </c>
      <c r="M864" s="306">
        <f t="shared" ca="1" si="393"/>
        <v>-1.4648259760435212</v>
      </c>
      <c r="N864" s="304">
        <f t="shared" ca="1" si="394"/>
        <v>-83.928346148425192</v>
      </c>
      <c r="P864" s="310">
        <f t="shared" ca="1" si="395"/>
        <v>23</v>
      </c>
      <c r="Q864" s="304">
        <f t="shared" ca="1" si="396"/>
        <v>0</v>
      </c>
      <c r="R864" s="306">
        <f t="shared" ca="1" si="397"/>
        <v>0</v>
      </c>
      <c r="S864" s="307">
        <f t="shared" ca="1" si="398"/>
        <v>7.8079999999999892</v>
      </c>
      <c r="T864" s="304">
        <f t="shared" ca="1" si="378"/>
        <v>76.5964799999999</v>
      </c>
      <c r="U864" s="311">
        <f t="shared" ca="1" si="379"/>
        <v>0</v>
      </c>
      <c r="V864" s="306">
        <f t="shared" ca="1" si="380"/>
        <v>1.2256489831238879</v>
      </c>
      <c r="W864" s="304">
        <f t="shared" ca="1" si="381"/>
        <v>59.520446101710171</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2.1319968164529426</v>
      </c>
      <c r="AH864" s="304">
        <f t="shared" ca="1" si="405"/>
        <v>-7.6229720751514263</v>
      </c>
    </row>
    <row r="865" spans="1:34" x14ac:dyDescent="0.2">
      <c r="A865" s="347">
        <f t="shared" ca="1" si="383"/>
        <v>1E-4</v>
      </c>
      <c r="B865" s="304">
        <f t="shared" ca="1" si="384"/>
        <v>35.115000000000684</v>
      </c>
      <c r="D865" s="306">
        <f t="shared" ca="1" si="385"/>
        <v>-0.80630175731554277</v>
      </c>
      <c r="E865" s="307">
        <f t="shared" ca="1" si="386"/>
        <v>-2.2297541110593544</v>
      </c>
      <c r="F865" s="304">
        <f t="shared" ca="1" si="387"/>
        <v>2.3710600835145921</v>
      </c>
      <c r="G865" s="306">
        <f t="shared" ca="1" si="388"/>
        <v>12.913316733413152</v>
      </c>
      <c r="H865" s="307">
        <f t="shared" ca="1" si="389"/>
        <v>-121.40232385077125</v>
      </c>
      <c r="I865" s="304">
        <f t="shared" ca="1" si="390"/>
        <v>122.08717371380578</v>
      </c>
      <c r="J865" s="306">
        <f t="shared" ca="1" si="391"/>
        <v>874.13727041639572</v>
      </c>
      <c r="K865" s="307">
        <f t="shared" ca="1" si="392"/>
        <v>-5.3085586667736937</v>
      </c>
      <c r="L865" s="304">
        <f t="shared" ca="1" si="377"/>
        <v>874.15338947243436</v>
      </c>
      <c r="M865" s="306">
        <f t="shared" ca="1" si="393"/>
        <v>-1.4648268259481623</v>
      </c>
      <c r="N865" s="304">
        <f t="shared" ca="1" si="394"/>
        <v>-83.928394844374125</v>
      </c>
      <c r="P865" s="310">
        <f t="shared" ca="1" si="395"/>
        <v>23</v>
      </c>
      <c r="Q865" s="304">
        <f t="shared" ca="1" si="396"/>
        <v>0</v>
      </c>
      <c r="R865" s="306">
        <f t="shared" ca="1" si="397"/>
        <v>0</v>
      </c>
      <c r="S865" s="307">
        <f t="shared" ca="1" si="398"/>
        <v>7.8079999999999892</v>
      </c>
      <c r="T865" s="304">
        <f t="shared" ca="1" si="378"/>
        <v>76.5964799999999</v>
      </c>
      <c r="U865" s="311">
        <f t="shared" ca="1" si="379"/>
        <v>0</v>
      </c>
      <c r="V865" s="306">
        <f t="shared" ca="1" si="380"/>
        <v>1.2256504710898768</v>
      </c>
      <c r="W865" s="304">
        <f t="shared" ca="1" si="381"/>
        <v>59.520726238313948</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2.1319618198982182</v>
      </c>
      <c r="AH865" s="304">
        <f t="shared" ca="1" si="405"/>
        <v>-7.6230079536001858</v>
      </c>
    </row>
    <row r="866" spans="1:34" x14ac:dyDescent="0.2">
      <c r="A866" s="347">
        <f t="shared" ca="1" si="383"/>
        <v>1E-4</v>
      </c>
      <c r="B866" s="304">
        <f t="shared" ca="1" si="384"/>
        <v>35.115100000000687</v>
      </c>
      <c r="D866" s="306">
        <f t="shared" ca="1" si="385"/>
        <v>-0.8062991097070844</v>
      </c>
      <c r="E866" s="307">
        <f t="shared" ca="1" si="386"/>
        <v>-2.2297177488904243</v>
      </c>
      <c r="F866" s="304">
        <f t="shared" ca="1" si="387"/>
        <v>2.3710249880655874</v>
      </c>
      <c r="G866" s="306">
        <f t="shared" ca="1" si="388"/>
        <v>12.913236103502182</v>
      </c>
      <c r="H866" s="307">
        <f t="shared" ca="1" si="389"/>
        <v>-121.40254682254614</v>
      </c>
      <c r="I866" s="304">
        <f t="shared" ca="1" si="390"/>
        <v>122.08738690653225</v>
      </c>
      <c r="J866" s="306">
        <f t="shared" ca="1" si="391"/>
        <v>874.13727041639572</v>
      </c>
      <c r="K866" s="307">
        <f t="shared" ca="1" si="392"/>
        <v>-5.3206989103073594</v>
      </c>
      <c r="L866" s="304">
        <f t="shared" ca="1" si="377"/>
        <v>874.15346328200349</v>
      </c>
      <c r="M866" s="306">
        <f t="shared" ca="1" si="393"/>
        <v>-1.4648276758445282</v>
      </c>
      <c r="N866" s="304">
        <f t="shared" ca="1" si="394"/>
        <v>-83.928443539848914</v>
      </c>
      <c r="P866" s="310">
        <f t="shared" ca="1" si="395"/>
        <v>23</v>
      </c>
      <c r="Q866" s="304">
        <f t="shared" ca="1" si="396"/>
        <v>0</v>
      </c>
      <c r="R866" s="306">
        <f t="shared" ca="1" si="397"/>
        <v>0</v>
      </c>
      <c r="S866" s="307">
        <f t="shared" ca="1" si="398"/>
        <v>7.8079999999999892</v>
      </c>
      <c r="T866" s="304">
        <f t="shared" ca="1" si="378"/>
        <v>76.5964799999999</v>
      </c>
      <c r="U866" s="311">
        <f t="shared" ca="1" si="379"/>
        <v>0</v>
      </c>
      <c r="V866" s="306">
        <f t="shared" ca="1" si="380"/>
        <v>1.225651959060406</v>
      </c>
      <c r="W866" s="304">
        <f t="shared" ca="1" si="381"/>
        <v>59.521006372593646</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2.1319268236255224</v>
      </c>
      <c r="AH866" s="304">
        <f t="shared" ca="1" si="405"/>
        <v>-7.6230438317512847</v>
      </c>
    </row>
    <row r="867" spans="1:34" x14ac:dyDescent="0.2">
      <c r="A867" s="347">
        <f t="shared" ca="1" si="383"/>
        <v>1E-4</v>
      </c>
      <c r="B867" s="304">
        <f t="shared" ca="1" si="384"/>
        <v>35.115200000000691</v>
      </c>
      <c r="D867" s="306">
        <f t="shared" ca="1" si="385"/>
        <v>-0.80629646206864503</v>
      </c>
      <c r="E867" s="307">
        <f t="shared" ca="1" si="386"/>
        <v>-2.2296813870231746</v>
      </c>
      <c r="F867" s="304">
        <f t="shared" ca="1" si="387"/>
        <v>2.3709898929312208</v>
      </c>
      <c r="G867" s="306">
        <f t="shared" ca="1" si="388"/>
        <v>12.913155473855975</v>
      </c>
      <c r="H867" s="307">
        <f t="shared" ca="1" si="389"/>
        <v>-121.40276979068484</v>
      </c>
      <c r="I867" s="304">
        <f t="shared" ca="1" si="390"/>
        <v>122.0876000957591</v>
      </c>
      <c r="J867" s="306">
        <f t="shared" ca="1" si="391"/>
        <v>874.13727041639572</v>
      </c>
      <c r="K867" s="307">
        <f t="shared" ca="1" si="392"/>
        <v>-5.3328391761380214</v>
      </c>
      <c r="L867" s="304">
        <f t="shared" ca="1" si="377"/>
        <v>874.15353726030617</v>
      </c>
      <c r="M867" s="306">
        <f t="shared" ca="1" si="393"/>
        <v>-1.4648285257326195</v>
      </c>
      <c r="N867" s="304">
        <f t="shared" ca="1" si="394"/>
        <v>-83.9284922348496</v>
      </c>
      <c r="P867" s="310">
        <f t="shared" ca="1" si="395"/>
        <v>23</v>
      </c>
      <c r="Q867" s="304">
        <f t="shared" ca="1" si="396"/>
        <v>0</v>
      </c>
      <c r="R867" s="306">
        <f t="shared" ca="1" si="397"/>
        <v>0</v>
      </c>
      <c r="S867" s="307">
        <f t="shared" ca="1" si="398"/>
        <v>7.8079999999999892</v>
      </c>
      <c r="T867" s="304">
        <f t="shared" ca="1" si="378"/>
        <v>76.5964799999999</v>
      </c>
      <c r="U867" s="311">
        <f t="shared" ca="1" si="379"/>
        <v>0</v>
      </c>
      <c r="V867" s="306">
        <f t="shared" ca="1" si="380"/>
        <v>1.2256534470354747</v>
      </c>
      <c r="W867" s="304">
        <f t="shared" ca="1" si="381"/>
        <v>59.521286504549181</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2.1318918276348455</v>
      </c>
      <c r="AH867" s="304">
        <f t="shared" ca="1" si="405"/>
        <v>-7.6230797096047294</v>
      </c>
    </row>
    <row r="868" spans="1:34" x14ac:dyDescent="0.2">
      <c r="A868" s="347">
        <f t="shared" ca="1" si="383"/>
        <v>1E-4</v>
      </c>
      <c r="B868" s="304">
        <f t="shared" ca="1" si="384"/>
        <v>35.115300000000694</v>
      </c>
      <c r="D868" s="306">
        <f t="shared" ca="1" si="385"/>
        <v>-0.80629381440022185</v>
      </c>
      <c r="E868" s="307">
        <f t="shared" ca="1" si="386"/>
        <v>-2.2296450254576161</v>
      </c>
      <c r="F868" s="304">
        <f t="shared" ca="1" si="387"/>
        <v>2.370954798111502</v>
      </c>
      <c r="G868" s="306">
        <f t="shared" ca="1" si="388"/>
        <v>12.913074844474535</v>
      </c>
      <c r="H868" s="307">
        <f t="shared" ca="1" si="389"/>
        <v>-121.40299275518738</v>
      </c>
      <c r="I868" s="304">
        <f t="shared" ca="1" si="390"/>
        <v>122.08781328148638</v>
      </c>
      <c r="J868" s="306">
        <f t="shared" ca="1" si="391"/>
        <v>874.13727041639572</v>
      </c>
      <c r="K868" s="307">
        <f t="shared" ca="1" si="392"/>
        <v>-5.3449794642653146</v>
      </c>
      <c r="L868" s="304">
        <f t="shared" ca="1" si="377"/>
        <v>874.15361140734319</v>
      </c>
      <c r="M868" s="306">
        <f t="shared" ca="1" si="393"/>
        <v>-1.4648293756124358</v>
      </c>
      <c r="N868" s="304">
        <f t="shared" ca="1" si="394"/>
        <v>-83.928540929376169</v>
      </c>
      <c r="P868" s="310">
        <f t="shared" ca="1" si="395"/>
        <v>23</v>
      </c>
      <c r="Q868" s="304">
        <f t="shared" ca="1" si="396"/>
        <v>0</v>
      </c>
      <c r="R868" s="306">
        <f t="shared" ca="1" si="397"/>
        <v>0</v>
      </c>
      <c r="S868" s="307">
        <f t="shared" ca="1" si="398"/>
        <v>7.8079999999999892</v>
      </c>
      <c r="T868" s="304">
        <f t="shared" ca="1" si="378"/>
        <v>76.5964799999999</v>
      </c>
      <c r="U868" s="311">
        <f t="shared" ca="1" si="379"/>
        <v>0</v>
      </c>
      <c r="V868" s="306">
        <f t="shared" ca="1" si="380"/>
        <v>1.2256549350150829</v>
      </c>
      <c r="W868" s="304">
        <f t="shared" ca="1" si="381"/>
        <v>59.52156663418058</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2.1318568319262043</v>
      </c>
      <c r="AH868" s="304">
        <f t="shared" ca="1" si="405"/>
        <v>-7.6231155871605099</v>
      </c>
    </row>
    <row r="869" spans="1:34" x14ac:dyDescent="0.2">
      <c r="A869" s="347">
        <f t="shared" ca="1" si="383"/>
        <v>1E-4</v>
      </c>
      <c r="B869" s="304">
        <f t="shared" ca="1" si="384"/>
        <v>35.115400000000697</v>
      </c>
      <c r="D869" s="306">
        <f t="shared" ca="1" si="385"/>
        <v>-0.80629116670181866</v>
      </c>
      <c r="E869" s="307">
        <f t="shared" ca="1" si="386"/>
        <v>-2.2296086641937469</v>
      </c>
      <c r="F869" s="304">
        <f t="shared" ca="1" si="387"/>
        <v>2.3709197036064307</v>
      </c>
      <c r="G869" s="306">
        <f t="shared" ca="1" si="388"/>
        <v>12.912994215357864</v>
      </c>
      <c r="H869" s="307">
        <f t="shared" ca="1" si="389"/>
        <v>-121.40321571605381</v>
      </c>
      <c r="I869" s="304">
        <f t="shared" ca="1" si="390"/>
        <v>122.08802646371413</v>
      </c>
      <c r="J869" s="306">
        <f t="shared" ca="1" si="391"/>
        <v>874.13727041639572</v>
      </c>
      <c r="K869" s="307">
        <f t="shared" ca="1" si="392"/>
        <v>-5.3571197746888766</v>
      </c>
      <c r="L869" s="304">
        <f t="shared" ca="1" si="377"/>
        <v>874.15368572311547</v>
      </c>
      <c r="M869" s="306">
        <f t="shared" ca="1" si="393"/>
        <v>-1.4648302254839776</v>
      </c>
      <c r="N869" s="304">
        <f t="shared" ca="1" si="394"/>
        <v>-83.928589623428635</v>
      </c>
      <c r="P869" s="310">
        <f t="shared" ca="1" si="395"/>
        <v>23</v>
      </c>
      <c r="Q869" s="304">
        <f t="shared" ca="1" si="396"/>
        <v>0</v>
      </c>
      <c r="R869" s="306">
        <f t="shared" ca="1" si="397"/>
        <v>0</v>
      </c>
      <c r="S869" s="307">
        <f t="shared" ca="1" si="398"/>
        <v>7.8079999999999892</v>
      </c>
      <c r="T869" s="304">
        <f t="shared" ca="1" si="378"/>
        <v>76.5964799999999</v>
      </c>
      <c r="U869" s="311">
        <f t="shared" ca="1" si="379"/>
        <v>0</v>
      </c>
      <c r="V869" s="306">
        <f t="shared" ca="1" si="380"/>
        <v>1.2256564229992311</v>
      </c>
      <c r="W869" s="304">
        <f t="shared" ca="1" si="381"/>
        <v>59.521846761487886</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2.13182183649959</v>
      </c>
      <c r="AH869" s="304">
        <f t="shared" ca="1" si="405"/>
        <v>-7.6231514644186298</v>
      </c>
    </row>
    <row r="870" spans="1:34" x14ac:dyDescent="0.2">
      <c r="A870" s="347">
        <f t="shared" ca="1" si="383"/>
        <v>1E-4</v>
      </c>
      <c r="B870" s="304">
        <f t="shared" ca="1" si="384"/>
        <v>35.115500000000701</v>
      </c>
      <c r="D870" s="306">
        <f t="shared" ca="1" si="385"/>
        <v>-0.80628851897343423</v>
      </c>
      <c r="E870" s="307">
        <f t="shared" ca="1" si="386"/>
        <v>-2.2295723032315591</v>
      </c>
      <c r="F870" s="304">
        <f t="shared" ca="1" si="387"/>
        <v>2.3708846094159988</v>
      </c>
      <c r="G870" s="306">
        <f t="shared" ca="1" si="388"/>
        <v>12.912913586505967</v>
      </c>
      <c r="H870" s="307">
        <f t="shared" ca="1" si="389"/>
        <v>-121.40343867328413</v>
      </c>
      <c r="I870" s="304">
        <f t="shared" ca="1" si="390"/>
        <v>122.08823964244235</v>
      </c>
      <c r="J870" s="306">
        <f t="shared" ca="1" si="391"/>
        <v>874.13727041639572</v>
      </c>
      <c r="K870" s="307">
        <f t="shared" ca="1" si="392"/>
        <v>-5.3692601074083433</v>
      </c>
      <c r="L870" s="304">
        <f t="shared" ca="1" si="377"/>
        <v>874.1537602076238</v>
      </c>
      <c r="M870" s="306">
        <f t="shared" ca="1" si="393"/>
        <v>-1.4648310753472447</v>
      </c>
      <c r="N870" s="304">
        <f t="shared" ca="1" si="394"/>
        <v>-83.928638317007014</v>
      </c>
      <c r="P870" s="310">
        <f t="shared" ca="1" si="395"/>
        <v>23</v>
      </c>
      <c r="Q870" s="304">
        <f t="shared" ca="1" si="396"/>
        <v>0</v>
      </c>
      <c r="R870" s="306">
        <f t="shared" ca="1" si="397"/>
        <v>0</v>
      </c>
      <c r="S870" s="307">
        <f t="shared" ca="1" si="398"/>
        <v>7.8079999999999892</v>
      </c>
      <c r="T870" s="304">
        <f t="shared" ca="1" si="378"/>
        <v>76.5964799999999</v>
      </c>
      <c r="U870" s="311">
        <f t="shared" ca="1" si="379"/>
        <v>0</v>
      </c>
      <c r="V870" s="306">
        <f t="shared" ca="1" si="380"/>
        <v>1.2256579109879187</v>
      </c>
      <c r="W870" s="304">
        <f t="shared" ca="1" si="381"/>
        <v>59.52212688647105</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2.131786841354999</v>
      </c>
      <c r="AH870" s="304">
        <f t="shared" ca="1" si="405"/>
        <v>-7.6231873413790945</v>
      </c>
    </row>
    <row r="871" spans="1:34" x14ac:dyDescent="0.2">
      <c r="A871" s="347">
        <f t="shared" ca="1" si="383"/>
        <v>1E-4</v>
      </c>
      <c r="B871" s="304">
        <f t="shared" ca="1" si="384"/>
        <v>35.115600000000704</v>
      </c>
      <c r="D871" s="306">
        <f t="shared" ca="1" si="385"/>
        <v>-0.80628587121507111</v>
      </c>
      <c r="E871" s="307">
        <f t="shared" ca="1" si="386"/>
        <v>-2.2295359425710615</v>
      </c>
      <c r="F871" s="304">
        <f t="shared" ca="1" si="387"/>
        <v>2.3708495155402161</v>
      </c>
      <c r="G871" s="306">
        <f t="shared" ca="1" si="388"/>
        <v>12.912832957918846</v>
      </c>
      <c r="H871" s="307">
        <f t="shared" ca="1" si="389"/>
        <v>-121.40366162687839</v>
      </c>
      <c r="I871" s="304">
        <f t="shared" ca="1" si="390"/>
        <v>122.08845281767108</v>
      </c>
      <c r="J871" s="306">
        <f t="shared" ca="1" si="391"/>
        <v>874.13727041639572</v>
      </c>
      <c r="K871" s="307">
        <f t="shared" ca="1" si="392"/>
        <v>-5.3814004624233513</v>
      </c>
      <c r="L871" s="304">
        <f t="shared" ca="1" si="377"/>
        <v>874.15383486086921</v>
      </c>
      <c r="M871" s="306">
        <f t="shared" ca="1" si="393"/>
        <v>-1.4648319252022375</v>
      </c>
      <c r="N871" s="304">
        <f t="shared" ca="1" si="394"/>
        <v>-83.92868701011129</v>
      </c>
      <c r="P871" s="310">
        <f t="shared" ca="1" si="395"/>
        <v>23</v>
      </c>
      <c r="Q871" s="304">
        <f t="shared" ca="1" si="396"/>
        <v>0</v>
      </c>
      <c r="R871" s="306">
        <f t="shared" ca="1" si="397"/>
        <v>0</v>
      </c>
      <c r="S871" s="307">
        <f t="shared" ca="1" si="398"/>
        <v>7.8079999999999892</v>
      </c>
      <c r="T871" s="304">
        <f t="shared" ca="1" si="378"/>
        <v>76.5964799999999</v>
      </c>
      <c r="U871" s="311">
        <f t="shared" ca="1" si="379"/>
        <v>0</v>
      </c>
      <c r="V871" s="306">
        <f t="shared" ca="1" si="380"/>
        <v>1.225659398981146</v>
      </c>
      <c r="W871" s="304">
        <f t="shared" ca="1" si="381"/>
        <v>59.52240700913007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2.1317518464924383</v>
      </c>
      <c r="AH871" s="304">
        <f t="shared" ca="1" si="405"/>
        <v>-7.6232232180418968</v>
      </c>
    </row>
    <row r="872" spans="1:34" x14ac:dyDescent="0.2">
      <c r="A872" s="347">
        <f t="shared" ca="1" si="383"/>
        <v>1E-4</v>
      </c>
      <c r="B872" s="304">
        <f t="shared" ca="1" si="384"/>
        <v>35.115700000000707</v>
      </c>
      <c r="D872" s="306">
        <f t="shared" ca="1" si="385"/>
        <v>-0.80628322342672787</v>
      </c>
      <c r="E872" s="307">
        <f t="shared" ca="1" si="386"/>
        <v>-2.2294995822122532</v>
      </c>
      <c r="F872" s="304">
        <f t="shared" ca="1" si="387"/>
        <v>2.3708144219790812</v>
      </c>
      <c r="G872" s="306">
        <f t="shared" ca="1" si="388"/>
        <v>12.912752329596504</v>
      </c>
      <c r="H872" s="307">
        <f t="shared" ca="1" si="389"/>
        <v>-121.4038845768366</v>
      </c>
      <c r="I872" s="304">
        <f t="shared" ca="1" si="390"/>
        <v>122.08866598940035</v>
      </c>
      <c r="J872" s="306">
        <f t="shared" ca="1" si="391"/>
        <v>874.13727041639572</v>
      </c>
      <c r="K872" s="307">
        <f t="shared" ca="1" si="392"/>
        <v>-5.3935408397335367</v>
      </c>
      <c r="L872" s="304">
        <f t="shared" ca="1" si="377"/>
        <v>874.1539096828526</v>
      </c>
      <c r="M872" s="306">
        <f t="shared" ca="1" si="393"/>
        <v>-1.464832775048956</v>
      </c>
      <c r="N872" s="304">
        <f t="shared" ca="1" si="394"/>
        <v>-83.928735702741506</v>
      </c>
      <c r="P872" s="310">
        <f t="shared" ca="1" si="395"/>
        <v>23</v>
      </c>
      <c r="Q872" s="304">
        <f t="shared" ca="1" si="396"/>
        <v>0</v>
      </c>
      <c r="R872" s="306">
        <f t="shared" ca="1" si="397"/>
        <v>0</v>
      </c>
      <c r="S872" s="307">
        <f t="shared" ca="1" si="398"/>
        <v>7.8079999999999892</v>
      </c>
      <c r="T872" s="304">
        <f t="shared" ca="1" si="378"/>
        <v>76.5964799999999</v>
      </c>
      <c r="U872" s="311">
        <f t="shared" ca="1" si="379"/>
        <v>0</v>
      </c>
      <c r="V872" s="306">
        <f t="shared" ca="1" si="380"/>
        <v>1.225660886978913</v>
      </c>
      <c r="W872" s="304">
        <f t="shared" ca="1" si="381"/>
        <v>59.522687129464977</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2.131716851911909</v>
      </c>
      <c r="AH872" s="304">
        <f t="shared" ca="1" si="405"/>
        <v>-7.6232590944070378</v>
      </c>
    </row>
    <row r="873" spans="1:34" x14ac:dyDescent="0.2">
      <c r="A873" s="347">
        <f t="shared" ca="1" si="383"/>
        <v>1E-4</v>
      </c>
      <c r="B873" s="304">
        <f t="shared" ca="1" si="384"/>
        <v>35.115800000000711</v>
      </c>
      <c r="D873" s="306">
        <f t="shared" ca="1" si="385"/>
        <v>-0.80628057560840638</v>
      </c>
      <c r="E873" s="307">
        <f t="shared" ca="1" si="386"/>
        <v>-2.2294632221551289</v>
      </c>
      <c r="F873" s="304">
        <f t="shared" ca="1" si="387"/>
        <v>2.3707793287325907</v>
      </c>
      <c r="G873" s="306">
        <f t="shared" ca="1" si="388"/>
        <v>12.912671701538944</v>
      </c>
      <c r="H873" s="307">
        <f t="shared" ca="1" si="389"/>
        <v>-121.40410752315881</v>
      </c>
      <c r="I873" s="304">
        <f t="shared" ca="1" si="390"/>
        <v>122.0888791576302</v>
      </c>
      <c r="J873" s="306">
        <f t="shared" ca="1" si="391"/>
        <v>874.13727041639572</v>
      </c>
      <c r="K873" s="307">
        <f t="shared" ca="1" si="392"/>
        <v>-5.4056812393385361</v>
      </c>
      <c r="L873" s="304">
        <f t="shared" ca="1" si="377"/>
        <v>874.15398467357466</v>
      </c>
      <c r="M873" s="306">
        <f t="shared" ca="1" si="393"/>
        <v>-1.4648336248874003</v>
      </c>
      <c r="N873" s="304">
        <f t="shared" ca="1" si="394"/>
        <v>-83.928784394897633</v>
      </c>
      <c r="P873" s="310">
        <f t="shared" ca="1" si="395"/>
        <v>23</v>
      </c>
      <c r="Q873" s="304">
        <f t="shared" ca="1" si="396"/>
        <v>0</v>
      </c>
      <c r="R873" s="306">
        <f t="shared" ca="1" si="397"/>
        <v>0</v>
      </c>
      <c r="S873" s="307">
        <f t="shared" ca="1" si="398"/>
        <v>7.8079999999999892</v>
      </c>
      <c r="T873" s="304">
        <f t="shared" ca="1" si="378"/>
        <v>76.5964799999999</v>
      </c>
      <c r="U873" s="311">
        <f t="shared" ca="1" si="379"/>
        <v>0</v>
      </c>
      <c r="V873" s="306">
        <f t="shared" ca="1" si="380"/>
        <v>1.2256623749812197</v>
      </c>
      <c r="W873" s="304">
        <f t="shared" ca="1" si="381"/>
        <v>59.522967247475769</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2.1316818576134056</v>
      </c>
      <c r="AH873" s="304">
        <f t="shared" ca="1" si="405"/>
        <v>-7.6232949704745208</v>
      </c>
    </row>
    <row r="874" spans="1:34" x14ac:dyDescent="0.2">
      <c r="A874" s="347">
        <f t="shared" ca="1" si="383"/>
        <v>1E-4</v>
      </c>
      <c r="B874" s="304">
        <f t="shared" ca="1" si="384"/>
        <v>35.115900000000714</v>
      </c>
      <c r="D874" s="306">
        <f t="shared" ca="1" si="385"/>
        <v>-0.80627792776010831</v>
      </c>
      <c r="E874" s="307">
        <f t="shared" ca="1" si="386"/>
        <v>-2.2294268623996913</v>
      </c>
      <c r="F874" s="304">
        <f t="shared" ca="1" si="387"/>
        <v>2.3707442358007467</v>
      </c>
      <c r="G874" s="306">
        <f t="shared" ca="1" si="388"/>
        <v>12.912591073746167</v>
      </c>
      <c r="H874" s="307">
        <f t="shared" ca="1" si="389"/>
        <v>-121.40433046584505</v>
      </c>
      <c r="I874" s="304">
        <f t="shared" ca="1" si="390"/>
        <v>122.08909232236064</v>
      </c>
      <c r="J874" s="306">
        <f t="shared" ca="1" si="391"/>
        <v>874.13727041639572</v>
      </c>
      <c r="K874" s="307">
        <f t="shared" ca="1" si="392"/>
        <v>-5.4178216612379861</v>
      </c>
      <c r="L874" s="304">
        <f t="shared" ca="1" si="377"/>
        <v>874.15405983303651</v>
      </c>
      <c r="M874" s="306">
        <f t="shared" ca="1" si="393"/>
        <v>-1.4648344747175708</v>
      </c>
      <c r="N874" s="304">
        <f t="shared" ca="1" si="394"/>
        <v>-83.928833086579701</v>
      </c>
      <c r="P874" s="310">
        <f t="shared" ca="1" si="395"/>
        <v>23</v>
      </c>
      <c r="Q874" s="304">
        <f t="shared" ca="1" si="396"/>
        <v>0</v>
      </c>
      <c r="R874" s="306">
        <f t="shared" ca="1" si="397"/>
        <v>0</v>
      </c>
      <c r="S874" s="307">
        <f t="shared" ca="1" si="398"/>
        <v>7.8079999999999892</v>
      </c>
      <c r="T874" s="304">
        <f t="shared" ca="1" si="378"/>
        <v>76.5964799999999</v>
      </c>
      <c r="U874" s="311">
        <f t="shared" ca="1" si="379"/>
        <v>0</v>
      </c>
      <c r="V874" s="306">
        <f t="shared" ca="1" si="380"/>
        <v>1.2256638629880656</v>
      </c>
      <c r="W874" s="304">
        <f t="shared" ca="1" si="381"/>
        <v>59.523247363162405</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2.1316468635969317</v>
      </c>
      <c r="AH874" s="304">
        <f t="shared" ca="1" si="405"/>
        <v>-7.6233308462443459</v>
      </c>
    </row>
    <row r="875" spans="1:34" x14ac:dyDescent="0.2">
      <c r="A875" s="347">
        <f t="shared" ca="1" si="383"/>
        <v>1E-4</v>
      </c>
      <c r="B875" s="304">
        <f t="shared" ca="1" si="384"/>
        <v>35.116000000000717</v>
      </c>
      <c r="D875" s="306">
        <f t="shared" ca="1" si="385"/>
        <v>-0.80627527988183123</v>
      </c>
      <c r="E875" s="307">
        <f t="shared" ca="1" si="386"/>
        <v>-2.229390502945944</v>
      </c>
      <c r="F875" s="304">
        <f t="shared" ca="1" si="387"/>
        <v>2.3707091431835527</v>
      </c>
      <c r="G875" s="306">
        <f t="shared" ca="1" si="388"/>
        <v>12.91251044621818</v>
      </c>
      <c r="H875" s="307">
        <f t="shared" ca="1" si="389"/>
        <v>-121.40455340489534</v>
      </c>
      <c r="I875" s="304">
        <f t="shared" ca="1" si="390"/>
        <v>122.08930548359172</v>
      </c>
      <c r="J875" s="306">
        <f t="shared" ca="1" si="391"/>
        <v>874.13727041639572</v>
      </c>
      <c r="K875" s="307">
        <f t="shared" ca="1" si="392"/>
        <v>-5.4299621054315228</v>
      </c>
      <c r="L875" s="304">
        <f t="shared" ca="1" si="377"/>
        <v>874.15413516123874</v>
      </c>
      <c r="M875" s="306">
        <f t="shared" ca="1" si="393"/>
        <v>-1.464835324539467</v>
      </c>
      <c r="N875" s="304">
        <f t="shared" ca="1" si="394"/>
        <v>-83.92888177778768</v>
      </c>
      <c r="P875" s="310">
        <f t="shared" ca="1" si="395"/>
        <v>23</v>
      </c>
      <c r="Q875" s="304">
        <f t="shared" ca="1" si="396"/>
        <v>0</v>
      </c>
      <c r="R875" s="306">
        <f t="shared" ca="1" si="397"/>
        <v>0</v>
      </c>
      <c r="S875" s="307">
        <f t="shared" ca="1" si="398"/>
        <v>7.8079999999999892</v>
      </c>
      <c r="T875" s="304">
        <f t="shared" ca="1" si="378"/>
        <v>76.5964799999999</v>
      </c>
      <c r="U875" s="311">
        <f t="shared" ca="1" si="379"/>
        <v>0</v>
      </c>
      <c r="V875" s="306">
        <f t="shared" ca="1" si="380"/>
        <v>1.2256653509994511</v>
      </c>
      <c r="W875" s="304">
        <f t="shared" ca="1" si="381"/>
        <v>59.523527476524919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2.1316118698624917</v>
      </c>
      <c r="AH875" s="304">
        <f t="shared" ca="1" si="405"/>
        <v>-7.6233667217165069</v>
      </c>
    </row>
    <row r="876" spans="1:34" x14ac:dyDescent="0.2">
      <c r="A876" s="347">
        <f t="shared" ca="1" si="383"/>
        <v>1E-4</v>
      </c>
      <c r="B876" s="304">
        <f t="shared" ca="1" si="384"/>
        <v>35.116100000000721</v>
      </c>
      <c r="D876" s="306">
        <f t="shared" ca="1" si="385"/>
        <v>-0.80627263197358101</v>
      </c>
      <c r="E876" s="307">
        <f t="shared" ca="1" si="386"/>
        <v>-2.2293541437938833</v>
      </c>
      <c r="F876" s="304">
        <f t="shared" ca="1" si="387"/>
        <v>2.3706740508810071</v>
      </c>
      <c r="G876" s="306">
        <f t="shared" ca="1" si="388"/>
        <v>12.912429818954983</v>
      </c>
      <c r="H876" s="307">
        <f t="shared" ca="1" si="389"/>
        <v>-121.40477634030972</v>
      </c>
      <c r="I876" s="304">
        <f t="shared" ca="1" si="390"/>
        <v>122.08951864132345</v>
      </c>
      <c r="J876" s="306">
        <f t="shared" ca="1" si="391"/>
        <v>874.13727041639572</v>
      </c>
      <c r="K876" s="307">
        <f t="shared" ca="1" si="392"/>
        <v>-5.4421025719187828</v>
      </c>
      <c r="L876" s="304">
        <f t="shared" ca="1" si="377"/>
        <v>874.15421065818248</v>
      </c>
      <c r="M876" s="306">
        <f t="shared" ca="1" si="393"/>
        <v>-1.4648361743530895</v>
      </c>
      <c r="N876" s="304">
        <f t="shared" ca="1" si="394"/>
        <v>-83.928930468521628</v>
      </c>
      <c r="P876" s="310">
        <f t="shared" ca="1" si="395"/>
        <v>23</v>
      </c>
      <c r="Q876" s="304">
        <f t="shared" ca="1" si="396"/>
        <v>0</v>
      </c>
      <c r="R876" s="306">
        <f t="shared" ca="1" si="397"/>
        <v>0</v>
      </c>
      <c r="S876" s="307">
        <f t="shared" ca="1" si="398"/>
        <v>7.8079999999999892</v>
      </c>
      <c r="T876" s="304">
        <f t="shared" ca="1" si="378"/>
        <v>76.5964799999999</v>
      </c>
      <c r="U876" s="311">
        <f t="shared" ca="1" si="379"/>
        <v>0</v>
      </c>
      <c r="V876" s="306">
        <f t="shared" ca="1" si="380"/>
        <v>1.2256668390153764</v>
      </c>
      <c r="W876" s="304">
        <f t="shared" ca="1" si="381"/>
        <v>59.523807587563347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2.1315768764100804</v>
      </c>
      <c r="AH876" s="304">
        <f t="shared" ca="1" si="405"/>
        <v>-7.6234025968910091</v>
      </c>
    </row>
    <row r="877" spans="1:34" x14ac:dyDescent="0.2">
      <c r="A877" s="347">
        <f t="shared" ca="1" si="383"/>
        <v>1E-4</v>
      </c>
      <c r="B877" s="304">
        <f t="shared" ca="1" si="384"/>
        <v>35.116200000000724</v>
      </c>
      <c r="D877" s="306">
        <f t="shared" ca="1" si="385"/>
        <v>-0.80626998403535444</v>
      </c>
      <c r="E877" s="307">
        <f t="shared" ca="1" si="386"/>
        <v>-2.229317784943504</v>
      </c>
      <c r="F877" s="304">
        <f t="shared" ca="1" si="387"/>
        <v>2.3706389588931045</v>
      </c>
      <c r="G877" s="306">
        <f t="shared" ca="1" si="388"/>
        <v>12.912349191956579</v>
      </c>
      <c r="H877" s="307">
        <f t="shared" ca="1" si="389"/>
        <v>-121.40499927208822</v>
      </c>
      <c r="I877" s="304">
        <f t="shared" ca="1" si="390"/>
        <v>122.08973179555586</v>
      </c>
      <c r="J877" s="306">
        <f t="shared" ca="1" si="391"/>
        <v>874.13727041639572</v>
      </c>
      <c r="K877" s="307">
        <f t="shared" ca="1" si="392"/>
        <v>-5.4542430606994028</v>
      </c>
      <c r="L877" s="304">
        <f t="shared" ca="1" si="377"/>
        <v>874.15428632386863</v>
      </c>
      <c r="M877" s="306">
        <f t="shared" ca="1" si="393"/>
        <v>-1.4648370241584385</v>
      </c>
      <c r="N877" s="304">
        <f t="shared" ca="1" si="394"/>
        <v>-83.928979158781544</v>
      </c>
      <c r="P877" s="310">
        <f t="shared" ca="1" si="395"/>
        <v>23</v>
      </c>
      <c r="Q877" s="304">
        <f t="shared" ca="1" si="396"/>
        <v>0</v>
      </c>
      <c r="R877" s="306">
        <f t="shared" ca="1" si="397"/>
        <v>0</v>
      </c>
      <c r="S877" s="307">
        <f t="shared" ca="1" si="398"/>
        <v>7.8079999999999892</v>
      </c>
      <c r="T877" s="304">
        <f t="shared" ca="1" si="378"/>
        <v>76.5964799999999</v>
      </c>
      <c r="U877" s="311">
        <f t="shared" ca="1" si="379"/>
        <v>0</v>
      </c>
      <c r="V877" s="306">
        <f t="shared" ca="1" si="380"/>
        <v>1.2256683270358408</v>
      </c>
      <c r="W877" s="304">
        <f t="shared" ca="1" si="381"/>
        <v>59.524087696277604</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2.1315418832396951</v>
      </c>
      <c r="AH877" s="304">
        <f t="shared" ca="1" si="405"/>
        <v>-7.6234384717678569</v>
      </c>
    </row>
    <row r="878" spans="1:34" x14ac:dyDescent="0.2">
      <c r="A878" s="347">
        <f t="shared" ca="1" si="383"/>
        <v>1E-4</v>
      </c>
      <c r="B878" s="304">
        <f t="shared" ca="1" si="384"/>
        <v>35.116300000000727</v>
      </c>
      <c r="D878" s="306">
        <f t="shared" ca="1" si="385"/>
        <v>-0.80626733606715195</v>
      </c>
      <c r="E878" s="307">
        <f t="shared" ca="1" si="386"/>
        <v>-2.2292814263948175</v>
      </c>
      <c r="F878" s="304">
        <f t="shared" ca="1" si="387"/>
        <v>2.3706038672198555</v>
      </c>
      <c r="G878" s="306">
        <f t="shared" ca="1" si="388"/>
        <v>12.912268565222973</v>
      </c>
      <c r="H878" s="307">
        <f t="shared" ca="1" si="389"/>
        <v>-121.40522220023085</v>
      </c>
      <c r="I878" s="304">
        <f t="shared" ca="1" si="390"/>
        <v>122.08994494628897</v>
      </c>
      <c r="J878" s="306">
        <f t="shared" ca="1" si="391"/>
        <v>874.13727041639572</v>
      </c>
      <c r="K878" s="307">
        <f t="shared" ca="1" si="392"/>
        <v>-5.4663835717730187</v>
      </c>
      <c r="L878" s="304">
        <f t="shared" ca="1" si="377"/>
        <v>874.15436215829789</v>
      </c>
      <c r="M878" s="306">
        <f t="shared" ca="1" si="393"/>
        <v>-1.4648378739555137</v>
      </c>
      <c r="N878" s="304">
        <f t="shared" ca="1" si="394"/>
        <v>-83.929027848567387</v>
      </c>
      <c r="P878" s="310">
        <f t="shared" ca="1" si="395"/>
        <v>23</v>
      </c>
      <c r="Q878" s="304">
        <f t="shared" ca="1" si="396"/>
        <v>0</v>
      </c>
      <c r="R878" s="306">
        <f t="shared" ca="1" si="397"/>
        <v>0</v>
      </c>
      <c r="S878" s="307">
        <f t="shared" ca="1" si="398"/>
        <v>7.8079999999999892</v>
      </c>
      <c r="T878" s="304">
        <f t="shared" ca="1" si="378"/>
        <v>76.5964799999999</v>
      </c>
      <c r="U878" s="311">
        <f t="shared" ca="1" si="379"/>
        <v>0</v>
      </c>
      <c r="V878" s="306">
        <f t="shared" ca="1" si="380"/>
        <v>1.2256698150608445</v>
      </c>
      <c r="W878" s="304">
        <f t="shared" ca="1" si="381"/>
        <v>59.524367802667712</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2.1315068903513463</v>
      </c>
      <c r="AH878" s="304">
        <f t="shared" ca="1" si="405"/>
        <v>-7.6234743463470398</v>
      </c>
    </row>
    <row r="879" spans="1:34" x14ac:dyDescent="0.2">
      <c r="A879" s="347">
        <f t="shared" ca="1" si="383"/>
        <v>1E-4</v>
      </c>
      <c r="B879" s="304">
        <f t="shared" ca="1" si="384"/>
        <v>35.116400000000731</v>
      </c>
      <c r="D879" s="306">
        <f t="shared" ca="1" si="385"/>
        <v>-0.80626468806897744</v>
      </c>
      <c r="E879" s="307">
        <f t="shared" ca="1" si="386"/>
        <v>-2.2292450681478213</v>
      </c>
      <c r="F879" s="304">
        <f t="shared" ca="1" si="387"/>
        <v>2.3705687758612592</v>
      </c>
      <c r="G879" s="306">
        <f t="shared" ca="1" si="388"/>
        <v>12.912187938754167</v>
      </c>
      <c r="H879" s="307">
        <f t="shared" ca="1" si="389"/>
        <v>-121.40544512473767</v>
      </c>
      <c r="I879" s="304">
        <f t="shared" ca="1" si="390"/>
        <v>122.09015809352282</v>
      </c>
      <c r="J879" s="306">
        <f t="shared" ca="1" si="391"/>
        <v>874.13727041639572</v>
      </c>
      <c r="K879" s="307">
        <f t="shared" ca="1" si="392"/>
        <v>-5.4785241051392672</v>
      </c>
      <c r="L879" s="304">
        <f t="shared" ca="1" si="377"/>
        <v>874.15443816147126</v>
      </c>
      <c r="M879" s="306">
        <f t="shared" ca="1" si="393"/>
        <v>-1.4648387237443157</v>
      </c>
      <c r="N879" s="304">
        <f t="shared" ca="1" si="394"/>
        <v>-83.929076537879212</v>
      </c>
      <c r="P879" s="310">
        <f t="shared" ca="1" si="395"/>
        <v>23</v>
      </c>
      <c r="Q879" s="304">
        <f t="shared" ca="1" si="396"/>
        <v>0</v>
      </c>
      <c r="R879" s="306">
        <f t="shared" ca="1" si="397"/>
        <v>0</v>
      </c>
      <c r="S879" s="307">
        <f t="shared" ca="1" si="398"/>
        <v>7.8079999999999892</v>
      </c>
      <c r="T879" s="304">
        <f t="shared" ca="1" si="378"/>
        <v>76.5964799999999</v>
      </c>
      <c r="U879" s="311">
        <f t="shared" ca="1" si="379"/>
        <v>0</v>
      </c>
      <c r="V879" s="306">
        <f t="shared" ca="1" si="380"/>
        <v>1.2256713030903879</v>
      </c>
      <c r="W879" s="304">
        <f t="shared" ca="1" si="381"/>
        <v>59.524647906733705</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2.1314718977450289</v>
      </c>
      <c r="AH879" s="304">
        <f t="shared" ca="1" si="405"/>
        <v>-7.6235102206285594</v>
      </c>
    </row>
    <row r="880" spans="1:34" x14ac:dyDescent="0.2">
      <c r="A880" s="347">
        <f t="shared" ca="1" si="383"/>
        <v>1E-4</v>
      </c>
      <c r="B880" s="304">
        <f t="shared" ca="1" si="384"/>
        <v>35.116500000000734</v>
      </c>
      <c r="D880" s="306">
        <f t="shared" ca="1" si="385"/>
        <v>-0.8062620400408278</v>
      </c>
      <c r="E880" s="307">
        <f t="shared" ca="1" si="386"/>
        <v>-2.22920871020251</v>
      </c>
      <c r="F880" s="304">
        <f t="shared" ca="1" si="387"/>
        <v>2.3705336848173104</v>
      </c>
      <c r="G880" s="306">
        <f t="shared" ca="1" si="388"/>
        <v>12.912107312550162</v>
      </c>
      <c r="H880" s="307">
        <f t="shared" ca="1" si="389"/>
        <v>-121.40566804560869</v>
      </c>
      <c r="I880" s="304">
        <f t="shared" ca="1" si="390"/>
        <v>122.09037123725746</v>
      </c>
      <c r="J880" s="306">
        <f t="shared" ca="1" si="391"/>
        <v>874.13727041639572</v>
      </c>
      <c r="K880" s="307">
        <f t="shared" ca="1" si="392"/>
        <v>-5.4906646607977843</v>
      </c>
      <c r="L880" s="304">
        <f t="shared" ca="1" si="377"/>
        <v>874.15451433338967</v>
      </c>
      <c r="M880" s="306">
        <f t="shared" ca="1" si="393"/>
        <v>-1.4648395735248441</v>
      </c>
      <c r="N880" s="304">
        <f t="shared" ca="1" si="394"/>
        <v>-83.929125226717005</v>
      </c>
      <c r="P880" s="310">
        <f t="shared" ca="1" si="395"/>
        <v>23</v>
      </c>
      <c r="Q880" s="304">
        <f t="shared" ca="1" si="396"/>
        <v>0</v>
      </c>
      <c r="R880" s="306">
        <f t="shared" ca="1" si="397"/>
        <v>0</v>
      </c>
      <c r="S880" s="307">
        <f t="shared" ca="1" si="398"/>
        <v>7.8079999999999892</v>
      </c>
      <c r="T880" s="304">
        <f t="shared" ca="1" si="378"/>
        <v>76.5964799999999</v>
      </c>
      <c r="U880" s="311">
        <f t="shared" ca="1" si="379"/>
        <v>0</v>
      </c>
      <c r="V880" s="306">
        <f t="shared" ca="1" si="380"/>
        <v>1.2256727911244703</v>
      </c>
      <c r="W880" s="304">
        <f t="shared" ca="1" si="381"/>
        <v>59.524928008475577</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2.1314369054207427</v>
      </c>
      <c r="AH880" s="304">
        <f t="shared" ca="1" si="405"/>
        <v>-7.6235460946124212</v>
      </c>
    </row>
    <row r="881" spans="1:34" x14ac:dyDescent="0.2">
      <c r="A881" s="347">
        <f t="shared" ca="1" si="383"/>
        <v>1E-4</v>
      </c>
      <c r="B881" s="304">
        <f t="shared" ca="1" si="384"/>
        <v>35.116600000000737</v>
      </c>
      <c r="D881" s="306">
        <f t="shared" ca="1" si="385"/>
        <v>-0.80625939198270802</v>
      </c>
      <c r="E881" s="307">
        <f t="shared" ca="1" si="386"/>
        <v>-2.2291723525588854</v>
      </c>
      <c r="F881" s="304">
        <f t="shared" ca="1" si="387"/>
        <v>2.3704985940880121</v>
      </c>
      <c r="G881" s="306">
        <f t="shared" ca="1" si="388"/>
        <v>12.912026686610965</v>
      </c>
      <c r="H881" s="307">
        <f t="shared" ca="1" si="389"/>
        <v>-121.40589096284396</v>
      </c>
      <c r="I881" s="304">
        <f t="shared" ca="1" si="390"/>
        <v>122.09058437749287</v>
      </c>
      <c r="J881" s="306">
        <f t="shared" ca="1" si="391"/>
        <v>874.13727041639572</v>
      </c>
      <c r="K881" s="307">
        <f t="shared" ca="1" si="392"/>
        <v>-5.5028052387482065</v>
      </c>
      <c r="L881" s="304">
        <f t="shared" ca="1" si="377"/>
        <v>874.15459067405379</v>
      </c>
      <c r="M881" s="306">
        <f t="shared" ca="1" si="393"/>
        <v>-1.4648404232970995</v>
      </c>
      <c r="N881" s="304">
        <f t="shared" ca="1" si="394"/>
        <v>-83.929173915080796</v>
      </c>
      <c r="P881" s="310">
        <f t="shared" ca="1" si="395"/>
        <v>23</v>
      </c>
      <c r="Q881" s="304">
        <f t="shared" ca="1" si="396"/>
        <v>0</v>
      </c>
      <c r="R881" s="306">
        <f t="shared" ca="1" si="397"/>
        <v>0</v>
      </c>
      <c r="S881" s="307">
        <f t="shared" ca="1" si="398"/>
        <v>7.8079999999999892</v>
      </c>
      <c r="T881" s="304">
        <f t="shared" ca="1" si="378"/>
        <v>76.5964799999999</v>
      </c>
      <c r="U881" s="311">
        <f t="shared" ca="1" si="379"/>
        <v>0</v>
      </c>
      <c r="V881" s="306">
        <f t="shared" ca="1" si="380"/>
        <v>1.2256742791630926</v>
      </c>
      <c r="W881" s="304">
        <f t="shared" ca="1" si="381"/>
        <v>59.52520810789332</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2.1314019133784869</v>
      </c>
      <c r="AH881" s="304">
        <f t="shared" ca="1" si="405"/>
        <v>-7.6235819682986241</v>
      </c>
    </row>
    <row r="882" spans="1:34" x14ac:dyDescent="0.2">
      <c r="A882" s="347">
        <f t="shared" ca="1" si="383"/>
        <v>1E-4</v>
      </c>
      <c r="B882" s="304">
        <f t="shared" ca="1" si="384"/>
        <v>35.116700000000741</v>
      </c>
      <c r="D882" s="306">
        <f t="shared" ca="1" si="385"/>
        <v>-0.80625674389461477</v>
      </c>
      <c r="E882" s="307">
        <f t="shared" ca="1" si="386"/>
        <v>-2.2291359952169474</v>
      </c>
      <c r="F882" s="304">
        <f t="shared" ca="1" si="387"/>
        <v>2.370463503673363</v>
      </c>
      <c r="G882" s="306">
        <f t="shared" ca="1" si="388"/>
        <v>12.911946060936575</v>
      </c>
      <c r="H882" s="307">
        <f t="shared" ca="1" si="389"/>
        <v>-121.40611387644347</v>
      </c>
      <c r="I882" s="304">
        <f t="shared" ca="1" si="390"/>
        <v>122.09079751422912</v>
      </c>
      <c r="J882" s="306">
        <f t="shared" ca="1" si="391"/>
        <v>874.13727041639572</v>
      </c>
      <c r="K882" s="307">
        <f t="shared" ca="1" si="392"/>
        <v>-5.5149458389901707</v>
      </c>
      <c r="L882" s="304">
        <f t="shared" ca="1" si="377"/>
        <v>874.15466718346465</v>
      </c>
      <c r="M882" s="306">
        <f t="shared" ca="1" si="393"/>
        <v>-1.4648412730610816</v>
      </c>
      <c r="N882" s="304">
        <f t="shared" ca="1" si="394"/>
        <v>-83.92922260297054</v>
      </c>
      <c r="P882" s="310">
        <f t="shared" ca="1" si="395"/>
        <v>23</v>
      </c>
      <c r="Q882" s="304">
        <f t="shared" ca="1" si="396"/>
        <v>0</v>
      </c>
      <c r="R882" s="306">
        <f t="shared" ca="1" si="397"/>
        <v>0</v>
      </c>
      <c r="S882" s="307">
        <f t="shared" ca="1" si="398"/>
        <v>7.8079999999999892</v>
      </c>
      <c r="T882" s="304">
        <f t="shared" ca="1" si="378"/>
        <v>76.5964799999999</v>
      </c>
      <c r="U882" s="311">
        <f t="shared" ca="1" si="379"/>
        <v>0</v>
      </c>
      <c r="V882" s="306">
        <f t="shared" ca="1" si="380"/>
        <v>1.2256757672062535</v>
      </c>
      <c r="W882" s="304">
        <f t="shared" ca="1" si="381"/>
        <v>59.5254882049869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2.1313669216182642</v>
      </c>
      <c r="AH882" s="304">
        <f t="shared" ca="1" si="405"/>
        <v>-7.6236178416871674</v>
      </c>
    </row>
    <row r="883" spans="1:34" x14ac:dyDescent="0.2">
      <c r="A883" s="347">
        <f t="shared" ca="1" si="383"/>
        <v>1E-4</v>
      </c>
      <c r="B883" s="304">
        <f t="shared" ca="1" si="384"/>
        <v>35.116800000000744</v>
      </c>
      <c r="D883" s="306">
        <f t="shared" ca="1" si="385"/>
        <v>-0.80625409577655216</v>
      </c>
      <c r="E883" s="307">
        <f t="shared" ca="1" si="386"/>
        <v>-2.2290996381767005</v>
      </c>
      <c r="F883" s="304">
        <f t="shared" ca="1" si="387"/>
        <v>2.3704284135733698</v>
      </c>
      <c r="G883" s="306">
        <f t="shared" ca="1" si="388"/>
        <v>12.911865435526998</v>
      </c>
      <c r="H883" s="307">
        <f t="shared" ca="1" si="389"/>
        <v>-121.40633678640729</v>
      </c>
      <c r="I883" s="304">
        <f t="shared" ca="1" si="390"/>
        <v>122.09101064746622</v>
      </c>
      <c r="J883" s="306">
        <f t="shared" ca="1" si="391"/>
        <v>874.13727041639572</v>
      </c>
      <c r="K883" s="307">
        <f t="shared" ca="1" si="392"/>
        <v>-5.5270864615233135</v>
      </c>
      <c r="L883" s="304">
        <f t="shared" ca="1" si="377"/>
        <v>874.15474386162316</v>
      </c>
      <c r="M883" s="306">
        <f t="shared" ca="1" si="393"/>
        <v>-1.4648421228167909</v>
      </c>
      <c r="N883" s="304">
        <f t="shared" ca="1" si="394"/>
        <v>-83.929271290386311</v>
      </c>
      <c r="P883" s="310">
        <f t="shared" ca="1" si="395"/>
        <v>23</v>
      </c>
      <c r="Q883" s="304">
        <f t="shared" ca="1" si="396"/>
        <v>0</v>
      </c>
      <c r="R883" s="306">
        <f t="shared" ca="1" si="397"/>
        <v>0</v>
      </c>
      <c r="S883" s="307">
        <f t="shared" ca="1" si="398"/>
        <v>7.8079999999999892</v>
      </c>
      <c r="T883" s="304">
        <f t="shared" ca="1" si="378"/>
        <v>76.5964799999999</v>
      </c>
      <c r="U883" s="311">
        <f t="shared" ca="1" si="379"/>
        <v>0</v>
      </c>
      <c r="V883" s="306">
        <f t="shared" ca="1" si="380"/>
        <v>1.2256772552539539</v>
      </c>
      <c r="W883" s="304">
        <f t="shared" ca="1" si="381"/>
        <v>59.525768299756365</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2.1313319301400799</v>
      </c>
      <c r="AH883" s="304">
        <f t="shared" ca="1" si="405"/>
        <v>-7.6236537147780457</v>
      </c>
    </row>
    <row r="884" spans="1:34" x14ac:dyDescent="0.2">
      <c r="A884" s="347">
        <f t="shared" ca="1" si="383"/>
        <v>1E-4</v>
      </c>
      <c r="B884" s="304">
        <f t="shared" ca="1" si="384"/>
        <v>35.116900000000747</v>
      </c>
      <c r="D884" s="306">
        <f t="shared" ca="1" si="385"/>
        <v>-0.80625144762851786</v>
      </c>
      <c r="E884" s="307">
        <f t="shared" ca="1" si="386"/>
        <v>-2.2290632814381404</v>
      </c>
      <c r="F884" s="304">
        <f t="shared" ca="1" si="387"/>
        <v>2.370393323788027</v>
      </c>
      <c r="G884" s="306">
        <f t="shared" ca="1" si="388"/>
        <v>12.911784810382235</v>
      </c>
      <c r="H884" s="307">
        <f t="shared" ca="1" si="389"/>
        <v>-121.40655969273544</v>
      </c>
      <c r="I884" s="304">
        <f t="shared" ca="1" si="390"/>
        <v>122.09122377720419</v>
      </c>
      <c r="J884" s="306">
        <f t="shared" ca="1" si="391"/>
        <v>874.13727041639572</v>
      </c>
      <c r="K884" s="307">
        <f t="shared" ca="1" si="392"/>
        <v>-5.5392271063472709</v>
      </c>
      <c r="L884" s="304">
        <f t="shared" ca="1" si="377"/>
        <v>874.15482070853022</v>
      </c>
      <c r="M884" s="306">
        <f t="shared" ca="1" si="393"/>
        <v>-1.4648429725642271</v>
      </c>
      <c r="N884" s="304">
        <f t="shared" ca="1" si="394"/>
        <v>-83.929319977328049</v>
      </c>
      <c r="P884" s="310">
        <f t="shared" ca="1" si="395"/>
        <v>23</v>
      </c>
      <c r="Q884" s="304">
        <f t="shared" ca="1" si="396"/>
        <v>0</v>
      </c>
      <c r="R884" s="306">
        <f t="shared" ca="1" si="397"/>
        <v>0</v>
      </c>
      <c r="S884" s="307">
        <f t="shared" ca="1" si="398"/>
        <v>7.8079999999999892</v>
      </c>
      <c r="T884" s="304">
        <f t="shared" ca="1" si="378"/>
        <v>76.5964799999999</v>
      </c>
      <c r="U884" s="311">
        <f t="shared" ca="1" si="379"/>
        <v>0</v>
      </c>
      <c r="V884" s="306">
        <f t="shared" ca="1" si="380"/>
        <v>1.2256787433061935</v>
      </c>
      <c r="W884" s="304">
        <f t="shared" ca="1" si="381"/>
        <v>59.526048392201687</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2.1312969389439234</v>
      </c>
      <c r="AH884" s="304">
        <f t="shared" ca="1" si="405"/>
        <v>-7.623689587571266</v>
      </c>
    </row>
    <row r="885" spans="1:34" x14ac:dyDescent="0.2">
      <c r="A885" s="347">
        <f t="shared" ca="1" si="383"/>
        <v>1E-4</v>
      </c>
      <c r="B885" s="304">
        <f t="shared" ca="1" si="384"/>
        <v>35.117000000000751</v>
      </c>
      <c r="D885" s="306">
        <f t="shared" ca="1" si="385"/>
        <v>-0.80624879945051631</v>
      </c>
      <c r="E885" s="307">
        <f t="shared" ca="1" si="386"/>
        <v>-2.2290269250012695</v>
      </c>
      <c r="F885" s="304">
        <f t="shared" ca="1" si="387"/>
        <v>2.3703582343173393</v>
      </c>
      <c r="G885" s="306">
        <f t="shared" ca="1" si="388"/>
        <v>12.911704185502289</v>
      </c>
      <c r="H885" s="307">
        <f t="shared" ca="1" si="389"/>
        <v>-121.40678259542794</v>
      </c>
      <c r="I885" s="304">
        <f t="shared" ca="1" si="390"/>
        <v>122.09143690344308</v>
      </c>
      <c r="J885" s="306">
        <f t="shared" ca="1" si="391"/>
        <v>874.13727041639572</v>
      </c>
      <c r="K885" s="307">
        <f t="shared" ca="1" si="392"/>
        <v>-5.5513677734616786</v>
      </c>
      <c r="L885" s="304">
        <f t="shared" ca="1" si="377"/>
        <v>874.15489772418664</v>
      </c>
      <c r="M885" s="306">
        <f t="shared" ca="1" si="393"/>
        <v>-1.4648438223033908</v>
      </c>
      <c r="N885" s="304">
        <f t="shared" ca="1" si="394"/>
        <v>-83.929368663795827</v>
      </c>
      <c r="P885" s="310">
        <f t="shared" ca="1" si="395"/>
        <v>23</v>
      </c>
      <c r="Q885" s="304">
        <f t="shared" ca="1" si="396"/>
        <v>0</v>
      </c>
      <c r="R885" s="306">
        <f t="shared" ca="1" si="397"/>
        <v>0</v>
      </c>
      <c r="S885" s="307">
        <f t="shared" ca="1" si="398"/>
        <v>7.8079999999999892</v>
      </c>
      <c r="T885" s="304">
        <f t="shared" ca="1" si="378"/>
        <v>76.5964799999999</v>
      </c>
      <c r="U885" s="311">
        <f t="shared" ca="1" si="379"/>
        <v>0</v>
      </c>
      <c r="V885" s="306">
        <f t="shared" ca="1" si="380"/>
        <v>1.2256802313629727</v>
      </c>
      <c r="W885" s="304">
        <f t="shared" ca="1" si="381"/>
        <v>59.526328482322896</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2.1312619480298052</v>
      </c>
      <c r="AH885" s="304">
        <f t="shared" ca="1" si="405"/>
        <v>-7.6237254600668249</v>
      </c>
    </row>
    <row r="886" spans="1:34" x14ac:dyDescent="0.2">
      <c r="A886" s="347">
        <f t="shared" ca="1" si="383"/>
        <v>1E-4</v>
      </c>
      <c r="B886" s="304">
        <f t="shared" ca="1" si="384"/>
        <v>35.117100000000754</v>
      </c>
      <c r="D886" s="306">
        <f t="shared" ca="1" si="385"/>
        <v>-0.80624615124254462</v>
      </c>
      <c r="E886" s="307">
        <f t="shared" ca="1" si="386"/>
        <v>-2.2289905688660827</v>
      </c>
      <c r="F886" s="304">
        <f t="shared" ca="1" si="387"/>
        <v>2.3703231451613003</v>
      </c>
      <c r="G886" s="306">
        <f t="shared" ca="1" si="388"/>
        <v>12.911623560887165</v>
      </c>
      <c r="H886" s="307">
        <f t="shared" ca="1" si="389"/>
        <v>-121.40700549448482</v>
      </c>
      <c r="I886" s="304">
        <f t="shared" ca="1" si="390"/>
        <v>122.09165002618289</v>
      </c>
      <c r="J886" s="306">
        <f t="shared" ca="1" si="391"/>
        <v>874.13727041639572</v>
      </c>
      <c r="K886" s="307">
        <f t="shared" ca="1" si="392"/>
        <v>-5.5635084628661744</v>
      </c>
      <c r="L886" s="304">
        <f t="shared" ca="1" si="377"/>
        <v>874.1549749085932</v>
      </c>
      <c r="M886" s="306">
        <f t="shared" ca="1" si="393"/>
        <v>-1.4648446720342818</v>
      </c>
      <c r="N886" s="304">
        <f t="shared" ca="1" si="394"/>
        <v>-83.929417349789603</v>
      </c>
      <c r="P886" s="310">
        <f t="shared" ca="1" si="395"/>
        <v>23</v>
      </c>
      <c r="Q886" s="304">
        <f t="shared" ca="1" si="396"/>
        <v>0</v>
      </c>
      <c r="R886" s="306">
        <f t="shared" ca="1" si="397"/>
        <v>0</v>
      </c>
      <c r="S886" s="307">
        <f t="shared" ca="1" si="398"/>
        <v>7.8079999999999892</v>
      </c>
      <c r="T886" s="304">
        <f t="shared" ca="1" si="378"/>
        <v>76.5964799999999</v>
      </c>
      <c r="U886" s="311">
        <f t="shared" ca="1" si="379"/>
        <v>0</v>
      </c>
      <c r="V886" s="306">
        <f t="shared" ca="1" si="380"/>
        <v>1.2256817194242906</v>
      </c>
      <c r="W886" s="304">
        <f t="shared" ca="1" si="381"/>
        <v>59.526608570119926</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2.1312269573977165</v>
      </c>
      <c r="AH886" s="304">
        <f t="shared" ca="1" si="405"/>
        <v>-7.623761332264726</v>
      </c>
    </row>
    <row r="887" spans="1:34" x14ac:dyDescent="0.2">
      <c r="A887" s="347">
        <f t="shared" ca="1" si="383"/>
        <v>1E-4</v>
      </c>
      <c r="B887" s="304">
        <f t="shared" ca="1" si="384"/>
        <v>35.117200000000757</v>
      </c>
      <c r="D887" s="306">
        <f t="shared" ca="1" si="385"/>
        <v>-0.80624350300460523</v>
      </c>
      <c r="E887" s="307">
        <f t="shared" ca="1" si="386"/>
        <v>-2.2289542130325897</v>
      </c>
      <c r="F887" s="304">
        <f t="shared" ca="1" si="387"/>
        <v>2.3702880563199207</v>
      </c>
      <c r="G887" s="306">
        <f t="shared" ca="1" si="388"/>
        <v>12.911542936536865</v>
      </c>
      <c r="H887" s="307">
        <f t="shared" ca="1" si="389"/>
        <v>-121.40722838990612</v>
      </c>
      <c r="I887" s="304">
        <f t="shared" ca="1" si="390"/>
        <v>122.09186314542367</v>
      </c>
      <c r="J887" s="306">
        <f t="shared" ca="1" si="391"/>
        <v>874.13727041639572</v>
      </c>
      <c r="K887" s="307">
        <f t="shared" ca="1" si="392"/>
        <v>-5.575649174560394</v>
      </c>
      <c r="L887" s="304">
        <f t="shared" ca="1" si="377"/>
        <v>874.15505226175105</v>
      </c>
      <c r="M887" s="306">
        <f t="shared" ca="1" si="393"/>
        <v>-1.4648455217569003</v>
      </c>
      <c r="N887" s="304">
        <f t="shared" ca="1" si="394"/>
        <v>-83.929466035309389</v>
      </c>
      <c r="P887" s="310">
        <f t="shared" ca="1" si="395"/>
        <v>23</v>
      </c>
      <c r="Q887" s="304">
        <f t="shared" ca="1" si="396"/>
        <v>0</v>
      </c>
      <c r="R887" s="306">
        <f t="shared" ca="1" si="397"/>
        <v>0</v>
      </c>
      <c r="S887" s="307">
        <f t="shared" ca="1" si="398"/>
        <v>7.8079999999999892</v>
      </c>
      <c r="T887" s="304">
        <f t="shared" ca="1" si="378"/>
        <v>76.5964799999999</v>
      </c>
      <c r="U887" s="311">
        <f t="shared" ca="1" si="379"/>
        <v>0</v>
      </c>
      <c r="V887" s="306">
        <f t="shared" ca="1" si="380"/>
        <v>1.2256832074901476</v>
      </c>
      <c r="W887" s="304">
        <f t="shared" ca="1" si="381"/>
        <v>59.526888655592835</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2.1311919670476698</v>
      </c>
      <c r="AH887" s="304">
        <f t="shared" ca="1" si="405"/>
        <v>-7.6237972041649602</v>
      </c>
    </row>
    <row r="888" spans="1:34" x14ac:dyDescent="0.2">
      <c r="A888" s="347">
        <f t="shared" ca="1" si="383"/>
        <v>1E-4</v>
      </c>
      <c r="B888" s="304">
        <f t="shared" ca="1" si="384"/>
        <v>35.11730000000076</v>
      </c>
      <c r="D888" s="306">
        <f t="shared" ca="1" si="385"/>
        <v>-0.80624085473669871</v>
      </c>
      <c r="E888" s="307">
        <f t="shared" ca="1" si="386"/>
        <v>-2.2289178575007833</v>
      </c>
      <c r="F888" s="304">
        <f t="shared" ca="1" si="387"/>
        <v>2.3702529677931943</v>
      </c>
      <c r="G888" s="306">
        <f t="shared" ca="1" si="388"/>
        <v>12.911462312451391</v>
      </c>
      <c r="H888" s="307">
        <f t="shared" ca="1" si="389"/>
        <v>-121.40745128169188</v>
      </c>
      <c r="I888" s="304">
        <f t="shared" ca="1" si="390"/>
        <v>122.09207626116545</v>
      </c>
      <c r="J888" s="306">
        <f t="shared" ca="1" si="391"/>
        <v>874.13727041639572</v>
      </c>
      <c r="K888" s="307">
        <f t="shared" ca="1" si="392"/>
        <v>-5.5877899085439742</v>
      </c>
      <c r="L888" s="304">
        <f t="shared" ca="1" si="377"/>
        <v>874.15512978366087</v>
      </c>
      <c r="M888" s="306">
        <f t="shared" ca="1" si="393"/>
        <v>-1.4648463714712463</v>
      </c>
      <c r="N888" s="304">
        <f t="shared" ca="1" si="394"/>
        <v>-83.929514720355215</v>
      </c>
      <c r="P888" s="310">
        <f t="shared" ca="1" si="395"/>
        <v>23</v>
      </c>
      <c r="Q888" s="304">
        <f t="shared" ca="1" si="396"/>
        <v>0</v>
      </c>
      <c r="R888" s="306">
        <f t="shared" ca="1" si="397"/>
        <v>0</v>
      </c>
      <c r="S888" s="307">
        <f t="shared" ca="1" si="398"/>
        <v>7.8079999999999892</v>
      </c>
      <c r="T888" s="304">
        <f t="shared" ca="1" si="378"/>
        <v>76.5964799999999</v>
      </c>
      <c r="U888" s="311">
        <f t="shared" ca="1" si="379"/>
        <v>0</v>
      </c>
      <c r="V888" s="306">
        <f t="shared" ca="1" si="380"/>
        <v>1.2256846955605438</v>
      </c>
      <c r="W888" s="304">
        <f t="shared" ca="1" si="381"/>
        <v>59.527168738741594</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2.1311569769796552</v>
      </c>
      <c r="AH888" s="304">
        <f t="shared" ca="1" si="405"/>
        <v>-7.6238330757675357</v>
      </c>
    </row>
    <row r="889" spans="1:34" x14ac:dyDescent="0.2">
      <c r="A889" s="347">
        <f t="shared" ca="1" si="383"/>
        <v>1E-4</v>
      </c>
      <c r="B889" s="304">
        <f t="shared" ca="1" si="384"/>
        <v>35.117400000000764</v>
      </c>
      <c r="D889" s="306">
        <f t="shared" ca="1" si="385"/>
        <v>-0.80623820643882649</v>
      </c>
      <c r="E889" s="307">
        <f t="shared" ca="1" si="386"/>
        <v>-2.2288815022706672</v>
      </c>
      <c r="F889" s="304">
        <f t="shared" ca="1" si="387"/>
        <v>2.3702178795811242</v>
      </c>
      <c r="G889" s="306">
        <f t="shared" ca="1" si="388"/>
        <v>12.911381688630748</v>
      </c>
      <c r="H889" s="307">
        <f t="shared" ca="1" si="389"/>
        <v>-121.40767416984211</v>
      </c>
      <c r="I889" s="304">
        <f t="shared" ca="1" si="390"/>
        <v>122.09228937340825</v>
      </c>
      <c r="J889" s="306">
        <f t="shared" ca="1" si="391"/>
        <v>874.13727041639572</v>
      </c>
      <c r="K889" s="307">
        <f t="shared" ca="1" si="392"/>
        <v>-5.5999306648165508</v>
      </c>
      <c r="L889" s="304">
        <f t="shared" ca="1" si="377"/>
        <v>874.15520747432356</v>
      </c>
      <c r="M889" s="306">
        <f t="shared" ca="1" si="393"/>
        <v>-1.4648472211773202</v>
      </c>
      <c r="N889" s="304">
        <f t="shared" ca="1" si="394"/>
        <v>-83.92956340492708</v>
      </c>
      <c r="P889" s="310">
        <f t="shared" ca="1" si="395"/>
        <v>23</v>
      </c>
      <c r="Q889" s="304">
        <f t="shared" ca="1" si="396"/>
        <v>0</v>
      </c>
      <c r="R889" s="306">
        <f t="shared" ca="1" si="397"/>
        <v>0</v>
      </c>
      <c r="S889" s="307">
        <f t="shared" ca="1" si="398"/>
        <v>7.8079999999999892</v>
      </c>
      <c r="T889" s="304">
        <f t="shared" ca="1" si="378"/>
        <v>76.5964799999999</v>
      </c>
      <c r="U889" s="311">
        <f t="shared" ca="1" si="379"/>
        <v>0</v>
      </c>
      <c r="V889" s="306">
        <f t="shared" ca="1" si="380"/>
        <v>1.2256861836354791</v>
      </c>
      <c r="W889" s="304">
        <f t="shared" ca="1" si="381"/>
        <v>59.527448819566239</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2.1311219871936773</v>
      </c>
      <c r="AH889" s="304">
        <f t="shared" ca="1" si="405"/>
        <v>-7.6238689470724479</v>
      </c>
    </row>
    <row r="890" spans="1:34" x14ac:dyDescent="0.2">
      <c r="A890" s="347">
        <f t="shared" ca="1" si="383"/>
        <v>1E-4</v>
      </c>
      <c r="B890" s="304">
        <f t="shared" ca="1" si="384"/>
        <v>35.117500000000767</v>
      </c>
      <c r="D890" s="306">
        <f t="shared" ca="1" si="385"/>
        <v>-0.80623555811098735</v>
      </c>
      <c r="E890" s="307">
        <f t="shared" ca="1" si="386"/>
        <v>-2.228845147342235</v>
      </c>
      <c r="F890" s="304">
        <f t="shared" ca="1" si="387"/>
        <v>2.3701827916837059</v>
      </c>
      <c r="G890" s="306">
        <f t="shared" ca="1" si="388"/>
        <v>12.911301065074936</v>
      </c>
      <c r="H890" s="307">
        <f t="shared" ca="1" si="389"/>
        <v>-121.40789705435684</v>
      </c>
      <c r="I890" s="304">
        <f t="shared" ca="1" si="390"/>
        <v>122.09250248215209</v>
      </c>
      <c r="J890" s="306">
        <f t="shared" ca="1" si="391"/>
        <v>874.13727041639572</v>
      </c>
      <c r="K890" s="307">
        <f t="shared" ca="1" si="392"/>
        <v>-5.6120714433777605</v>
      </c>
      <c r="L890" s="304">
        <f t="shared" ca="1" si="377"/>
        <v>874.15528533374004</v>
      </c>
      <c r="M890" s="306">
        <f t="shared" ca="1" si="393"/>
        <v>-1.4648480708751219</v>
      </c>
      <c r="N890" s="304">
        <f t="shared" ca="1" si="394"/>
        <v>-83.929612089024971</v>
      </c>
      <c r="P890" s="310">
        <f t="shared" ca="1" si="395"/>
        <v>23</v>
      </c>
      <c r="Q890" s="304">
        <f t="shared" ca="1" si="396"/>
        <v>0</v>
      </c>
      <c r="R890" s="306">
        <f t="shared" ca="1" si="397"/>
        <v>0</v>
      </c>
      <c r="S890" s="307">
        <f t="shared" ca="1" si="398"/>
        <v>7.8079999999999892</v>
      </c>
      <c r="T890" s="304">
        <f t="shared" ca="1" si="378"/>
        <v>76.5964799999999</v>
      </c>
      <c r="U890" s="311">
        <f t="shared" ca="1" si="379"/>
        <v>0</v>
      </c>
      <c r="V890" s="306">
        <f t="shared" ca="1" si="380"/>
        <v>1.2256876717149536</v>
      </c>
      <c r="W890" s="304">
        <f t="shared" ca="1" si="381"/>
        <v>59.527728898066741</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2.1310869976897333</v>
      </c>
      <c r="AH890" s="304">
        <f t="shared" ca="1" si="405"/>
        <v>-7.6239048180797031</v>
      </c>
    </row>
    <row r="891" spans="1:34" x14ac:dyDescent="0.2">
      <c r="A891" s="347">
        <f t="shared" ca="1" si="383"/>
        <v>1E-4</v>
      </c>
      <c r="B891" s="304">
        <f t="shared" ca="1" si="384"/>
        <v>35.11760000000077</v>
      </c>
      <c r="D891" s="306">
        <f t="shared" ca="1" si="385"/>
        <v>-0.80623290975318429</v>
      </c>
      <c r="E891" s="307">
        <f t="shared" ca="1" si="386"/>
        <v>-2.228808792715494</v>
      </c>
      <c r="F891" s="304">
        <f t="shared" ca="1" si="387"/>
        <v>2.3701477041009458</v>
      </c>
      <c r="G891" s="306">
        <f t="shared" ca="1" si="388"/>
        <v>12.911220441783961</v>
      </c>
      <c r="H891" s="307">
        <f t="shared" ca="1" si="389"/>
        <v>-121.40811993523612</v>
      </c>
      <c r="I891" s="304">
        <f t="shared" ca="1" si="390"/>
        <v>122.09271558739701</v>
      </c>
      <c r="J891" s="306">
        <f t="shared" ca="1" si="391"/>
        <v>874.13727041639572</v>
      </c>
      <c r="K891" s="307">
        <f t="shared" ca="1" si="392"/>
        <v>-5.6242122442272402</v>
      </c>
      <c r="L891" s="304">
        <f t="shared" ca="1" si="377"/>
        <v>874.15536336191121</v>
      </c>
      <c r="M891" s="306">
        <f t="shared" ca="1" si="393"/>
        <v>-1.4648489205646515</v>
      </c>
      <c r="N891" s="304">
        <f t="shared" ca="1" si="394"/>
        <v>-83.929660772648916</v>
      </c>
      <c r="P891" s="310">
        <f t="shared" ca="1" si="395"/>
        <v>23</v>
      </c>
      <c r="Q891" s="304">
        <f t="shared" ca="1" si="396"/>
        <v>0</v>
      </c>
      <c r="R891" s="306">
        <f t="shared" ca="1" si="397"/>
        <v>0</v>
      </c>
      <c r="S891" s="307">
        <f t="shared" ca="1" si="398"/>
        <v>7.8079999999999892</v>
      </c>
      <c r="T891" s="304">
        <f t="shared" ca="1" si="378"/>
        <v>76.5964799999999</v>
      </c>
      <c r="U891" s="311">
        <f t="shared" ca="1" si="379"/>
        <v>0</v>
      </c>
      <c r="V891" s="306">
        <f t="shared" ca="1" si="380"/>
        <v>1.2256891597989668</v>
      </c>
      <c r="W891" s="304">
        <f t="shared" ca="1" si="381"/>
        <v>59.528008974243079</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2.1310520084678268</v>
      </c>
      <c r="AH891" s="304">
        <f t="shared" ca="1" si="405"/>
        <v>-7.623940688789296</v>
      </c>
    </row>
    <row r="892" spans="1:34" x14ac:dyDescent="0.2">
      <c r="A892" s="347">
        <f t="shared" ca="1" si="383"/>
        <v>1E-4</v>
      </c>
      <c r="B892" s="304">
        <f t="shared" ca="1" si="384"/>
        <v>35.117700000000774</v>
      </c>
      <c r="D892" s="306">
        <f t="shared" ca="1" si="385"/>
        <v>-0.80623026136541676</v>
      </c>
      <c r="E892" s="307">
        <f t="shared" ca="1" si="386"/>
        <v>-2.2287724383904424</v>
      </c>
      <c r="F892" s="304">
        <f t="shared" ca="1" si="387"/>
        <v>2.3701126168328428</v>
      </c>
      <c r="G892" s="306">
        <f t="shared" ca="1" si="388"/>
        <v>12.911139818757825</v>
      </c>
      <c r="H892" s="307">
        <f t="shared" ca="1" si="389"/>
        <v>-121.40834281247996</v>
      </c>
      <c r="I892" s="304">
        <f t="shared" ca="1" si="390"/>
        <v>122.09292868914304</v>
      </c>
      <c r="J892" s="306">
        <f t="shared" ca="1" si="391"/>
        <v>874.13727041639572</v>
      </c>
      <c r="K892" s="307">
        <f t="shared" ca="1" si="392"/>
        <v>-5.6363530673646256</v>
      </c>
      <c r="L892" s="304">
        <f t="shared" ca="1" si="377"/>
        <v>874.15544155883788</v>
      </c>
      <c r="M892" s="306">
        <f t="shared" ca="1" si="393"/>
        <v>-1.4648497702459093</v>
      </c>
      <c r="N892" s="304">
        <f t="shared" ca="1" si="394"/>
        <v>-83.929709455798914</v>
      </c>
      <c r="P892" s="310">
        <f t="shared" ca="1" si="395"/>
        <v>23</v>
      </c>
      <c r="Q892" s="304">
        <f t="shared" ca="1" si="396"/>
        <v>0</v>
      </c>
      <c r="R892" s="306">
        <f t="shared" ca="1" si="397"/>
        <v>0</v>
      </c>
      <c r="S892" s="307">
        <f t="shared" ca="1" si="398"/>
        <v>7.8079999999999892</v>
      </c>
      <c r="T892" s="304">
        <f t="shared" ca="1" si="378"/>
        <v>76.5964799999999</v>
      </c>
      <c r="U892" s="311">
        <f t="shared" ca="1" si="379"/>
        <v>0</v>
      </c>
      <c r="V892" s="306">
        <f t="shared" ca="1" si="380"/>
        <v>1.2256906478875194</v>
      </c>
      <c r="W892" s="304">
        <f t="shared" ca="1" si="381"/>
        <v>59.528289048095303</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2.1310170195279579</v>
      </c>
      <c r="AH892" s="304">
        <f t="shared" ca="1" si="405"/>
        <v>-7.6239765592012247</v>
      </c>
    </row>
    <row r="893" spans="1:34" x14ac:dyDescent="0.2">
      <c r="A893" s="347">
        <f t="shared" ca="1" si="383"/>
        <v>1E-4</v>
      </c>
      <c r="B893" s="304">
        <f t="shared" ca="1" si="384"/>
        <v>35.117800000000777</v>
      </c>
      <c r="D893" s="306">
        <f t="shared" ca="1" si="385"/>
        <v>-0.80622761294768563</v>
      </c>
      <c r="E893" s="307">
        <f t="shared" ca="1" si="386"/>
        <v>-2.2287360843670783</v>
      </c>
      <c r="F893" s="304">
        <f t="shared" ca="1" si="387"/>
        <v>2.3700775298793957</v>
      </c>
      <c r="G893" s="306">
        <f t="shared" ca="1" si="388"/>
        <v>12.911059195996529</v>
      </c>
      <c r="H893" s="307">
        <f t="shared" ca="1" si="389"/>
        <v>-121.40856568608839</v>
      </c>
      <c r="I893" s="304">
        <f t="shared" ca="1" si="390"/>
        <v>122.09314178739019</v>
      </c>
      <c r="J893" s="306">
        <f t="shared" ca="1" si="391"/>
        <v>874.13727041639572</v>
      </c>
      <c r="K893" s="307">
        <f t="shared" ca="1" si="392"/>
        <v>-5.6484939127895544</v>
      </c>
      <c r="L893" s="304">
        <f t="shared" ca="1" si="377"/>
        <v>874.15551992452106</v>
      </c>
      <c r="M893" s="306">
        <f t="shared" ca="1" si="393"/>
        <v>-1.4648506199188953</v>
      </c>
      <c r="N893" s="304">
        <f t="shared" ca="1" si="394"/>
        <v>-83.92975813847498</v>
      </c>
      <c r="P893" s="310">
        <f t="shared" ca="1" si="395"/>
        <v>23</v>
      </c>
      <c r="Q893" s="304">
        <f t="shared" ca="1" si="396"/>
        <v>0</v>
      </c>
      <c r="R893" s="306">
        <f t="shared" ca="1" si="397"/>
        <v>0</v>
      </c>
      <c r="S893" s="307">
        <f t="shared" ca="1" si="398"/>
        <v>7.8079999999999892</v>
      </c>
      <c r="T893" s="304">
        <f t="shared" ca="1" si="378"/>
        <v>76.5964799999999</v>
      </c>
      <c r="U893" s="311">
        <f t="shared" ca="1" si="379"/>
        <v>0</v>
      </c>
      <c r="V893" s="306">
        <f t="shared" ca="1" si="380"/>
        <v>1.2256921359806108</v>
      </c>
      <c r="W893" s="304">
        <f t="shared" ca="1" si="381"/>
        <v>59.528569119623363</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2.1309820308701264</v>
      </c>
      <c r="AH893" s="304">
        <f t="shared" ca="1" si="405"/>
        <v>-7.6240124293154947</v>
      </c>
    </row>
    <row r="894" spans="1:34" x14ac:dyDescent="0.2">
      <c r="A894" s="347">
        <f t="shared" ca="1" si="383"/>
        <v>1E-4</v>
      </c>
      <c r="B894" s="304">
        <f t="shared" ca="1" si="384"/>
        <v>35.11790000000078</v>
      </c>
      <c r="D894" s="306">
        <f t="shared" ca="1" si="385"/>
        <v>-0.80622496449999181</v>
      </c>
      <c r="E894" s="307">
        <f t="shared" ca="1" si="386"/>
        <v>-2.2286997306454044</v>
      </c>
      <c r="F894" s="304">
        <f t="shared" ca="1" si="387"/>
        <v>2.370042443240608</v>
      </c>
      <c r="G894" s="306">
        <f t="shared" ca="1" si="388"/>
        <v>12.910978573500079</v>
      </c>
      <c r="H894" s="307">
        <f t="shared" ca="1" si="389"/>
        <v>-121.40878855606145</v>
      </c>
      <c r="I894" s="304">
        <f t="shared" ca="1" si="390"/>
        <v>122.09335488213851</v>
      </c>
      <c r="J894" s="306">
        <f t="shared" ca="1" si="391"/>
        <v>874.13727041639572</v>
      </c>
      <c r="K894" s="307">
        <f t="shared" ca="1" si="392"/>
        <v>-5.6606347805016615</v>
      </c>
      <c r="L894" s="304">
        <f t="shared" ca="1" si="377"/>
        <v>874.15559845896155</v>
      </c>
      <c r="M894" s="306">
        <f t="shared" ca="1" si="393"/>
        <v>-1.4648514695836095</v>
      </c>
      <c r="N894" s="304">
        <f t="shared" ca="1" si="394"/>
        <v>-83.929806820677101</v>
      </c>
      <c r="P894" s="310">
        <f t="shared" ca="1" si="395"/>
        <v>23</v>
      </c>
      <c r="Q894" s="304">
        <f t="shared" ca="1" si="396"/>
        <v>0</v>
      </c>
      <c r="R894" s="306">
        <f t="shared" ca="1" si="397"/>
        <v>0</v>
      </c>
      <c r="S894" s="307">
        <f t="shared" ca="1" si="398"/>
        <v>7.8079999999999892</v>
      </c>
      <c r="T894" s="304">
        <f t="shared" ca="1" si="378"/>
        <v>76.5964799999999</v>
      </c>
      <c r="U894" s="311">
        <f t="shared" ca="1" si="379"/>
        <v>0</v>
      </c>
      <c r="V894" s="306">
        <f t="shared" ca="1" si="380"/>
        <v>1.2256936240782408</v>
      </c>
      <c r="W894" s="304">
        <f t="shared" ca="1" si="381"/>
        <v>59.528849188827287</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2.1309470424943351</v>
      </c>
      <c r="AH894" s="304">
        <f t="shared" ca="1" si="405"/>
        <v>-7.6240482991321015</v>
      </c>
    </row>
    <row r="895" spans="1:34" x14ac:dyDescent="0.2">
      <c r="A895" s="347">
        <f t="shared" ca="1" si="383"/>
        <v>1E-4</v>
      </c>
      <c r="B895" s="304">
        <f t="shared" ca="1" si="384"/>
        <v>35.118000000000784</v>
      </c>
      <c r="D895" s="306">
        <f t="shared" ca="1" si="385"/>
        <v>-0.8062223160223374</v>
      </c>
      <c r="E895" s="307">
        <f t="shared" ca="1" si="386"/>
        <v>-2.228663377225419</v>
      </c>
      <c r="F895" s="304">
        <f t="shared" ca="1" si="387"/>
        <v>2.3700073569164783</v>
      </c>
      <c r="G895" s="306">
        <f t="shared" ca="1" si="388"/>
        <v>12.910897951268478</v>
      </c>
      <c r="H895" s="307">
        <f t="shared" ca="1" si="389"/>
        <v>-121.40901142239917</v>
      </c>
      <c r="I895" s="304">
        <f t="shared" ca="1" si="390"/>
        <v>122.09356797338803</v>
      </c>
      <c r="J895" s="306">
        <f t="shared" ca="1" si="391"/>
        <v>874.13727041639572</v>
      </c>
      <c r="K895" s="307">
        <f t="shared" ca="1" si="392"/>
        <v>-5.6727756705005845</v>
      </c>
      <c r="L895" s="304">
        <f t="shared" ca="1" si="377"/>
        <v>874.15567716216015</v>
      </c>
      <c r="M895" s="306">
        <f t="shared" ca="1" si="393"/>
        <v>-1.4648523192400522</v>
      </c>
      <c r="N895" s="304">
        <f t="shared" ca="1" si="394"/>
        <v>-83.929855502405317</v>
      </c>
      <c r="P895" s="310">
        <f t="shared" ca="1" si="395"/>
        <v>23</v>
      </c>
      <c r="Q895" s="304">
        <f t="shared" ca="1" si="396"/>
        <v>0</v>
      </c>
      <c r="R895" s="306">
        <f t="shared" ca="1" si="397"/>
        <v>0</v>
      </c>
      <c r="S895" s="307">
        <f t="shared" ca="1" si="398"/>
        <v>7.8079999999999892</v>
      </c>
      <c r="T895" s="304">
        <f t="shared" ca="1" si="378"/>
        <v>76.5964799999999</v>
      </c>
      <c r="U895" s="311">
        <f t="shared" ca="1" si="379"/>
        <v>0</v>
      </c>
      <c r="V895" s="306">
        <f t="shared" ca="1" si="380"/>
        <v>1.2256951121804096</v>
      </c>
      <c r="W895" s="304">
        <f t="shared" ca="1" si="381"/>
        <v>59.529129255707076</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2.1309120544005786</v>
      </c>
      <c r="AH895" s="304">
        <f t="shared" ca="1" si="405"/>
        <v>-7.6240841686510468</v>
      </c>
    </row>
    <row r="896" spans="1:34" x14ac:dyDescent="0.2">
      <c r="A896" s="347">
        <f t="shared" ca="1" si="383"/>
        <v>1E-4</v>
      </c>
      <c r="B896" s="304">
        <f t="shared" ca="1" si="384"/>
        <v>35.118100000000787</v>
      </c>
      <c r="D896" s="306">
        <f t="shared" ca="1" si="385"/>
        <v>-0.80621966751472052</v>
      </c>
      <c r="E896" s="307">
        <f t="shared" ca="1" si="386"/>
        <v>-2.228627024107122</v>
      </c>
      <c r="F896" s="304">
        <f t="shared" ca="1" si="387"/>
        <v>2.3699722709070064</v>
      </c>
      <c r="G896" s="306">
        <f t="shared" ca="1" si="388"/>
        <v>12.910817329301727</v>
      </c>
      <c r="H896" s="307">
        <f t="shared" ca="1" si="389"/>
        <v>-121.40923428510159</v>
      </c>
      <c r="I896" s="304">
        <f t="shared" ca="1" si="390"/>
        <v>122.09378106113876</v>
      </c>
      <c r="J896" s="306">
        <f t="shared" ca="1" si="391"/>
        <v>874.13727041639572</v>
      </c>
      <c r="K896" s="307">
        <f t="shared" ca="1" si="392"/>
        <v>-5.6849165827859593</v>
      </c>
      <c r="L896" s="304">
        <f t="shared" ca="1" si="377"/>
        <v>874.15575603411787</v>
      </c>
      <c r="M896" s="306">
        <f t="shared" ca="1" si="393"/>
        <v>-1.4648531688882236</v>
      </c>
      <c r="N896" s="304">
        <f t="shared" ca="1" si="394"/>
        <v>-83.929904183659602</v>
      </c>
      <c r="P896" s="310">
        <f t="shared" ca="1" si="395"/>
        <v>23</v>
      </c>
      <c r="Q896" s="304">
        <f t="shared" ca="1" si="396"/>
        <v>0</v>
      </c>
      <c r="R896" s="306">
        <f t="shared" ca="1" si="397"/>
        <v>0</v>
      </c>
      <c r="S896" s="307">
        <f t="shared" ca="1" si="398"/>
        <v>7.8079999999999892</v>
      </c>
      <c r="T896" s="304">
        <f t="shared" ca="1" si="378"/>
        <v>76.5964799999999</v>
      </c>
      <c r="U896" s="311">
        <f t="shared" ca="1" si="379"/>
        <v>0</v>
      </c>
      <c r="V896" s="306">
        <f t="shared" ca="1" si="380"/>
        <v>1.2256966002871175</v>
      </c>
      <c r="W896" s="304">
        <f t="shared" ca="1" si="381"/>
        <v>59.529409320262708</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2.1308770665888623</v>
      </c>
      <c r="AH896" s="304">
        <f t="shared" ca="1" si="405"/>
        <v>-7.6241200378723306</v>
      </c>
    </row>
    <row r="897" spans="1:34" x14ac:dyDescent="0.2">
      <c r="A897" s="347">
        <f t="shared" ca="1" si="383"/>
        <v>1E-4</v>
      </c>
      <c r="B897" s="304">
        <f t="shared" ca="1" si="384"/>
        <v>35.11820000000079</v>
      </c>
      <c r="D897" s="306">
        <f t="shared" ca="1" si="385"/>
        <v>-0.8062170189771426</v>
      </c>
      <c r="E897" s="307">
        <f t="shared" ca="1" si="386"/>
        <v>-2.2285906712905144</v>
      </c>
      <c r="F897" s="304">
        <f t="shared" ca="1" si="387"/>
        <v>2.3699371852121938</v>
      </c>
      <c r="G897" s="306">
        <f t="shared" ca="1" si="388"/>
        <v>12.910736707599829</v>
      </c>
      <c r="H897" s="307">
        <f t="shared" ca="1" si="389"/>
        <v>-121.40945714416871</v>
      </c>
      <c r="I897" s="304">
        <f t="shared" ca="1" si="390"/>
        <v>122.09399414539072</v>
      </c>
      <c r="J897" s="306">
        <f t="shared" ca="1" si="391"/>
        <v>874.13727041639572</v>
      </c>
      <c r="K897" s="307">
        <f t="shared" ca="1" si="392"/>
        <v>-5.6970575173574227</v>
      </c>
      <c r="L897" s="304">
        <f t="shared" ca="1" si="377"/>
        <v>874.15583507483552</v>
      </c>
      <c r="M897" s="306">
        <f t="shared" ca="1" si="393"/>
        <v>-1.4648540185281234</v>
      </c>
      <c r="N897" s="304">
        <f t="shared" ca="1" si="394"/>
        <v>-83.929952864439969</v>
      </c>
      <c r="P897" s="310">
        <f t="shared" ca="1" si="395"/>
        <v>23</v>
      </c>
      <c r="Q897" s="304">
        <f t="shared" ca="1" si="396"/>
        <v>0</v>
      </c>
      <c r="R897" s="306">
        <f t="shared" ca="1" si="397"/>
        <v>0</v>
      </c>
      <c r="S897" s="307">
        <f t="shared" ca="1" si="398"/>
        <v>7.8079999999999892</v>
      </c>
      <c r="T897" s="304">
        <f t="shared" ca="1" si="378"/>
        <v>76.5964799999999</v>
      </c>
      <c r="U897" s="311">
        <f t="shared" ca="1" si="379"/>
        <v>0</v>
      </c>
      <c r="V897" s="306">
        <f t="shared" ca="1" si="380"/>
        <v>1.2256980883983644</v>
      </c>
      <c r="W897" s="304">
        <f t="shared" ca="1" si="381"/>
        <v>59.529689382494198</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2.1308420790591853</v>
      </c>
      <c r="AH897" s="304">
        <f t="shared" ca="1" si="405"/>
        <v>-7.6241559067959521</v>
      </c>
    </row>
    <row r="898" spans="1:34" x14ac:dyDescent="0.2">
      <c r="A898" s="347">
        <f t="shared" ca="1" si="383"/>
        <v>1E-4</v>
      </c>
      <c r="B898" s="304">
        <f t="shared" ca="1" si="384"/>
        <v>35.118300000000794</v>
      </c>
      <c r="D898" s="306">
        <f t="shared" ca="1" si="385"/>
        <v>-0.8062143704096072</v>
      </c>
      <c r="E898" s="307">
        <f t="shared" ca="1" si="386"/>
        <v>-2.228554318775597</v>
      </c>
      <c r="F898" s="304">
        <f t="shared" ca="1" si="387"/>
        <v>2.3699020998320424</v>
      </c>
      <c r="G898" s="306">
        <f t="shared" ca="1" si="388"/>
        <v>12.910656086162788</v>
      </c>
      <c r="H898" s="307">
        <f t="shared" ca="1" si="389"/>
        <v>-121.40967999960058</v>
      </c>
      <c r="I898" s="304">
        <f t="shared" ca="1" si="390"/>
        <v>122.09420722614396</v>
      </c>
      <c r="J898" s="306">
        <f t="shared" ca="1" si="391"/>
        <v>874.13727041639572</v>
      </c>
      <c r="K898" s="307">
        <f t="shared" ca="1" si="392"/>
        <v>-5.7091984742146114</v>
      </c>
      <c r="L898" s="304">
        <f t="shared" ca="1" si="377"/>
        <v>874.15591428431401</v>
      </c>
      <c r="M898" s="306">
        <f t="shared" ca="1" si="393"/>
        <v>-1.4648548681597522</v>
      </c>
      <c r="N898" s="304">
        <f t="shared" ca="1" si="394"/>
        <v>-83.930001544746432</v>
      </c>
      <c r="P898" s="310">
        <f t="shared" ca="1" si="395"/>
        <v>23</v>
      </c>
      <c r="Q898" s="304">
        <f t="shared" ca="1" si="396"/>
        <v>0</v>
      </c>
      <c r="R898" s="306">
        <f t="shared" ca="1" si="397"/>
        <v>0</v>
      </c>
      <c r="S898" s="307">
        <f t="shared" ca="1" si="398"/>
        <v>7.8079999999999892</v>
      </c>
      <c r="T898" s="304">
        <f t="shared" ca="1" si="378"/>
        <v>76.5964799999999</v>
      </c>
      <c r="U898" s="311">
        <f t="shared" ca="1" si="379"/>
        <v>0</v>
      </c>
      <c r="V898" s="306">
        <f t="shared" ca="1" si="380"/>
        <v>1.2256995765141496</v>
      </c>
      <c r="W898" s="304">
        <f t="shared" ca="1" si="381"/>
        <v>59.529969442401523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2.1308070918115476</v>
      </c>
      <c r="AH898" s="304">
        <f t="shared" ca="1" si="405"/>
        <v>-7.6241917754219113</v>
      </c>
    </row>
    <row r="899" spans="1:34" x14ac:dyDescent="0.2">
      <c r="A899" s="347">
        <f t="shared" ca="1" si="383"/>
        <v>1E-4</v>
      </c>
      <c r="B899" s="304">
        <f t="shared" ca="1" si="384"/>
        <v>35.118400000000797</v>
      </c>
      <c r="D899" s="306">
        <f t="shared" ca="1" si="385"/>
        <v>-0.80621172181211065</v>
      </c>
      <c r="E899" s="307">
        <f t="shared" ca="1" si="386"/>
        <v>-2.2285179665623716</v>
      </c>
      <c r="F899" s="304">
        <f t="shared" ca="1" si="387"/>
        <v>2.3698670147665535</v>
      </c>
      <c r="G899" s="306">
        <f t="shared" ca="1" si="388"/>
        <v>12.910575464990607</v>
      </c>
      <c r="H899" s="307">
        <f t="shared" ca="1" si="389"/>
        <v>-121.40990285139723</v>
      </c>
      <c r="I899" s="304">
        <f t="shared" ca="1" si="390"/>
        <v>122.09442030339851</v>
      </c>
      <c r="J899" s="306">
        <f t="shared" ca="1" si="391"/>
        <v>874.13727041639572</v>
      </c>
      <c r="K899" s="307">
        <f t="shared" ca="1" si="392"/>
        <v>-5.7213394533571611</v>
      </c>
      <c r="L899" s="304">
        <f t="shared" ca="1" si="377"/>
        <v>874.15599366255424</v>
      </c>
      <c r="M899" s="306">
        <f t="shared" ca="1" si="393"/>
        <v>-1.4648557177831099</v>
      </c>
      <c r="N899" s="304">
        <f t="shared" ca="1" si="394"/>
        <v>-83.930050224579006</v>
      </c>
      <c r="P899" s="310">
        <f t="shared" ca="1" si="395"/>
        <v>23</v>
      </c>
      <c r="Q899" s="304">
        <f t="shared" ca="1" si="396"/>
        <v>0</v>
      </c>
      <c r="R899" s="306">
        <f t="shared" ca="1" si="397"/>
        <v>0</v>
      </c>
      <c r="S899" s="307">
        <f t="shared" ca="1" si="398"/>
        <v>7.8079999999999892</v>
      </c>
      <c r="T899" s="304">
        <f t="shared" ca="1" si="378"/>
        <v>76.5964799999999</v>
      </c>
      <c r="U899" s="311">
        <f t="shared" ca="1" si="379"/>
        <v>0</v>
      </c>
      <c r="V899" s="306">
        <f t="shared" ca="1" si="380"/>
        <v>1.2257010646344739</v>
      </c>
      <c r="W899" s="304">
        <f t="shared" ca="1" si="381"/>
        <v>59.530249499984706</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2.1307721048459536</v>
      </c>
      <c r="AH899" s="304">
        <f t="shared" ca="1" si="405"/>
        <v>-7.6242276437502055</v>
      </c>
    </row>
    <row r="900" spans="1:34" x14ac:dyDescent="0.2">
      <c r="A900" s="347">
        <f t="shared" ca="1" si="383"/>
        <v>1E-4</v>
      </c>
      <c r="B900" s="304">
        <f t="shared" ca="1" si="384"/>
        <v>35.1185000000008</v>
      </c>
      <c r="D900" s="306">
        <f t="shared" ca="1" si="385"/>
        <v>-0.80620907318465662</v>
      </c>
      <c r="E900" s="307">
        <f t="shared" ca="1" si="386"/>
        <v>-2.2284816146508346</v>
      </c>
      <c r="F900" s="304">
        <f t="shared" ca="1" si="387"/>
        <v>2.3698319300157245</v>
      </c>
      <c r="G900" s="306">
        <f t="shared" ca="1" si="388"/>
        <v>12.910494844083289</v>
      </c>
      <c r="H900" s="307">
        <f t="shared" ca="1" si="389"/>
        <v>-121.41012569955871</v>
      </c>
      <c r="I900" s="304">
        <f t="shared" ca="1" si="390"/>
        <v>122.09463337715441</v>
      </c>
      <c r="J900" s="306">
        <f t="shared" ca="1" si="391"/>
        <v>874.13727041639572</v>
      </c>
      <c r="K900" s="307">
        <f t="shared" ca="1" si="392"/>
        <v>-5.7334804547847087</v>
      </c>
      <c r="L900" s="304">
        <f t="shared" ref="L900:L963" ca="1" si="406">SQRT(pos_x^2+pos_z^2)</f>
        <v>874.15607320955701</v>
      </c>
      <c r="M900" s="306">
        <f t="shared" ca="1" si="393"/>
        <v>-1.4648565673981966</v>
      </c>
      <c r="N900" s="304">
        <f t="shared" ca="1" si="394"/>
        <v>-83.93009890393769</v>
      </c>
      <c r="P900" s="310">
        <f t="shared" ca="1" si="395"/>
        <v>23</v>
      </c>
      <c r="Q900" s="304">
        <f t="shared" ca="1" si="396"/>
        <v>0</v>
      </c>
      <c r="R900" s="306">
        <f t="shared" ca="1" si="397"/>
        <v>0</v>
      </c>
      <c r="S900" s="307">
        <f t="shared" ca="1" si="398"/>
        <v>7.8079999999999892</v>
      </c>
      <c r="T900" s="304">
        <f t="shared" ref="T900:T963" ca="1" si="407">m*g</f>
        <v>76.5964799999999</v>
      </c>
      <c r="U900" s="311">
        <f t="shared" ref="U900:U963" ca="1" si="408">IF(pos_xz&lt;L_rampe,Poids*COS(Beta),0)</f>
        <v>0</v>
      </c>
      <c r="V900" s="306">
        <f t="shared" ref="V900:V963" ca="1" si="409">Rho_moyen*(20000-Alt_rampe-pos_z)/(20000+Alt_rampe+pos_z)</f>
        <v>1.2257025527593373</v>
      </c>
      <c r="W900" s="304">
        <f t="shared" ref="W900:W963" ca="1" si="410">1/2*Rho*Sref*Cx*vit_xz^2</f>
        <v>59.530529555243803</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2.1307371181623971</v>
      </c>
      <c r="AH900" s="304">
        <f t="shared" ca="1" si="405"/>
        <v>-7.6242635117808391</v>
      </c>
    </row>
    <row r="901" spans="1:34" x14ac:dyDescent="0.2">
      <c r="A901" s="347">
        <f t="shared" ref="A901:A964" ca="1" si="412">IF(B900+0.01&lt;=T_ini+ROUNDUP(Temps_fin_propu,0), 0.01, IF(K900&gt;0, 0.1, 0.0001))</f>
        <v>1E-4</v>
      </c>
      <c r="B901" s="304">
        <f t="shared" ref="B901:B964" ca="1" si="413">B900+pas</f>
        <v>35.118600000000804</v>
      </c>
      <c r="D901" s="306">
        <f t="shared" ref="D901:D964" ca="1" si="414">IF(AND(L900&lt;L_rampe,Poussee&lt;Poids*SIN(M900)),0,(-W900+Poussee)/m*COS(M900)-U900/m*SIN(M900))</f>
        <v>-0.80620642452724578</v>
      </c>
      <c r="E901" s="307">
        <f t="shared" ref="E901:E964" ca="1" si="415">IF(AND(L900&lt;L_rampe,Poussee&lt;Poids*SIN(M900)),0,(-W900+Poussee)/m*SIN(M900)+U900/m*COS(M900)-Poids/m)</f>
        <v>-2.228445263040979</v>
      </c>
      <c r="F901" s="304">
        <f t="shared" ref="F901:F964" ca="1" si="416">SQRT(acc_x^2+acc_z^2)</f>
        <v>2.3697968455795495</v>
      </c>
      <c r="G901" s="306">
        <f t="shared" ref="G901:G964" ca="1" si="417">G900+acc_x*pas</f>
        <v>12.910414223440835</v>
      </c>
      <c r="H901" s="307">
        <f t="shared" ref="H901:H964" ca="1" si="418">H900+acc_z*pas</f>
        <v>-121.41034854408501</v>
      </c>
      <c r="I901" s="304">
        <f t="shared" ref="I901:I964" ca="1" si="419">SQRT(vit_x^2+vit_z^2)</f>
        <v>122.09484644741164</v>
      </c>
      <c r="J901" s="306">
        <f t="shared" ref="J901:J964" ca="1" si="420">J900+0.5*(vit_x+G900)*pas*(K900&gt;=0)</f>
        <v>874.13727041639572</v>
      </c>
      <c r="K901" s="307">
        <f t="shared" ref="K901:K964" ca="1" si="421">K900+0.5*(vit_z+H900)*pas</f>
        <v>-5.7456214784968909</v>
      </c>
      <c r="L901" s="304">
        <f t="shared" ca="1" si="406"/>
        <v>874.15615292532323</v>
      </c>
      <c r="M901" s="306">
        <f t="shared" ref="M901:M964" ca="1" si="422">IF(AND(L900&gt;L_rampe,G901&gt;0),ATAN2(G901,H901),$M$4)</f>
        <v>-1.4648574170050124</v>
      </c>
      <c r="N901" s="304">
        <f t="shared" ref="N901:N964" ca="1" si="423">DEGREES(Beta)</f>
        <v>-83.930147582822471</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7.8079999999999892</v>
      </c>
      <c r="T901" s="304">
        <f t="shared" ca="1" si="407"/>
        <v>76.5964799999999</v>
      </c>
      <c r="U901" s="311">
        <f t="shared" ca="1" si="408"/>
        <v>0</v>
      </c>
      <c r="V901" s="306">
        <f t="shared" ca="1" si="409"/>
        <v>1.2257040408887385</v>
      </c>
      <c r="W901" s="304">
        <f t="shared" ca="1" si="410"/>
        <v>59.530809608178672</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2.1307021317608763</v>
      </c>
      <c r="AH901" s="304">
        <f t="shared" ref="AH901:AH964" ca="1" si="434">IF(AND(L900&lt;L_rampe,Poussee&lt;Poids*SIN(M900)), g*SIN(M900), (-W900+Poussee)/m)</f>
        <v>-7.6242993795138174</v>
      </c>
    </row>
    <row r="902" spans="1:34" x14ac:dyDescent="0.2">
      <c r="A902" s="347">
        <f t="shared" ca="1" si="412"/>
        <v>1E-4</v>
      </c>
      <c r="B902" s="304">
        <f t="shared" ca="1" si="413"/>
        <v>35.118700000000807</v>
      </c>
      <c r="D902" s="306">
        <f t="shared" ca="1" si="414"/>
        <v>-0.80620377583987768</v>
      </c>
      <c r="E902" s="307">
        <f t="shared" ca="1" si="415"/>
        <v>-2.2284089117328243</v>
      </c>
      <c r="F902" s="304">
        <f t="shared" ca="1" si="416"/>
        <v>2.3697617614580473</v>
      </c>
      <c r="G902" s="306">
        <f t="shared" ca="1" si="417"/>
        <v>12.910333603063251</v>
      </c>
      <c r="H902" s="307">
        <f t="shared" ca="1" si="418"/>
        <v>-121.41057138497618</v>
      </c>
      <c r="I902" s="304">
        <f t="shared" ca="1" si="419"/>
        <v>122.09505951417027</v>
      </c>
      <c r="J902" s="306">
        <f t="shared" ca="1" si="420"/>
        <v>874.13727041639572</v>
      </c>
      <c r="K902" s="307">
        <f t="shared" ca="1" si="421"/>
        <v>-5.7577625244933444</v>
      </c>
      <c r="L902" s="304">
        <f t="shared" ca="1" si="406"/>
        <v>874.1562328098538</v>
      </c>
      <c r="M902" s="306">
        <f t="shared" ca="1" si="422"/>
        <v>-1.4648582666035577</v>
      </c>
      <c r="N902" s="304">
        <f t="shared" ca="1" si="423"/>
        <v>-83.930196261233405</v>
      </c>
      <c r="P902" s="310">
        <f t="shared" ca="1" si="424"/>
        <v>23</v>
      </c>
      <c r="Q902" s="304">
        <f t="shared" ca="1" si="425"/>
        <v>0</v>
      </c>
      <c r="R902" s="306">
        <f t="shared" ca="1" si="426"/>
        <v>0</v>
      </c>
      <c r="S902" s="307">
        <f t="shared" ca="1" si="427"/>
        <v>7.8079999999999892</v>
      </c>
      <c r="T902" s="304">
        <f t="shared" ca="1" si="407"/>
        <v>76.5964799999999</v>
      </c>
      <c r="U902" s="311">
        <f t="shared" ca="1" si="408"/>
        <v>0</v>
      </c>
      <c r="V902" s="306">
        <f t="shared" ca="1" si="409"/>
        <v>1.2257055290226786</v>
      </c>
      <c r="W902" s="304">
        <f t="shared" ca="1" si="410"/>
        <v>59.531089658789419</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2.1306671456414072</v>
      </c>
      <c r="AH902" s="304">
        <f t="shared" ca="1" si="434"/>
        <v>-7.6243352469491228</v>
      </c>
    </row>
    <row r="903" spans="1:34" x14ac:dyDescent="0.2">
      <c r="A903" s="347">
        <f t="shared" ca="1" si="412"/>
        <v>1E-4</v>
      </c>
      <c r="B903" s="304">
        <f t="shared" ca="1" si="413"/>
        <v>35.11880000000081</v>
      </c>
      <c r="D903" s="306">
        <f t="shared" ca="1" si="414"/>
        <v>-0.80620112712255254</v>
      </c>
      <c r="E903" s="307">
        <f t="shared" ca="1" si="415"/>
        <v>-2.2283725607263536</v>
      </c>
      <c r="F903" s="304">
        <f t="shared" ca="1" si="416"/>
        <v>2.3697266776512014</v>
      </c>
      <c r="G903" s="306">
        <f t="shared" ca="1" si="417"/>
        <v>12.910252982950539</v>
      </c>
      <c r="H903" s="307">
        <f t="shared" ca="1" si="418"/>
        <v>-121.41079422223225</v>
      </c>
      <c r="I903" s="304">
        <f t="shared" ca="1" si="419"/>
        <v>122.09527257743032</v>
      </c>
      <c r="J903" s="306">
        <f t="shared" ca="1" si="420"/>
        <v>874.13727041639572</v>
      </c>
      <c r="K903" s="307">
        <f t="shared" ca="1" si="421"/>
        <v>-5.769903592773705</v>
      </c>
      <c r="L903" s="304">
        <f t="shared" ca="1" si="406"/>
        <v>874.15631286314965</v>
      </c>
      <c r="M903" s="306">
        <f t="shared" ca="1" si="422"/>
        <v>-1.4648591161938322</v>
      </c>
      <c r="N903" s="304">
        <f t="shared" ca="1" si="423"/>
        <v>-83.93024493917045</v>
      </c>
      <c r="P903" s="310">
        <f t="shared" ca="1" si="424"/>
        <v>23</v>
      </c>
      <c r="Q903" s="304">
        <f t="shared" ca="1" si="425"/>
        <v>0</v>
      </c>
      <c r="R903" s="306">
        <f t="shared" ca="1" si="426"/>
        <v>0</v>
      </c>
      <c r="S903" s="307">
        <f t="shared" ca="1" si="427"/>
        <v>7.8079999999999892</v>
      </c>
      <c r="T903" s="304">
        <f t="shared" ca="1" si="407"/>
        <v>76.5964799999999</v>
      </c>
      <c r="U903" s="311">
        <f t="shared" ca="1" si="408"/>
        <v>0</v>
      </c>
      <c r="V903" s="306">
        <f t="shared" ca="1" si="409"/>
        <v>1.2257070171611577</v>
      </c>
      <c r="W903" s="304">
        <f t="shared" ca="1" si="410"/>
        <v>59.531369707076038</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2.1306321598039748</v>
      </c>
      <c r="AH903" s="304">
        <f t="shared" ca="1" si="434"/>
        <v>-7.6243711140867703</v>
      </c>
    </row>
    <row r="904" spans="1:34" x14ac:dyDescent="0.2">
      <c r="A904" s="347">
        <f t="shared" ca="1" si="412"/>
        <v>1E-4</v>
      </c>
      <c r="B904" s="304">
        <f t="shared" ca="1" si="413"/>
        <v>35.118900000000814</v>
      </c>
      <c r="D904" s="306">
        <f t="shared" ca="1" si="414"/>
        <v>-0.80619847837527303</v>
      </c>
      <c r="E904" s="307">
        <f t="shared" ca="1" si="415"/>
        <v>-2.2283362100215722</v>
      </c>
      <c r="F904" s="304">
        <f t="shared" ca="1" si="416"/>
        <v>2.3696915941590184</v>
      </c>
      <c r="G904" s="306">
        <f t="shared" ca="1" si="417"/>
        <v>12.910172363102701</v>
      </c>
      <c r="H904" s="307">
        <f t="shared" ca="1" si="418"/>
        <v>-121.41101705585325</v>
      </c>
      <c r="I904" s="304">
        <f t="shared" ca="1" si="419"/>
        <v>122.0954856371918</v>
      </c>
      <c r="J904" s="306">
        <f t="shared" ca="1" si="420"/>
        <v>874.13727041639572</v>
      </c>
      <c r="K904" s="307">
        <f t="shared" ca="1" si="421"/>
        <v>-5.7820446833376096</v>
      </c>
      <c r="L904" s="304">
        <f t="shared" ca="1" si="406"/>
        <v>874.15639308521168</v>
      </c>
      <c r="M904" s="306">
        <f t="shared" ca="1" si="422"/>
        <v>-1.4648599657758363</v>
      </c>
      <c r="N904" s="304">
        <f t="shared" ca="1" si="423"/>
        <v>-83.930293616633634</v>
      </c>
      <c r="P904" s="310">
        <f t="shared" ca="1" si="424"/>
        <v>23</v>
      </c>
      <c r="Q904" s="304">
        <f t="shared" ca="1" si="425"/>
        <v>0</v>
      </c>
      <c r="R904" s="306">
        <f t="shared" ca="1" si="426"/>
        <v>0</v>
      </c>
      <c r="S904" s="307">
        <f t="shared" ca="1" si="427"/>
        <v>7.8079999999999892</v>
      </c>
      <c r="T904" s="304">
        <f t="shared" ca="1" si="407"/>
        <v>76.5964799999999</v>
      </c>
      <c r="U904" s="311">
        <f t="shared" ca="1" si="408"/>
        <v>0</v>
      </c>
      <c r="V904" s="306">
        <f t="shared" ca="1" si="409"/>
        <v>1.2257085053041754</v>
      </c>
      <c r="W904" s="304">
        <f t="shared" ca="1" si="410"/>
        <v>59.531649753038501</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2.1305971742485834</v>
      </c>
      <c r="AH904" s="304">
        <f t="shared" ca="1" si="434"/>
        <v>-7.6244069809267572</v>
      </c>
    </row>
    <row r="905" spans="1:34" x14ac:dyDescent="0.2">
      <c r="A905" s="347">
        <f t="shared" ca="1" si="412"/>
        <v>1E-4</v>
      </c>
      <c r="B905" s="304">
        <f t="shared" ca="1" si="413"/>
        <v>35.119000000000817</v>
      </c>
      <c r="D905" s="306">
        <f t="shared" ca="1" si="414"/>
        <v>-0.80619582959803915</v>
      </c>
      <c r="E905" s="307">
        <f t="shared" ca="1" si="415"/>
        <v>-2.2282998596184811</v>
      </c>
      <c r="F905" s="304">
        <f t="shared" ca="1" si="416"/>
        <v>2.3696565109814993</v>
      </c>
      <c r="G905" s="306">
        <f t="shared" ca="1" si="417"/>
        <v>12.910091743519741</v>
      </c>
      <c r="H905" s="307">
        <f t="shared" ca="1" si="418"/>
        <v>-121.41123988583921</v>
      </c>
      <c r="I905" s="304">
        <f t="shared" ca="1" si="419"/>
        <v>122.09569869345475</v>
      </c>
      <c r="J905" s="306">
        <f t="shared" ca="1" si="420"/>
        <v>874.13727041639572</v>
      </c>
      <c r="K905" s="307">
        <f t="shared" ca="1" si="421"/>
        <v>-5.7941857961846939</v>
      </c>
      <c r="L905" s="304">
        <f t="shared" ca="1" si="406"/>
        <v>874.15647347604056</v>
      </c>
      <c r="M905" s="306">
        <f t="shared" ca="1" si="422"/>
        <v>-1.4648608153495699</v>
      </c>
      <c r="N905" s="304">
        <f t="shared" ca="1" si="423"/>
        <v>-83.930342293622957</v>
      </c>
      <c r="P905" s="310">
        <f t="shared" ca="1" si="424"/>
        <v>23</v>
      </c>
      <c r="Q905" s="304">
        <f t="shared" ca="1" si="425"/>
        <v>0</v>
      </c>
      <c r="R905" s="306">
        <f t="shared" ca="1" si="426"/>
        <v>0</v>
      </c>
      <c r="S905" s="307">
        <f t="shared" ca="1" si="427"/>
        <v>7.8079999999999892</v>
      </c>
      <c r="T905" s="304">
        <f t="shared" ca="1" si="407"/>
        <v>76.5964799999999</v>
      </c>
      <c r="U905" s="311">
        <f t="shared" ca="1" si="408"/>
        <v>0</v>
      </c>
      <c r="V905" s="306">
        <f t="shared" ca="1" si="409"/>
        <v>1.2257099934517315</v>
      </c>
      <c r="W905" s="304">
        <f t="shared" ca="1" si="410"/>
        <v>59.531929796676799</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2.130562188975234</v>
      </c>
      <c r="AH905" s="304">
        <f t="shared" ca="1" si="434"/>
        <v>-7.6244428474690809</v>
      </c>
    </row>
    <row r="906" spans="1:34" x14ac:dyDescent="0.2">
      <c r="A906" s="347">
        <f t="shared" ca="1" si="412"/>
        <v>1E-4</v>
      </c>
      <c r="B906" s="304">
        <f t="shared" ca="1" si="413"/>
        <v>35.11910000000082</v>
      </c>
      <c r="D906" s="306">
        <f t="shared" ca="1" si="414"/>
        <v>-0.80619318079085223</v>
      </c>
      <c r="E906" s="307">
        <f t="shared" ca="1" si="415"/>
        <v>-2.228263509517082</v>
      </c>
      <c r="F906" s="304">
        <f t="shared" ca="1" si="416"/>
        <v>2.3696214281186467</v>
      </c>
      <c r="G906" s="306">
        <f t="shared" ca="1" si="417"/>
        <v>12.910011124201663</v>
      </c>
      <c r="H906" s="307">
        <f t="shared" ca="1" si="418"/>
        <v>-121.41146271219016</v>
      </c>
      <c r="I906" s="304">
        <f t="shared" ca="1" si="419"/>
        <v>122.09591174621922</v>
      </c>
      <c r="J906" s="306">
        <f t="shared" ca="1" si="420"/>
        <v>874.13727041639572</v>
      </c>
      <c r="K906" s="307">
        <f t="shared" ca="1" si="421"/>
        <v>-5.8063269313145955</v>
      </c>
      <c r="L906" s="304">
        <f t="shared" ca="1" si="406"/>
        <v>874.15655403563744</v>
      </c>
      <c r="M906" s="306">
        <f t="shared" ca="1" si="422"/>
        <v>-1.4648616649150334</v>
      </c>
      <c r="N906" s="304">
        <f t="shared" ca="1" si="423"/>
        <v>-83.930390970138433</v>
      </c>
      <c r="P906" s="310">
        <f t="shared" ca="1" si="424"/>
        <v>23</v>
      </c>
      <c r="Q906" s="304">
        <f t="shared" ca="1" si="425"/>
        <v>0</v>
      </c>
      <c r="R906" s="306">
        <f t="shared" ca="1" si="426"/>
        <v>0</v>
      </c>
      <c r="S906" s="307">
        <f t="shared" ca="1" si="427"/>
        <v>7.8079999999999892</v>
      </c>
      <c r="T906" s="304">
        <f t="shared" ca="1" si="407"/>
        <v>76.5964799999999</v>
      </c>
      <c r="U906" s="311">
        <f t="shared" ca="1" si="408"/>
        <v>0</v>
      </c>
      <c r="V906" s="306">
        <f t="shared" ca="1" si="409"/>
        <v>1.2257114816038259</v>
      </c>
      <c r="W906" s="304">
        <f t="shared" ca="1" si="410"/>
        <v>59.532209837990955</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2.1305272039839283</v>
      </c>
      <c r="AH906" s="304">
        <f t="shared" ca="1" si="434"/>
        <v>-7.6244787137137395</v>
      </c>
    </row>
    <row r="907" spans="1:34" x14ac:dyDescent="0.2">
      <c r="A907" s="347">
        <f t="shared" ca="1" si="412"/>
        <v>1E-4</v>
      </c>
      <c r="B907" s="304">
        <f t="shared" ca="1" si="413"/>
        <v>35.119200000000824</v>
      </c>
      <c r="D907" s="306">
        <f t="shared" ca="1" si="414"/>
        <v>-0.80619053195371104</v>
      </c>
      <c r="E907" s="307">
        <f t="shared" ca="1" si="415"/>
        <v>-2.2282271597173695</v>
      </c>
      <c r="F907" s="304">
        <f t="shared" ca="1" si="416"/>
        <v>2.3695863455704549</v>
      </c>
      <c r="G907" s="306">
        <f t="shared" ca="1" si="417"/>
        <v>12.909930505148468</v>
      </c>
      <c r="H907" s="307">
        <f t="shared" ca="1" si="418"/>
        <v>-121.41168553490613</v>
      </c>
      <c r="I907" s="304">
        <f t="shared" ca="1" si="419"/>
        <v>122.09612479548521</v>
      </c>
      <c r="J907" s="306">
        <f t="shared" ca="1" si="420"/>
        <v>874.13727041639572</v>
      </c>
      <c r="K907" s="307">
        <f t="shared" ca="1" si="421"/>
        <v>-5.8184680887269504</v>
      </c>
      <c r="L907" s="304">
        <f t="shared" ca="1" si="406"/>
        <v>874.15663476400289</v>
      </c>
      <c r="M907" s="306">
        <f t="shared" ca="1" si="422"/>
        <v>-1.4648625144722267</v>
      </c>
      <c r="N907" s="304">
        <f t="shared" ca="1" si="423"/>
        <v>-83.930439646180062</v>
      </c>
      <c r="P907" s="310">
        <f t="shared" ca="1" si="424"/>
        <v>23</v>
      </c>
      <c r="Q907" s="304">
        <f t="shared" ca="1" si="425"/>
        <v>0</v>
      </c>
      <c r="R907" s="306">
        <f t="shared" ca="1" si="426"/>
        <v>0</v>
      </c>
      <c r="S907" s="307">
        <f t="shared" ca="1" si="427"/>
        <v>7.8079999999999892</v>
      </c>
      <c r="T907" s="304">
        <f t="shared" ca="1" si="407"/>
        <v>76.5964799999999</v>
      </c>
      <c r="U907" s="311">
        <f t="shared" ca="1" si="408"/>
        <v>0</v>
      </c>
      <c r="V907" s="306">
        <f t="shared" ca="1" si="409"/>
        <v>1.2257129697604592</v>
      </c>
      <c r="W907" s="304">
        <f t="shared" ca="1" si="410"/>
        <v>59.532489876980968</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2.1304922192746671</v>
      </c>
      <c r="AH907" s="304">
        <f t="shared" ca="1" si="434"/>
        <v>-7.6245145796607376</v>
      </c>
    </row>
    <row r="908" spans="1:34" x14ac:dyDescent="0.2">
      <c r="A908" s="347">
        <f t="shared" ca="1" si="412"/>
        <v>1E-4</v>
      </c>
      <c r="B908" s="304">
        <f t="shared" ca="1" si="413"/>
        <v>35.119300000000827</v>
      </c>
      <c r="D908" s="306">
        <f t="shared" ca="1" si="414"/>
        <v>-0.80618788308661871</v>
      </c>
      <c r="E908" s="307">
        <f t="shared" ca="1" si="415"/>
        <v>-2.2281908102193482</v>
      </c>
      <c r="F908" s="304">
        <f t="shared" ca="1" si="416"/>
        <v>2.3695512633369296</v>
      </c>
      <c r="G908" s="306">
        <f t="shared" ca="1" si="417"/>
        <v>12.90984988636016</v>
      </c>
      <c r="H908" s="307">
        <f t="shared" ca="1" si="418"/>
        <v>-121.41190835398714</v>
      </c>
      <c r="I908" s="304">
        <f t="shared" ca="1" si="419"/>
        <v>122.09633784125275</v>
      </c>
      <c r="J908" s="306">
        <f t="shared" ca="1" si="420"/>
        <v>874.13727041639572</v>
      </c>
      <c r="K908" s="307">
        <f t="shared" ca="1" si="421"/>
        <v>-5.8306092684213953</v>
      </c>
      <c r="L908" s="304">
        <f t="shared" ca="1" si="406"/>
        <v>874.15671566113815</v>
      </c>
      <c r="M908" s="306">
        <f t="shared" ca="1" si="422"/>
        <v>-1.4648633640211499</v>
      </c>
      <c r="N908" s="304">
        <f t="shared" ca="1" si="423"/>
        <v>-83.930488321747859</v>
      </c>
      <c r="P908" s="310">
        <f t="shared" ca="1" si="424"/>
        <v>23</v>
      </c>
      <c r="Q908" s="304">
        <f t="shared" ca="1" si="425"/>
        <v>0</v>
      </c>
      <c r="R908" s="306">
        <f t="shared" ca="1" si="426"/>
        <v>0</v>
      </c>
      <c r="S908" s="307">
        <f t="shared" ca="1" si="427"/>
        <v>7.8079999999999892</v>
      </c>
      <c r="T908" s="304">
        <f t="shared" ca="1" si="407"/>
        <v>76.5964799999999</v>
      </c>
      <c r="U908" s="311">
        <f t="shared" ca="1" si="408"/>
        <v>0</v>
      </c>
      <c r="V908" s="306">
        <f t="shared" ca="1" si="409"/>
        <v>1.2257144579216308</v>
      </c>
      <c r="W908" s="304">
        <f t="shared" ca="1" si="410"/>
        <v>59.532769913646817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2.1304572348474471</v>
      </c>
      <c r="AH908" s="304">
        <f t="shared" ca="1" si="434"/>
        <v>-7.6245504453100734</v>
      </c>
    </row>
    <row r="909" spans="1:34" x14ac:dyDescent="0.2">
      <c r="A909" s="347">
        <f t="shared" ca="1" si="412"/>
        <v>1E-4</v>
      </c>
      <c r="B909" s="304">
        <f t="shared" ca="1" si="413"/>
        <v>35.11940000000083</v>
      </c>
      <c r="D909" s="306">
        <f t="shared" ca="1" si="414"/>
        <v>-0.80618523418957488</v>
      </c>
      <c r="E909" s="307">
        <f t="shared" ca="1" si="415"/>
        <v>-2.2281544610230188</v>
      </c>
      <c r="F909" s="304">
        <f t="shared" ca="1" si="416"/>
        <v>2.3695161814180716</v>
      </c>
      <c r="G909" s="306">
        <f t="shared" ca="1" si="417"/>
        <v>12.90976926783674</v>
      </c>
      <c r="H909" s="307">
        <f t="shared" ca="1" si="418"/>
        <v>-121.41213116943325</v>
      </c>
      <c r="I909" s="304">
        <f t="shared" ca="1" si="419"/>
        <v>122.09655088352189</v>
      </c>
      <c r="J909" s="306">
        <f t="shared" ca="1" si="420"/>
        <v>874.13727041639572</v>
      </c>
      <c r="K909" s="307">
        <f t="shared" ca="1" si="421"/>
        <v>-5.8427504703975659</v>
      </c>
      <c r="L909" s="304">
        <f t="shared" ca="1" si="406"/>
        <v>874.15679672704391</v>
      </c>
      <c r="M909" s="306">
        <f t="shared" ca="1" si="422"/>
        <v>-1.4648642135618033</v>
      </c>
      <c r="N909" s="304">
        <f t="shared" ca="1" si="423"/>
        <v>-83.930536996841823</v>
      </c>
      <c r="P909" s="310">
        <f t="shared" ca="1" si="424"/>
        <v>23</v>
      </c>
      <c r="Q909" s="304">
        <f t="shared" ca="1" si="425"/>
        <v>0</v>
      </c>
      <c r="R909" s="306">
        <f t="shared" ca="1" si="426"/>
        <v>0</v>
      </c>
      <c r="S909" s="307">
        <f t="shared" ca="1" si="427"/>
        <v>7.8079999999999892</v>
      </c>
      <c r="T909" s="304">
        <f t="shared" ca="1" si="407"/>
        <v>76.5964799999999</v>
      </c>
      <c r="U909" s="311">
        <f t="shared" ca="1" si="408"/>
        <v>0</v>
      </c>
      <c r="V909" s="306">
        <f t="shared" ca="1" si="409"/>
        <v>1.2257159460873408</v>
      </c>
      <c r="W909" s="304">
        <f t="shared" ca="1" si="410"/>
        <v>59.533049947988523</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2.1304222507022725</v>
      </c>
      <c r="AH909" s="304">
        <f t="shared" ca="1" si="434"/>
        <v>-7.6245863106617442</v>
      </c>
    </row>
    <row r="910" spans="1:34" x14ac:dyDescent="0.2">
      <c r="A910" s="347">
        <f t="shared" ca="1" si="412"/>
        <v>1E-4</v>
      </c>
      <c r="B910" s="304">
        <f t="shared" ca="1" si="413"/>
        <v>35.119500000000833</v>
      </c>
      <c r="D910" s="306">
        <f t="shared" ca="1" si="414"/>
        <v>-0.80618258526258002</v>
      </c>
      <c r="E910" s="307">
        <f t="shared" ca="1" si="415"/>
        <v>-2.2281181121283771</v>
      </c>
      <c r="F910" s="304">
        <f t="shared" ca="1" si="416"/>
        <v>2.3694810998138771</v>
      </c>
      <c r="G910" s="306">
        <f t="shared" ca="1" si="417"/>
        <v>12.909688649578214</v>
      </c>
      <c r="H910" s="307">
        <f t="shared" ca="1" si="418"/>
        <v>-121.41235398124446</v>
      </c>
      <c r="I910" s="304">
        <f t="shared" ca="1" si="419"/>
        <v>122.09676392229262</v>
      </c>
      <c r="J910" s="306">
        <f t="shared" ca="1" si="420"/>
        <v>874.13727041639572</v>
      </c>
      <c r="K910" s="307">
        <f t="shared" ca="1" si="421"/>
        <v>-5.8548916946551</v>
      </c>
      <c r="L910" s="304">
        <f t="shared" ca="1" si="406"/>
        <v>874.15687796172097</v>
      </c>
      <c r="M910" s="306">
        <f t="shared" ca="1" si="422"/>
        <v>-1.4648650630941871</v>
      </c>
      <c r="N910" s="304">
        <f t="shared" ca="1" si="423"/>
        <v>-83.930585671461969</v>
      </c>
      <c r="P910" s="310">
        <f t="shared" ca="1" si="424"/>
        <v>23</v>
      </c>
      <c r="Q910" s="304">
        <f t="shared" ca="1" si="425"/>
        <v>0</v>
      </c>
      <c r="R910" s="306">
        <f t="shared" ca="1" si="426"/>
        <v>0</v>
      </c>
      <c r="S910" s="307">
        <f t="shared" ca="1" si="427"/>
        <v>7.8079999999999892</v>
      </c>
      <c r="T910" s="304">
        <f t="shared" ca="1" si="407"/>
        <v>76.5964799999999</v>
      </c>
      <c r="U910" s="311">
        <f t="shared" ca="1" si="408"/>
        <v>0</v>
      </c>
      <c r="V910" s="306">
        <f t="shared" ca="1" si="409"/>
        <v>1.2257174342575894</v>
      </c>
      <c r="W910" s="304">
        <f t="shared" ca="1" si="410"/>
        <v>59.533329980006073</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2.1303872668391435</v>
      </c>
      <c r="AH910" s="304">
        <f t="shared" ca="1" si="434"/>
        <v>-7.6246221757157535</v>
      </c>
    </row>
    <row r="911" spans="1:34" x14ac:dyDescent="0.2">
      <c r="A911" s="347">
        <f t="shared" ca="1" si="412"/>
        <v>1E-4</v>
      </c>
      <c r="B911" s="304">
        <f t="shared" ca="1" si="413"/>
        <v>35.119600000000837</v>
      </c>
      <c r="D911" s="306">
        <f t="shared" ca="1" si="414"/>
        <v>-0.80617993630563389</v>
      </c>
      <c r="E911" s="307">
        <f t="shared" ca="1" si="415"/>
        <v>-2.2280817635354264</v>
      </c>
      <c r="F911" s="304">
        <f t="shared" ca="1" si="416"/>
        <v>2.3694460185243496</v>
      </c>
      <c r="G911" s="306">
        <f t="shared" ca="1" si="417"/>
        <v>12.909608031584584</v>
      </c>
      <c r="H911" s="307">
        <f t="shared" ca="1" si="418"/>
        <v>-121.41257678942083</v>
      </c>
      <c r="I911" s="304">
        <f t="shared" ca="1" si="419"/>
        <v>122.096976957565</v>
      </c>
      <c r="J911" s="306">
        <f t="shared" ca="1" si="420"/>
        <v>874.13727041639572</v>
      </c>
      <c r="K911" s="307">
        <f t="shared" ca="1" si="421"/>
        <v>-5.8670329411936333</v>
      </c>
      <c r="L911" s="304">
        <f t="shared" ca="1" si="406"/>
        <v>874.15695936517034</v>
      </c>
      <c r="M911" s="306">
        <f t="shared" ca="1" si="422"/>
        <v>-1.464865912618301</v>
      </c>
      <c r="N911" s="304">
        <f t="shared" ca="1" si="423"/>
        <v>-83.930634345608297</v>
      </c>
      <c r="P911" s="310">
        <f t="shared" ca="1" si="424"/>
        <v>23</v>
      </c>
      <c r="Q911" s="304">
        <f t="shared" ca="1" si="425"/>
        <v>0</v>
      </c>
      <c r="R911" s="306">
        <f t="shared" ca="1" si="426"/>
        <v>0</v>
      </c>
      <c r="S911" s="307">
        <f t="shared" ca="1" si="427"/>
        <v>7.8079999999999892</v>
      </c>
      <c r="T911" s="304">
        <f t="shared" ca="1" si="407"/>
        <v>76.5964799999999</v>
      </c>
      <c r="U911" s="311">
        <f t="shared" ca="1" si="408"/>
        <v>0</v>
      </c>
      <c r="V911" s="306">
        <f t="shared" ca="1" si="409"/>
        <v>1.2257189224323761</v>
      </c>
      <c r="W911" s="304">
        <f t="shared" ca="1" si="410"/>
        <v>59.533610009699444</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2.1303522832580564</v>
      </c>
      <c r="AH911" s="304">
        <f t="shared" ca="1" si="434"/>
        <v>-7.6246580404720996</v>
      </c>
    </row>
    <row r="912" spans="1:34" x14ac:dyDescent="0.2">
      <c r="A912" s="347">
        <f t="shared" ca="1" si="412"/>
        <v>1E-4</v>
      </c>
      <c r="B912" s="304">
        <f t="shared" ca="1" si="413"/>
        <v>35.11970000000084</v>
      </c>
      <c r="D912" s="306">
        <f t="shared" ca="1" si="414"/>
        <v>-0.80617728731873939</v>
      </c>
      <c r="E912" s="307">
        <f t="shared" ca="1" si="415"/>
        <v>-2.2280454152441687</v>
      </c>
      <c r="F912" s="304">
        <f t="shared" ca="1" si="416"/>
        <v>2.3694109375494916</v>
      </c>
      <c r="G912" s="306">
        <f t="shared" ca="1" si="417"/>
        <v>12.909527413855852</v>
      </c>
      <c r="H912" s="307">
        <f t="shared" ca="1" si="418"/>
        <v>-121.41279959396235</v>
      </c>
      <c r="I912" s="304">
        <f t="shared" ca="1" si="419"/>
        <v>122.09718998933907</v>
      </c>
      <c r="J912" s="306">
        <f t="shared" ca="1" si="420"/>
        <v>874.13727041639572</v>
      </c>
      <c r="K912" s="307">
        <f t="shared" ca="1" si="421"/>
        <v>-5.8791742100128026</v>
      </c>
      <c r="L912" s="304">
        <f t="shared" ca="1" si="406"/>
        <v>874.15704093739271</v>
      </c>
      <c r="M912" s="306">
        <f t="shared" ca="1" si="422"/>
        <v>-1.4648667621341454</v>
      </c>
      <c r="N912" s="304">
        <f t="shared" ca="1" si="423"/>
        <v>-83.930683019280806</v>
      </c>
      <c r="P912" s="310">
        <f t="shared" ca="1" si="424"/>
        <v>23</v>
      </c>
      <c r="Q912" s="304">
        <f t="shared" ca="1" si="425"/>
        <v>0</v>
      </c>
      <c r="R912" s="306">
        <f t="shared" ca="1" si="426"/>
        <v>0</v>
      </c>
      <c r="S912" s="307">
        <f t="shared" ca="1" si="427"/>
        <v>7.8079999999999892</v>
      </c>
      <c r="T912" s="304">
        <f t="shared" ca="1" si="407"/>
        <v>76.5964799999999</v>
      </c>
      <c r="U912" s="311">
        <f t="shared" ca="1" si="408"/>
        <v>0</v>
      </c>
      <c r="V912" s="306">
        <f t="shared" ca="1" si="409"/>
        <v>1.2257204106117008</v>
      </c>
      <c r="W912" s="304">
        <f t="shared" ca="1" si="410"/>
        <v>59.53389003706868</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2.130317299959021</v>
      </c>
      <c r="AH912" s="304">
        <f t="shared" ca="1" si="434"/>
        <v>-7.6246939049307798</v>
      </c>
    </row>
    <row r="913" spans="1:34" x14ac:dyDescent="0.2">
      <c r="A913" s="347">
        <f t="shared" ca="1" si="412"/>
        <v>1E-4</v>
      </c>
      <c r="B913" s="304">
        <f t="shared" ca="1" si="413"/>
        <v>35.119800000000843</v>
      </c>
      <c r="D913" s="306">
        <f t="shared" ca="1" si="414"/>
        <v>-0.80617463830189728</v>
      </c>
      <c r="E913" s="307">
        <f t="shared" ca="1" si="415"/>
        <v>-2.2280090672545994</v>
      </c>
      <c r="F913" s="304">
        <f t="shared" ca="1" si="416"/>
        <v>2.3693758568893002</v>
      </c>
      <c r="G913" s="306">
        <f t="shared" ca="1" si="417"/>
        <v>12.909446796392022</v>
      </c>
      <c r="H913" s="307">
        <f t="shared" ca="1" si="418"/>
        <v>-121.41302239486907</v>
      </c>
      <c r="I913" s="304">
        <f t="shared" ca="1" si="419"/>
        <v>122.09740301761482</v>
      </c>
      <c r="J913" s="306">
        <f t="shared" ca="1" si="420"/>
        <v>874.13727041639572</v>
      </c>
      <c r="K913" s="307">
        <f t="shared" ca="1" si="421"/>
        <v>-5.8913155011122438</v>
      </c>
      <c r="L913" s="304">
        <f t="shared" ca="1" si="406"/>
        <v>874.15712267838933</v>
      </c>
      <c r="M913" s="306">
        <f t="shared" ca="1" si="422"/>
        <v>-1.4648676116417205</v>
      </c>
      <c r="N913" s="304">
        <f t="shared" ca="1" si="423"/>
        <v>-83.930731692479526</v>
      </c>
      <c r="P913" s="310">
        <f t="shared" ca="1" si="424"/>
        <v>23</v>
      </c>
      <c r="Q913" s="304">
        <f t="shared" ca="1" si="425"/>
        <v>0</v>
      </c>
      <c r="R913" s="306">
        <f t="shared" ca="1" si="426"/>
        <v>0</v>
      </c>
      <c r="S913" s="307">
        <f t="shared" ca="1" si="427"/>
        <v>7.8079999999999892</v>
      </c>
      <c r="T913" s="304">
        <f t="shared" ca="1" si="407"/>
        <v>76.5964799999999</v>
      </c>
      <c r="U913" s="311">
        <f t="shared" ca="1" si="408"/>
        <v>0</v>
      </c>
      <c r="V913" s="306">
        <f t="shared" ca="1" si="409"/>
        <v>1.2257218987955643</v>
      </c>
      <c r="W913" s="304">
        <f t="shared" ca="1" si="410"/>
        <v>59.534170062113759</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2.1302823169420257</v>
      </c>
      <c r="AH913" s="304">
        <f t="shared" ca="1" si="434"/>
        <v>-7.6247297690917986</v>
      </c>
    </row>
    <row r="914" spans="1:34" x14ac:dyDescent="0.2">
      <c r="A914" s="347">
        <f t="shared" ca="1" si="412"/>
        <v>1E-4</v>
      </c>
      <c r="B914" s="304">
        <f t="shared" ca="1" si="413"/>
        <v>35.119900000000847</v>
      </c>
      <c r="D914" s="306">
        <f t="shared" ca="1" si="414"/>
        <v>-0.80617198925510525</v>
      </c>
      <c r="E914" s="307">
        <f t="shared" ca="1" si="415"/>
        <v>-2.2279727195667203</v>
      </c>
      <c r="F914" s="304">
        <f t="shared" ca="1" si="416"/>
        <v>2.3693407765437753</v>
      </c>
      <c r="G914" s="306">
        <f t="shared" ca="1" si="417"/>
        <v>12.909366179193096</v>
      </c>
      <c r="H914" s="307">
        <f t="shared" ca="1" si="418"/>
        <v>-121.41324519214103</v>
      </c>
      <c r="I914" s="304">
        <f t="shared" ca="1" si="419"/>
        <v>122.0976160423923</v>
      </c>
      <c r="J914" s="306">
        <f t="shared" ca="1" si="420"/>
        <v>874.13727041639572</v>
      </c>
      <c r="K914" s="307">
        <f t="shared" ca="1" si="421"/>
        <v>-5.9034568144915944</v>
      </c>
      <c r="L914" s="304">
        <f t="shared" ca="1" si="406"/>
        <v>874.15720458816077</v>
      </c>
      <c r="M914" s="306">
        <f t="shared" ca="1" si="422"/>
        <v>-1.4648684611410261</v>
      </c>
      <c r="N914" s="304">
        <f t="shared" ca="1" si="423"/>
        <v>-83.930780365204427</v>
      </c>
      <c r="P914" s="310">
        <f t="shared" ca="1" si="424"/>
        <v>23</v>
      </c>
      <c r="Q914" s="304">
        <f t="shared" ca="1" si="425"/>
        <v>0</v>
      </c>
      <c r="R914" s="306">
        <f t="shared" ca="1" si="426"/>
        <v>0</v>
      </c>
      <c r="S914" s="307">
        <f t="shared" ca="1" si="427"/>
        <v>7.8079999999999892</v>
      </c>
      <c r="T914" s="304">
        <f t="shared" ca="1" si="407"/>
        <v>76.5964799999999</v>
      </c>
      <c r="U914" s="311">
        <f t="shared" ca="1" si="408"/>
        <v>0</v>
      </c>
      <c r="V914" s="306">
        <f t="shared" ca="1" si="409"/>
        <v>1.2257233869839663</v>
      </c>
      <c r="W914" s="304">
        <f t="shared" ca="1" si="410"/>
        <v>59.534450084834702</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2.1302473342070796</v>
      </c>
      <c r="AH914" s="304">
        <f t="shared" ca="1" si="434"/>
        <v>-7.6247656329551541</v>
      </c>
    </row>
    <row r="915" spans="1:34" x14ac:dyDescent="0.2">
      <c r="A915" s="347">
        <f t="shared" ca="1" si="412"/>
        <v>1E-4</v>
      </c>
      <c r="B915" s="304">
        <f t="shared" ca="1" si="413"/>
        <v>35.12000000000085</v>
      </c>
      <c r="D915" s="306">
        <f t="shared" ca="1" si="414"/>
        <v>-0.80616934017836883</v>
      </c>
      <c r="E915" s="307">
        <f t="shared" ca="1" si="415"/>
        <v>-2.2279363721805305</v>
      </c>
      <c r="F915" s="304">
        <f t="shared" ca="1" si="416"/>
        <v>2.3693056965129196</v>
      </c>
      <c r="G915" s="306">
        <f t="shared" ca="1" si="417"/>
        <v>12.909285562259079</v>
      </c>
      <c r="H915" s="307">
        <f t="shared" ca="1" si="418"/>
        <v>-121.41346798577825</v>
      </c>
      <c r="I915" s="304">
        <f t="shared" ca="1" si="419"/>
        <v>122.09782906367153</v>
      </c>
      <c r="J915" s="306">
        <f t="shared" ca="1" si="420"/>
        <v>874.13727041639572</v>
      </c>
      <c r="K915" s="307">
        <f t="shared" ca="1" si="421"/>
        <v>-5.9155981501504904</v>
      </c>
      <c r="L915" s="304">
        <f t="shared" ca="1" si="406"/>
        <v>874.15728666670793</v>
      </c>
      <c r="M915" s="306">
        <f t="shared" ca="1" si="422"/>
        <v>-1.4648693106320627</v>
      </c>
      <c r="N915" s="304">
        <f t="shared" ca="1" si="423"/>
        <v>-83.930829037455567</v>
      </c>
      <c r="P915" s="310">
        <f t="shared" ca="1" si="424"/>
        <v>23</v>
      </c>
      <c r="Q915" s="304">
        <f t="shared" ca="1" si="425"/>
        <v>0</v>
      </c>
      <c r="R915" s="306">
        <f t="shared" ca="1" si="426"/>
        <v>0</v>
      </c>
      <c r="S915" s="307">
        <f t="shared" ca="1" si="427"/>
        <v>7.8079999999999892</v>
      </c>
      <c r="T915" s="304">
        <f t="shared" ca="1" si="407"/>
        <v>76.5964799999999</v>
      </c>
      <c r="U915" s="311">
        <f t="shared" ca="1" si="408"/>
        <v>0</v>
      </c>
      <c r="V915" s="306">
        <f t="shared" ca="1" si="409"/>
        <v>1.2257248751769061</v>
      </c>
      <c r="W915" s="304">
        <f t="shared" ca="1" si="410"/>
        <v>59.534730105231439</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2.1302123517541771</v>
      </c>
      <c r="AH915" s="304">
        <f t="shared" ca="1" si="434"/>
        <v>-7.6248014965208482</v>
      </c>
    </row>
    <row r="916" spans="1:34" x14ac:dyDescent="0.2">
      <c r="A916" s="347">
        <f t="shared" ca="1" si="412"/>
        <v>1E-4</v>
      </c>
      <c r="B916" s="304">
        <f t="shared" ca="1" si="413"/>
        <v>35.120100000000853</v>
      </c>
      <c r="D916" s="306">
        <f t="shared" ca="1" si="414"/>
        <v>-0.80616669107168371</v>
      </c>
      <c r="E916" s="307">
        <f t="shared" ca="1" si="415"/>
        <v>-2.2279000250960372</v>
      </c>
      <c r="F916" s="304">
        <f t="shared" ca="1" si="416"/>
        <v>2.369270616796737</v>
      </c>
      <c r="G916" s="306">
        <f t="shared" ca="1" si="417"/>
        <v>12.909204945589972</v>
      </c>
      <c r="H916" s="307">
        <f t="shared" ca="1" si="418"/>
        <v>-121.41369077578076</v>
      </c>
      <c r="I916" s="304">
        <f t="shared" ca="1" si="419"/>
        <v>122.09804208145255</v>
      </c>
      <c r="J916" s="306">
        <f t="shared" ca="1" si="420"/>
        <v>874.13727041639572</v>
      </c>
      <c r="K916" s="307">
        <f t="shared" ca="1" si="421"/>
        <v>-5.9277395080885684</v>
      </c>
      <c r="L916" s="304">
        <f t="shared" ca="1" si="406"/>
        <v>874.15736891403174</v>
      </c>
      <c r="M916" s="306">
        <f t="shared" ca="1" si="422"/>
        <v>-1.4648701601148302</v>
      </c>
      <c r="N916" s="304">
        <f t="shared" ca="1" si="423"/>
        <v>-83.930877709232902</v>
      </c>
      <c r="P916" s="310">
        <f t="shared" ca="1" si="424"/>
        <v>23</v>
      </c>
      <c r="Q916" s="304">
        <f t="shared" ca="1" si="425"/>
        <v>0</v>
      </c>
      <c r="R916" s="306">
        <f t="shared" ca="1" si="426"/>
        <v>0</v>
      </c>
      <c r="S916" s="307">
        <f t="shared" ca="1" si="427"/>
        <v>7.8079999999999892</v>
      </c>
      <c r="T916" s="304">
        <f t="shared" ca="1" si="407"/>
        <v>76.5964799999999</v>
      </c>
      <c r="U916" s="311">
        <f t="shared" ca="1" si="408"/>
        <v>0</v>
      </c>
      <c r="V916" s="306">
        <f t="shared" ca="1" si="409"/>
        <v>1.2257263633743847</v>
      </c>
      <c r="W916" s="304">
        <f t="shared" ca="1" si="410"/>
        <v>59.535010123304083</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2.1301773695833264</v>
      </c>
      <c r="AH916" s="304">
        <f t="shared" ca="1" si="434"/>
        <v>-7.6248373597888728</v>
      </c>
    </row>
    <row r="917" spans="1:34" x14ac:dyDescent="0.2">
      <c r="A917" s="347">
        <f t="shared" ca="1" si="412"/>
        <v>1E-4</v>
      </c>
      <c r="B917" s="304">
        <f t="shared" ca="1" si="413"/>
        <v>35.120200000000857</v>
      </c>
      <c r="D917" s="306">
        <f t="shared" ca="1" si="414"/>
        <v>-0.80616404193505442</v>
      </c>
      <c r="E917" s="307">
        <f t="shared" ca="1" si="415"/>
        <v>-2.2278636783132262</v>
      </c>
      <c r="F917" s="304">
        <f t="shared" ca="1" si="416"/>
        <v>2.369235537395217</v>
      </c>
      <c r="G917" s="306">
        <f t="shared" ca="1" si="417"/>
        <v>12.909124329185778</v>
      </c>
      <c r="H917" s="307">
        <f t="shared" ca="1" si="418"/>
        <v>-121.41391356214859</v>
      </c>
      <c r="I917" s="304">
        <f t="shared" ca="1" si="419"/>
        <v>122.09825509573537</v>
      </c>
      <c r="J917" s="306">
        <f t="shared" ca="1" si="420"/>
        <v>874.13727041639572</v>
      </c>
      <c r="K917" s="307">
        <f t="shared" ca="1" si="421"/>
        <v>-5.9398808883054652</v>
      </c>
      <c r="L917" s="304">
        <f t="shared" ca="1" si="406"/>
        <v>874.1574513301332</v>
      </c>
      <c r="M917" s="306">
        <f t="shared" ca="1" si="422"/>
        <v>-1.4648710095893287</v>
      </c>
      <c r="N917" s="304">
        <f t="shared" ca="1" si="423"/>
        <v>-83.930926380536476</v>
      </c>
      <c r="P917" s="310">
        <f t="shared" ca="1" si="424"/>
        <v>23</v>
      </c>
      <c r="Q917" s="304">
        <f t="shared" ca="1" si="425"/>
        <v>0</v>
      </c>
      <c r="R917" s="306">
        <f t="shared" ca="1" si="426"/>
        <v>0</v>
      </c>
      <c r="S917" s="307">
        <f t="shared" ca="1" si="427"/>
        <v>7.8079999999999892</v>
      </c>
      <c r="T917" s="304">
        <f t="shared" ca="1" si="407"/>
        <v>76.5964799999999</v>
      </c>
      <c r="U917" s="311">
        <f t="shared" ca="1" si="408"/>
        <v>0</v>
      </c>
      <c r="V917" s="306">
        <f t="shared" ca="1" si="409"/>
        <v>1.225727851576401</v>
      </c>
      <c r="W917" s="304">
        <f t="shared" ca="1" si="410"/>
        <v>59.535290139052528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2.1301423876945149</v>
      </c>
      <c r="AH917" s="304">
        <f t="shared" ca="1" si="434"/>
        <v>-7.6248732227592422</v>
      </c>
    </row>
    <row r="918" spans="1:34" x14ac:dyDescent="0.2">
      <c r="A918" s="347">
        <f t="shared" ca="1" si="412"/>
        <v>1E-4</v>
      </c>
      <c r="B918" s="304">
        <f t="shared" ca="1" si="413"/>
        <v>35.12030000000086</v>
      </c>
      <c r="D918" s="306">
        <f t="shared" ca="1" si="414"/>
        <v>-0.80616139276847998</v>
      </c>
      <c r="E918" s="307">
        <f t="shared" ca="1" si="415"/>
        <v>-2.2278273318321107</v>
      </c>
      <c r="F918" s="304">
        <f t="shared" ca="1" si="416"/>
        <v>2.3692004583083714</v>
      </c>
      <c r="G918" s="306">
        <f t="shared" ca="1" si="417"/>
        <v>12.909043713046501</v>
      </c>
      <c r="H918" s="307">
        <f t="shared" ca="1" si="418"/>
        <v>-121.41413634488178</v>
      </c>
      <c r="I918" s="304">
        <f t="shared" ca="1" si="419"/>
        <v>122.09846810652003</v>
      </c>
      <c r="J918" s="306">
        <f t="shared" ca="1" si="420"/>
        <v>874.13727041639572</v>
      </c>
      <c r="K918" s="307">
        <f t="shared" ca="1" si="421"/>
        <v>-5.9520222908008167</v>
      </c>
      <c r="L918" s="304">
        <f t="shared" ca="1" si="406"/>
        <v>874.157533915013</v>
      </c>
      <c r="M918" s="306">
        <f t="shared" ca="1" si="422"/>
        <v>-1.4648718590555585</v>
      </c>
      <c r="N918" s="304">
        <f t="shared" ca="1" si="423"/>
        <v>-83.930975051366289</v>
      </c>
      <c r="P918" s="310">
        <f t="shared" ca="1" si="424"/>
        <v>23</v>
      </c>
      <c r="Q918" s="304">
        <f t="shared" ca="1" si="425"/>
        <v>0</v>
      </c>
      <c r="R918" s="306">
        <f t="shared" ca="1" si="426"/>
        <v>0</v>
      </c>
      <c r="S918" s="307">
        <f t="shared" ca="1" si="427"/>
        <v>7.8079999999999892</v>
      </c>
      <c r="T918" s="304">
        <f t="shared" ca="1" si="407"/>
        <v>76.5964799999999</v>
      </c>
      <c r="U918" s="311">
        <f t="shared" ca="1" si="408"/>
        <v>0</v>
      </c>
      <c r="V918" s="306">
        <f t="shared" ca="1" si="409"/>
        <v>1.2257293397829554</v>
      </c>
      <c r="W918" s="304">
        <f t="shared" ca="1" si="410"/>
        <v>59.535570152476808</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2.1301074060877578</v>
      </c>
      <c r="AH918" s="304">
        <f t="shared" ca="1" si="434"/>
        <v>-7.624909085431943</v>
      </c>
    </row>
    <row r="919" spans="1:34" x14ac:dyDescent="0.2">
      <c r="A919" s="347">
        <f t="shared" ca="1" si="412"/>
        <v>1E-4</v>
      </c>
      <c r="B919" s="304">
        <f t="shared" ca="1" si="413"/>
        <v>35.120400000000863</v>
      </c>
      <c r="D919" s="306">
        <f t="shared" ca="1" si="414"/>
        <v>-0.8061587435719606</v>
      </c>
      <c r="E919" s="307">
        <f t="shared" ca="1" si="415"/>
        <v>-2.2277909856526881</v>
      </c>
      <c r="F919" s="304">
        <f t="shared" ca="1" si="416"/>
        <v>2.3691653795361982</v>
      </c>
      <c r="G919" s="306">
        <f t="shared" ca="1" si="417"/>
        <v>12.908963097172144</v>
      </c>
      <c r="H919" s="307">
        <f t="shared" ca="1" si="418"/>
        <v>-121.41435912398035</v>
      </c>
      <c r="I919" s="304">
        <f t="shared" ca="1" si="419"/>
        <v>122.09868111380656</v>
      </c>
      <c r="J919" s="306">
        <f t="shared" ca="1" si="420"/>
        <v>874.13727041639572</v>
      </c>
      <c r="K919" s="307">
        <f t="shared" ca="1" si="421"/>
        <v>-5.9641637155742595</v>
      </c>
      <c r="L919" s="304">
        <f t="shared" ca="1" si="406"/>
        <v>874.15761666867218</v>
      </c>
      <c r="M919" s="306">
        <f t="shared" ca="1" si="422"/>
        <v>-1.4648727085135194</v>
      </c>
      <c r="N919" s="304">
        <f t="shared" ca="1" si="423"/>
        <v>-83.931023721722312</v>
      </c>
      <c r="P919" s="310">
        <f t="shared" ca="1" si="424"/>
        <v>23</v>
      </c>
      <c r="Q919" s="304">
        <f t="shared" ca="1" si="425"/>
        <v>0</v>
      </c>
      <c r="R919" s="306">
        <f t="shared" ca="1" si="426"/>
        <v>0</v>
      </c>
      <c r="S919" s="307">
        <f t="shared" ca="1" si="427"/>
        <v>7.8079999999999892</v>
      </c>
      <c r="T919" s="304">
        <f t="shared" ca="1" si="407"/>
        <v>76.5964799999999</v>
      </c>
      <c r="U919" s="311">
        <f t="shared" ca="1" si="408"/>
        <v>0</v>
      </c>
      <c r="V919" s="306">
        <f t="shared" ca="1" si="409"/>
        <v>1.225730827994048</v>
      </c>
      <c r="W919" s="304">
        <f t="shared" ca="1" si="410"/>
        <v>59.535850163576946</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2.1300724247630498</v>
      </c>
      <c r="AH919" s="304">
        <f t="shared" ca="1" si="434"/>
        <v>-7.6249449478069788</v>
      </c>
    </row>
    <row r="920" spans="1:34" x14ac:dyDescent="0.2">
      <c r="A920" s="347">
        <f t="shared" ca="1" si="412"/>
        <v>1E-4</v>
      </c>
      <c r="B920" s="304">
        <f t="shared" ca="1" si="413"/>
        <v>35.120500000000867</v>
      </c>
      <c r="D920" s="306">
        <f t="shared" ca="1" si="414"/>
        <v>-0.80615609434549973</v>
      </c>
      <c r="E920" s="307">
        <f t="shared" ca="1" si="415"/>
        <v>-2.227754639774953</v>
      </c>
      <c r="F920" s="304">
        <f t="shared" ca="1" si="416"/>
        <v>2.3691303010786933</v>
      </c>
      <c r="G920" s="306">
        <f t="shared" ca="1" si="417"/>
        <v>12.90888248156271</v>
      </c>
      <c r="H920" s="307">
        <f t="shared" ca="1" si="418"/>
        <v>-121.41458189944433</v>
      </c>
      <c r="I920" s="304">
        <f t="shared" ca="1" si="419"/>
        <v>122.09889411759498</v>
      </c>
      <c r="J920" s="306">
        <f t="shared" ca="1" si="420"/>
        <v>874.13727041639572</v>
      </c>
      <c r="K920" s="307">
        <f t="shared" ca="1" si="421"/>
        <v>-5.9763051626254304</v>
      </c>
      <c r="L920" s="304">
        <f t="shared" ca="1" si="406"/>
        <v>874.1576995911114</v>
      </c>
      <c r="M920" s="306">
        <f t="shared" ca="1" si="422"/>
        <v>-1.4648735579632117</v>
      </c>
      <c r="N920" s="304">
        <f t="shared" ca="1" si="423"/>
        <v>-83.931072391604602</v>
      </c>
      <c r="P920" s="310">
        <f t="shared" ca="1" si="424"/>
        <v>23</v>
      </c>
      <c r="Q920" s="304">
        <f t="shared" ca="1" si="425"/>
        <v>0</v>
      </c>
      <c r="R920" s="306">
        <f t="shared" ca="1" si="426"/>
        <v>0</v>
      </c>
      <c r="S920" s="307">
        <f t="shared" ca="1" si="427"/>
        <v>7.8079999999999892</v>
      </c>
      <c r="T920" s="304">
        <f t="shared" ca="1" si="407"/>
        <v>76.5964799999999</v>
      </c>
      <c r="U920" s="311">
        <f t="shared" ca="1" si="408"/>
        <v>0</v>
      </c>
      <c r="V920" s="306">
        <f t="shared" ca="1" si="409"/>
        <v>1.2257323162096789</v>
      </c>
      <c r="W920" s="304">
        <f t="shared" ca="1" si="410"/>
        <v>59.536130172352927</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2.1300374437203873</v>
      </c>
      <c r="AH920" s="304">
        <f t="shared" ca="1" si="434"/>
        <v>-7.6249808098843532</v>
      </c>
    </row>
    <row r="921" spans="1:34" x14ac:dyDescent="0.2">
      <c r="A921" s="347">
        <f t="shared" ca="1" si="412"/>
        <v>1E-4</v>
      </c>
      <c r="B921" s="304">
        <f t="shared" ca="1" si="413"/>
        <v>35.12060000000087</v>
      </c>
      <c r="D921" s="306">
        <f t="shared" ca="1" si="414"/>
        <v>-0.8061534450890957</v>
      </c>
      <c r="E921" s="307">
        <f t="shared" ca="1" si="415"/>
        <v>-2.22771829419891</v>
      </c>
      <c r="F921" s="304">
        <f t="shared" ca="1" si="416"/>
        <v>2.3690952229358615</v>
      </c>
      <c r="G921" s="306">
        <f t="shared" ca="1" si="417"/>
        <v>12.908801866218202</v>
      </c>
      <c r="H921" s="307">
        <f t="shared" ca="1" si="418"/>
        <v>-121.41480467127374</v>
      </c>
      <c r="I921" s="304">
        <f t="shared" ca="1" si="419"/>
        <v>122.09910711788532</v>
      </c>
      <c r="J921" s="306">
        <f t="shared" ca="1" si="420"/>
        <v>874.13727041639572</v>
      </c>
      <c r="K921" s="307">
        <f t="shared" ca="1" si="421"/>
        <v>-5.9884466319539662</v>
      </c>
      <c r="L921" s="304">
        <f t="shared" ca="1" si="406"/>
        <v>874.15778268233169</v>
      </c>
      <c r="M921" s="306">
        <f t="shared" ca="1" si="422"/>
        <v>-1.4648744074046358</v>
      </c>
      <c r="N921" s="304">
        <f t="shared" ca="1" si="423"/>
        <v>-83.931121061013144</v>
      </c>
      <c r="P921" s="310">
        <f t="shared" ca="1" si="424"/>
        <v>23</v>
      </c>
      <c r="Q921" s="304">
        <f t="shared" ca="1" si="425"/>
        <v>0</v>
      </c>
      <c r="R921" s="306">
        <f t="shared" ca="1" si="426"/>
        <v>0</v>
      </c>
      <c r="S921" s="307">
        <f t="shared" ca="1" si="427"/>
        <v>7.8079999999999892</v>
      </c>
      <c r="T921" s="304">
        <f t="shared" ca="1" si="407"/>
        <v>76.5964799999999</v>
      </c>
      <c r="U921" s="311">
        <f t="shared" ca="1" si="408"/>
        <v>0</v>
      </c>
      <c r="V921" s="306">
        <f t="shared" ca="1" si="409"/>
        <v>1.2257338044298476</v>
      </c>
      <c r="W921" s="304">
        <f t="shared" ca="1" si="410"/>
        <v>59.536410178804722</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2.1300024629597729</v>
      </c>
      <c r="AH921" s="304">
        <f t="shared" ca="1" si="434"/>
        <v>-7.6250166716640635</v>
      </c>
    </row>
    <row r="922" spans="1:34" x14ac:dyDescent="0.2">
      <c r="A922" s="347">
        <f t="shared" ca="1" si="412"/>
        <v>1E-4</v>
      </c>
      <c r="B922" s="304">
        <f t="shared" ca="1" si="413"/>
        <v>35.120700000000873</v>
      </c>
      <c r="D922" s="306">
        <f t="shared" ca="1" si="414"/>
        <v>-0.80615079580274795</v>
      </c>
      <c r="E922" s="307">
        <f t="shared" ca="1" si="415"/>
        <v>-2.2276819489245598</v>
      </c>
      <c r="F922" s="304">
        <f t="shared" ca="1" si="416"/>
        <v>2.3690601451077025</v>
      </c>
      <c r="G922" s="306">
        <f t="shared" ca="1" si="417"/>
        <v>12.908721251138621</v>
      </c>
      <c r="H922" s="307">
        <f t="shared" ca="1" si="418"/>
        <v>-121.41502743946863</v>
      </c>
      <c r="I922" s="304">
        <f t="shared" ca="1" si="419"/>
        <v>122.09932011467762</v>
      </c>
      <c r="J922" s="306">
        <f t="shared" ca="1" si="420"/>
        <v>874.13727041639572</v>
      </c>
      <c r="K922" s="307">
        <f t="shared" ca="1" si="421"/>
        <v>-6.0005881235595036</v>
      </c>
      <c r="L922" s="304">
        <f t="shared" ca="1" si="406"/>
        <v>874.15786594233396</v>
      </c>
      <c r="M922" s="306">
        <f t="shared" ca="1" si="422"/>
        <v>-1.4648752568377914</v>
      </c>
      <c r="N922" s="304">
        <f t="shared" ca="1" si="423"/>
        <v>-83.931169729947939</v>
      </c>
      <c r="P922" s="310">
        <f t="shared" ca="1" si="424"/>
        <v>23</v>
      </c>
      <c r="Q922" s="304">
        <f t="shared" ca="1" si="425"/>
        <v>0</v>
      </c>
      <c r="R922" s="306">
        <f t="shared" ca="1" si="426"/>
        <v>0</v>
      </c>
      <c r="S922" s="307">
        <f t="shared" ca="1" si="427"/>
        <v>7.8079999999999892</v>
      </c>
      <c r="T922" s="304">
        <f t="shared" ca="1" si="407"/>
        <v>76.5964799999999</v>
      </c>
      <c r="U922" s="311">
        <f t="shared" ca="1" si="408"/>
        <v>0</v>
      </c>
      <c r="V922" s="306">
        <f t="shared" ca="1" si="409"/>
        <v>1.2257352926545546</v>
      </c>
      <c r="W922" s="304">
        <f t="shared" ca="1" si="410"/>
        <v>59.536690182932368</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2.1299674824812129</v>
      </c>
      <c r="AH922" s="304">
        <f t="shared" ca="1" si="434"/>
        <v>-7.625052533146107</v>
      </c>
    </row>
    <row r="923" spans="1:34" x14ac:dyDescent="0.2">
      <c r="A923" s="347">
        <f t="shared" ca="1" si="412"/>
        <v>1E-4</v>
      </c>
      <c r="B923" s="304">
        <f t="shared" ca="1" si="413"/>
        <v>35.120800000000877</v>
      </c>
      <c r="D923" s="306">
        <f t="shared" ca="1" si="414"/>
        <v>-0.80614814648646049</v>
      </c>
      <c r="E923" s="307">
        <f t="shared" ca="1" si="415"/>
        <v>-2.2276456039519008</v>
      </c>
      <c r="F923" s="304">
        <f t="shared" ca="1" si="416"/>
        <v>2.369025067594217</v>
      </c>
      <c r="G923" s="306">
        <f t="shared" ca="1" si="417"/>
        <v>12.908640636323971</v>
      </c>
      <c r="H923" s="307">
        <f t="shared" ca="1" si="418"/>
        <v>-121.41525020402902</v>
      </c>
      <c r="I923" s="304">
        <f t="shared" ca="1" si="419"/>
        <v>122.09953310797189</v>
      </c>
      <c r="J923" s="306">
        <f t="shared" ca="1" si="420"/>
        <v>874.13727041639572</v>
      </c>
      <c r="K923" s="307">
        <f t="shared" ca="1" si="421"/>
        <v>-6.0127296374416783</v>
      </c>
      <c r="L923" s="304">
        <f t="shared" ca="1" si="406"/>
        <v>874.157949371119</v>
      </c>
      <c r="M923" s="306">
        <f t="shared" ca="1" si="422"/>
        <v>-1.4648761062626787</v>
      </c>
      <c r="N923" s="304">
        <f t="shared" ca="1" si="423"/>
        <v>-83.931218398408987</v>
      </c>
      <c r="P923" s="310">
        <f t="shared" ca="1" si="424"/>
        <v>23</v>
      </c>
      <c r="Q923" s="304">
        <f t="shared" ca="1" si="425"/>
        <v>0</v>
      </c>
      <c r="R923" s="306">
        <f t="shared" ca="1" si="426"/>
        <v>0</v>
      </c>
      <c r="S923" s="307">
        <f t="shared" ca="1" si="427"/>
        <v>7.8079999999999892</v>
      </c>
      <c r="T923" s="304">
        <f t="shared" ca="1" si="407"/>
        <v>76.5964799999999</v>
      </c>
      <c r="U923" s="311">
        <f t="shared" ca="1" si="408"/>
        <v>0</v>
      </c>
      <c r="V923" s="306">
        <f t="shared" ca="1" si="409"/>
        <v>1.2257367808837993</v>
      </c>
      <c r="W923" s="304">
        <f t="shared" ca="1" si="410"/>
        <v>59.536970184735836</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2.1299325022846993</v>
      </c>
      <c r="AH923" s="304">
        <f t="shared" ca="1" si="434"/>
        <v>-7.6250883943304881</v>
      </c>
    </row>
    <row r="924" spans="1:34" x14ac:dyDescent="0.2">
      <c r="A924" s="347">
        <f t="shared" ca="1" si="412"/>
        <v>1E-4</v>
      </c>
      <c r="B924" s="304">
        <f t="shared" ca="1" si="413"/>
        <v>35.12090000000088</v>
      </c>
      <c r="D924" s="306">
        <f t="shared" ca="1" si="414"/>
        <v>-0.80614549714023265</v>
      </c>
      <c r="E924" s="307">
        <f t="shared" ca="1" si="415"/>
        <v>-2.2276092592809338</v>
      </c>
      <c r="F924" s="304">
        <f t="shared" ca="1" si="416"/>
        <v>2.3689899903954053</v>
      </c>
      <c r="G924" s="306">
        <f t="shared" ca="1" si="417"/>
        <v>12.908560021774257</v>
      </c>
      <c r="H924" s="307">
        <f t="shared" ca="1" si="418"/>
        <v>-121.41547296495494</v>
      </c>
      <c r="I924" s="304">
        <f t="shared" ca="1" si="419"/>
        <v>122.09974609776818</v>
      </c>
      <c r="J924" s="306">
        <f t="shared" ca="1" si="420"/>
        <v>874.13727041639572</v>
      </c>
      <c r="K924" s="307">
        <f t="shared" ca="1" si="421"/>
        <v>-6.0248711736001272</v>
      </c>
      <c r="L924" s="304">
        <f t="shared" ca="1" si="406"/>
        <v>874.15803296868773</v>
      </c>
      <c r="M924" s="306">
        <f t="shared" ca="1" si="422"/>
        <v>-1.464876955679298</v>
      </c>
      <c r="N924" s="304">
        <f t="shared" ca="1" si="423"/>
        <v>-83.93126706639633</v>
      </c>
      <c r="P924" s="310">
        <f t="shared" ca="1" si="424"/>
        <v>23</v>
      </c>
      <c r="Q924" s="304">
        <f t="shared" ca="1" si="425"/>
        <v>0</v>
      </c>
      <c r="R924" s="306">
        <f t="shared" ca="1" si="426"/>
        <v>0</v>
      </c>
      <c r="S924" s="307">
        <f t="shared" ca="1" si="427"/>
        <v>7.8079999999999892</v>
      </c>
      <c r="T924" s="304">
        <f t="shared" ca="1" si="407"/>
        <v>76.5964799999999</v>
      </c>
      <c r="U924" s="311">
        <f t="shared" ca="1" si="408"/>
        <v>0</v>
      </c>
      <c r="V924" s="306">
        <f t="shared" ca="1" si="409"/>
        <v>1.2257382691175822</v>
      </c>
      <c r="W924" s="304">
        <f t="shared" ca="1" si="410"/>
        <v>59.537250184215168</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2.1298975223702401</v>
      </c>
      <c r="AH924" s="304">
        <f t="shared" ca="1" si="434"/>
        <v>-7.6251242552172025</v>
      </c>
    </row>
    <row r="925" spans="1:34" x14ac:dyDescent="0.2">
      <c r="A925" s="347">
        <f t="shared" ca="1" si="412"/>
        <v>1E-4</v>
      </c>
      <c r="B925" s="304">
        <f t="shared" ca="1" si="413"/>
        <v>35.121000000000883</v>
      </c>
      <c r="D925" s="306">
        <f t="shared" ca="1" si="414"/>
        <v>-0.8061428477640652</v>
      </c>
      <c r="E925" s="307">
        <f t="shared" ca="1" si="415"/>
        <v>-2.2275729149116561</v>
      </c>
      <c r="F925" s="304">
        <f t="shared" ca="1" si="416"/>
        <v>2.3689549135112657</v>
      </c>
      <c r="G925" s="306">
        <f t="shared" ca="1" si="417"/>
        <v>12.90847940748948</v>
      </c>
      <c r="H925" s="307">
        <f t="shared" ca="1" si="418"/>
        <v>-121.41569572224644</v>
      </c>
      <c r="I925" s="304">
        <f t="shared" ca="1" si="419"/>
        <v>122.09995908406648</v>
      </c>
      <c r="J925" s="306">
        <f t="shared" ca="1" si="420"/>
        <v>874.13727041639572</v>
      </c>
      <c r="K925" s="307">
        <f t="shared" ca="1" si="421"/>
        <v>-6.0370127320344871</v>
      </c>
      <c r="L925" s="304">
        <f t="shared" ca="1" si="406"/>
        <v>874.15811673504106</v>
      </c>
      <c r="M925" s="306">
        <f t="shared" ca="1" si="422"/>
        <v>-1.4648778050876492</v>
      </c>
      <c r="N925" s="304">
        <f t="shared" ca="1" si="423"/>
        <v>-83.931315733909926</v>
      </c>
      <c r="P925" s="310">
        <f t="shared" ca="1" si="424"/>
        <v>23</v>
      </c>
      <c r="Q925" s="304">
        <f t="shared" ca="1" si="425"/>
        <v>0</v>
      </c>
      <c r="R925" s="306">
        <f t="shared" ca="1" si="426"/>
        <v>0</v>
      </c>
      <c r="S925" s="307">
        <f t="shared" ca="1" si="427"/>
        <v>7.8079999999999892</v>
      </c>
      <c r="T925" s="304">
        <f t="shared" ca="1" si="407"/>
        <v>76.5964799999999</v>
      </c>
      <c r="U925" s="311">
        <f t="shared" ca="1" si="408"/>
        <v>0</v>
      </c>
      <c r="V925" s="306">
        <f t="shared" ca="1" si="409"/>
        <v>1.2257397573559032</v>
      </c>
      <c r="W925" s="304">
        <f t="shared" ca="1" si="410"/>
        <v>59.537530181370322</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2.1298625427378273</v>
      </c>
      <c r="AH925" s="304">
        <f t="shared" ca="1" si="434"/>
        <v>-7.6251601158062563</v>
      </c>
    </row>
    <row r="926" spans="1:34" x14ac:dyDescent="0.2">
      <c r="A926" s="347">
        <f t="shared" ca="1" si="412"/>
        <v>1E-4</v>
      </c>
      <c r="B926" s="304">
        <f t="shared" ca="1" si="413"/>
        <v>35.121100000000887</v>
      </c>
      <c r="D926" s="306">
        <f t="shared" ca="1" si="414"/>
        <v>-0.80614019835795914</v>
      </c>
      <c r="E926" s="307">
        <f t="shared" ca="1" si="415"/>
        <v>-2.2275365708440713</v>
      </c>
      <c r="F926" s="304">
        <f t="shared" ca="1" si="416"/>
        <v>2.3689198369418021</v>
      </c>
      <c r="G926" s="306">
        <f t="shared" ca="1" si="417"/>
        <v>12.908398793469644</v>
      </c>
      <c r="H926" s="307">
        <f t="shared" ca="1" si="418"/>
        <v>-121.41591847590352</v>
      </c>
      <c r="I926" s="304">
        <f t="shared" ca="1" si="419"/>
        <v>122.10017206686689</v>
      </c>
      <c r="J926" s="306">
        <f t="shared" ca="1" si="420"/>
        <v>874.13727041639572</v>
      </c>
      <c r="K926" s="307">
        <f t="shared" ca="1" si="421"/>
        <v>-6.0491543127443945</v>
      </c>
      <c r="L926" s="304">
        <f t="shared" ca="1" si="406"/>
        <v>874.15820067017978</v>
      </c>
      <c r="M926" s="306">
        <f t="shared" ca="1" si="422"/>
        <v>-1.4648786544877326</v>
      </c>
      <c r="N926" s="304">
        <f t="shared" ca="1" si="423"/>
        <v>-83.931364400949832</v>
      </c>
      <c r="P926" s="310">
        <f t="shared" ca="1" si="424"/>
        <v>23</v>
      </c>
      <c r="Q926" s="304">
        <f t="shared" ca="1" si="425"/>
        <v>0</v>
      </c>
      <c r="R926" s="306">
        <f t="shared" ca="1" si="426"/>
        <v>0</v>
      </c>
      <c r="S926" s="307">
        <f t="shared" ca="1" si="427"/>
        <v>7.8079999999999892</v>
      </c>
      <c r="T926" s="304">
        <f t="shared" ca="1" si="407"/>
        <v>76.5964799999999</v>
      </c>
      <c r="U926" s="311">
        <f t="shared" ca="1" si="408"/>
        <v>0</v>
      </c>
      <c r="V926" s="306">
        <f t="shared" ca="1" si="409"/>
        <v>1.2257412455987617</v>
      </c>
      <c r="W926" s="304">
        <f t="shared" ca="1" si="410"/>
        <v>59.53781017620134</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2.1298275633874679</v>
      </c>
      <c r="AH926" s="304">
        <f t="shared" ca="1" si="434"/>
        <v>-7.6251959760976442</v>
      </c>
    </row>
    <row r="927" spans="1:34" x14ac:dyDescent="0.2">
      <c r="A927" s="347">
        <f t="shared" ca="1" si="412"/>
        <v>1E-4</v>
      </c>
      <c r="B927" s="304">
        <f t="shared" ca="1" si="413"/>
        <v>35.12120000000089</v>
      </c>
      <c r="D927" s="306">
        <f t="shared" ca="1" si="414"/>
        <v>-0.80613754892191491</v>
      </c>
      <c r="E927" s="307">
        <f t="shared" ca="1" si="415"/>
        <v>-2.2275002270781741</v>
      </c>
      <c r="F927" s="304">
        <f t="shared" ca="1" si="416"/>
        <v>2.3688847606870094</v>
      </c>
      <c r="G927" s="306">
        <f t="shared" ca="1" si="417"/>
        <v>12.908318179714751</v>
      </c>
      <c r="H927" s="307">
        <f t="shared" ca="1" si="418"/>
        <v>-121.41614122592622</v>
      </c>
      <c r="I927" s="304">
        <f t="shared" ca="1" si="419"/>
        <v>122.10038504616935</v>
      </c>
      <c r="J927" s="306">
        <f t="shared" ca="1" si="420"/>
        <v>874.13727041639572</v>
      </c>
      <c r="K927" s="307">
        <f t="shared" ca="1" si="421"/>
        <v>-6.0612959157294863</v>
      </c>
      <c r="L927" s="304">
        <f t="shared" ca="1" si="406"/>
        <v>874.1582847741048</v>
      </c>
      <c r="M927" s="306">
        <f t="shared" ca="1" si="422"/>
        <v>-1.4648795038795481</v>
      </c>
      <c r="N927" s="304">
        <f t="shared" ca="1" si="423"/>
        <v>-83.931413067516004</v>
      </c>
      <c r="P927" s="310">
        <f t="shared" ca="1" si="424"/>
        <v>23</v>
      </c>
      <c r="Q927" s="304">
        <f t="shared" ca="1" si="425"/>
        <v>0</v>
      </c>
      <c r="R927" s="306">
        <f t="shared" ca="1" si="426"/>
        <v>0</v>
      </c>
      <c r="S927" s="307">
        <f t="shared" ca="1" si="427"/>
        <v>7.8079999999999892</v>
      </c>
      <c r="T927" s="304">
        <f t="shared" ca="1" si="407"/>
        <v>76.5964799999999</v>
      </c>
      <c r="U927" s="311">
        <f t="shared" ca="1" si="408"/>
        <v>0</v>
      </c>
      <c r="V927" s="306">
        <f t="shared" ca="1" si="409"/>
        <v>1.2257427338461584</v>
      </c>
      <c r="W927" s="304">
        <f t="shared" ca="1" si="410"/>
        <v>59.538090168708138</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2.1297925843191559</v>
      </c>
      <c r="AH927" s="304">
        <f t="shared" ca="1" si="434"/>
        <v>-7.6252318360913707</v>
      </c>
    </row>
    <row r="928" spans="1:34" x14ac:dyDescent="0.2">
      <c r="A928" s="347">
        <f t="shared" ca="1" si="412"/>
        <v>1E-4</v>
      </c>
      <c r="B928" s="304">
        <f t="shared" ca="1" si="413"/>
        <v>35.121300000000893</v>
      </c>
      <c r="D928" s="306">
        <f t="shared" ca="1" si="414"/>
        <v>-0.80613489945593308</v>
      </c>
      <c r="E928" s="307">
        <f t="shared" ca="1" si="415"/>
        <v>-2.227463883613976</v>
      </c>
      <c r="F928" s="304">
        <f t="shared" ca="1" si="416"/>
        <v>2.3688496847468992</v>
      </c>
      <c r="G928" s="306">
        <f t="shared" ca="1" si="417"/>
        <v>12.908237566224805</v>
      </c>
      <c r="H928" s="307">
        <f t="shared" ca="1" si="418"/>
        <v>-121.41636397231458</v>
      </c>
      <c r="I928" s="304">
        <f t="shared" ca="1" si="419"/>
        <v>122.10059802197395</v>
      </c>
      <c r="J928" s="306">
        <f t="shared" ca="1" si="420"/>
        <v>874.13727041639572</v>
      </c>
      <c r="K928" s="307">
        <f t="shared" ca="1" si="421"/>
        <v>-6.0734375409893984</v>
      </c>
      <c r="L928" s="304">
        <f t="shared" ca="1" si="406"/>
        <v>874.15836904681703</v>
      </c>
      <c r="M928" s="306">
        <f t="shared" ca="1" si="422"/>
        <v>-1.4648803532630961</v>
      </c>
      <c r="N928" s="304">
        <f t="shared" ca="1" si="423"/>
        <v>-83.931461733608501</v>
      </c>
      <c r="P928" s="310">
        <f t="shared" ca="1" si="424"/>
        <v>23</v>
      </c>
      <c r="Q928" s="304">
        <f t="shared" ca="1" si="425"/>
        <v>0</v>
      </c>
      <c r="R928" s="306">
        <f t="shared" ca="1" si="426"/>
        <v>0</v>
      </c>
      <c r="S928" s="307">
        <f t="shared" ca="1" si="427"/>
        <v>7.8079999999999892</v>
      </c>
      <c r="T928" s="304">
        <f t="shared" ca="1" si="407"/>
        <v>76.5964799999999</v>
      </c>
      <c r="U928" s="311">
        <f t="shared" ca="1" si="408"/>
        <v>0</v>
      </c>
      <c r="V928" s="306">
        <f t="shared" ca="1" si="409"/>
        <v>1.2257442220980925</v>
      </c>
      <c r="W928" s="304">
        <f t="shared" ca="1" si="410"/>
        <v>59.5383701588908</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2.1297576055329026</v>
      </c>
      <c r="AH928" s="304">
        <f t="shared" ca="1" si="434"/>
        <v>-7.6252676957874259</v>
      </c>
    </row>
    <row r="929" spans="1:34" x14ac:dyDescent="0.2">
      <c r="A929" s="347">
        <f t="shared" ca="1" si="412"/>
        <v>1E-4</v>
      </c>
      <c r="B929" s="304">
        <f t="shared" ca="1" si="413"/>
        <v>35.121400000000897</v>
      </c>
      <c r="D929" s="306">
        <f t="shared" ca="1" si="414"/>
        <v>-0.80613224996001498</v>
      </c>
      <c r="E929" s="307">
        <f t="shared" ca="1" si="415"/>
        <v>-2.2274275404514663</v>
      </c>
      <c r="F929" s="304">
        <f t="shared" ca="1" si="416"/>
        <v>2.3688146091214617</v>
      </c>
      <c r="G929" s="306">
        <f t="shared" ca="1" si="417"/>
        <v>12.908156952999809</v>
      </c>
      <c r="H929" s="307">
        <f t="shared" ca="1" si="418"/>
        <v>-121.41658671506863</v>
      </c>
      <c r="I929" s="304">
        <f t="shared" ca="1" si="419"/>
        <v>122.10081099428069</v>
      </c>
      <c r="J929" s="306">
        <f t="shared" ca="1" si="420"/>
        <v>874.13727041639572</v>
      </c>
      <c r="K929" s="307">
        <f t="shared" ca="1" si="421"/>
        <v>-6.0855791885237673</v>
      </c>
      <c r="L929" s="304">
        <f t="shared" ca="1" si="406"/>
        <v>874.15845348831738</v>
      </c>
      <c r="M929" s="306">
        <f t="shared" ca="1" si="422"/>
        <v>-1.4648812026383766</v>
      </c>
      <c r="N929" s="304">
        <f t="shared" ca="1" si="423"/>
        <v>-83.931510399227292</v>
      </c>
      <c r="P929" s="310">
        <f t="shared" ca="1" si="424"/>
        <v>23</v>
      </c>
      <c r="Q929" s="304">
        <f t="shared" ca="1" si="425"/>
        <v>0</v>
      </c>
      <c r="R929" s="306">
        <f t="shared" ca="1" si="426"/>
        <v>0</v>
      </c>
      <c r="S929" s="307">
        <f t="shared" ca="1" si="427"/>
        <v>7.8079999999999892</v>
      </c>
      <c r="T929" s="304">
        <f t="shared" ca="1" si="407"/>
        <v>76.5964799999999</v>
      </c>
      <c r="U929" s="311">
        <f t="shared" ca="1" si="408"/>
        <v>0</v>
      </c>
      <c r="V929" s="306">
        <f t="shared" ca="1" si="409"/>
        <v>1.2257457103545648</v>
      </c>
      <c r="W929" s="304">
        <f t="shared" ca="1" si="410"/>
        <v>59.538650146749298</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2.1297226270287002</v>
      </c>
      <c r="AH929" s="304">
        <f t="shared" ca="1" si="434"/>
        <v>-7.6253035551858197</v>
      </c>
    </row>
    <row r="930" spans="1:34" x14ac:dyDescent="0.2">
      <c r="A930" s="347">
        <f t="shared" ca="1" si="412"/>
        <v>1E-4</v>
      </c>
      <c r="B930" s="304">
        <f t="shared" ca="1" si="413"/>
        <v>35.1215000000009</v>
      </c>
      <c r="D930" s="306">
        <f t="shared" ca="1" si="414"/>
        <v>-0.80612960043415982</v>
      </c>
      <c r="E930" s="307">
        <f t="shared" ca="1" si="415"/>
        <v>-2.2273911975906477</v>
      </c>
      <c r="F930" s="304">
        <f t="shared" ca="1" si="416"/>
        <v>2.3687795338107001</v>
      </c>
      <c r="G930" s="306">
        <f t="shared" ca="1" si="417"/>
        <v>12.908076340039765</v>
      </c>
      <c r="H930" s="307">
        <f t="shared" ca="1" si="418"/>
        <v>-121.4168094541884</v>
      </c>
      <c r="I930" s="304">
        <f t="shared" ca="1" si="419"/>
        <v>122.10102396308963</v>
      </c>
      <c r="J930" s="306">
        <f t="shared" ca="1" si="420"/>
        <v>874.13727041639572</v>
      </c>
      <c r="K930" s="307">
        <f t="shared" ca="1" si="421"/>
        <v>-6.09772085833223</v>
      </c>
      <c r="L930" s="304">
        <f t="shared" ca="1" si="406"/>
        <v>874.15853809860664</v>
      </c>
      <c r="M930" s="306">
        <f t="shared" ca="1" si="422"/>
        <v>-1.4648820520053896</v>
      </c>
      <c r="N930" s="304">
        <f t="shared" ca="1" si="423"/>
        <v>-83.931559064372394</v>
      </c>
      <c r="P930" s="310">
        <f t="shared" ca="1" si="424"/>
        <v>23</v>
      </c>
      <c r="Q930" s="304">
        <f t="shared" ca="1" si="425"/>
        <v>0</v>
      </c>
      <c r="R930" s="306">
        <f t="shared" ca="1" si="426"/>
        <v>0</v>
      </c>
      <c r="S930" s="307">
        <f t="shared" ca="1" si="427"/>
        <v>7.8079999999999892</v>
      </c>
      <c r="T930" s="304">
        <f t="shared" ca="1" si="407"/>
        <v>76.5964799999999</v>
      </c>
      <c r="U930" s="311">
        <f t="shared" ca="1" si="408"/>
        <v>0</v>
      </c>
      <c r="V930" s="306">
        <f t="shared" ca="1" si="409"/>
        <v>1.225747198615575</v>
      </c>
      <c r="W930" s="304">
        <f t="shared" ca="1" si="410"/>
        <v>59.538930132283653</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2.1296876488065477</v>
      </c>
      <c r="AH930" s="304">
        <f t="shared" ca="1" si="434"/>
        <v>-7.6253394142865494</v>
      </c>
    </row>
    <row r="931" spans="1:34" x14ac:dyDescent="0.2">
      <c r="A931" s="347">
        <f t="shared" ca="1" si="412"/>
        <v>1E-4</v>
      </c>
      <c r="B931" s="304">
        <f t="shared" ca="1" si="413"/>
        <v>35.121600000000903</v>
      </c>
      <c r="D931" s="306">
        <f t="shared" ca="1" si="414"/>
        <v>-0.8061269508783715</v>
      </c>
      <c r="E931" s="307">
        <f t="shared" ca="1" si="415"/>
        <v>-2.2273548550315185</v>
      </c>
      <c r="F931" s="304">
        <f t="shared" ca="1" si="416"/>
        <v>2.3687444588146138</v>
      </c>
      <c r="G931" s="306">
        <f t="shared" ca="1" si="417"/>
        <v>12.907995727344677</v>
      </c>
      <c r="H931" s="307">
        <f t="shared" ca="1" si="418"/>
        <v>-121.4170321896739</v>
      </c>
      <c r="I931" s="304">
        <f t="shared" ca="1" si="419"/>
        <v>122.10123692840077</v>
      </c>
      <c r="J931" s="306">
        <f t="shared" ca="1" si="420"/>
        <v>874.13727041639572</v>
      </c>
      <c r="K931" s="307">
        <f t="shared" ca="1" si="421"/>
        <v>-6.1098625504144231</v>
      </c>
      <c r="L931" s="304">
        <f t="shared" ca="1" si="406"/>
        <v>874.15862287768573</v>
      </c>
      <c r="M931" s="306">
        <f t="shared" ca="1" si="422"/>
        <v>-1.4648829013641353</v>
      </c>
      <c r="N931" s="304">
        <f t="shared" ca="1" si="423"/>
        <v>-83.931607729043819</v>
      </c>
      <c r="P931" s="310">
        <f t="shared" ca="1" si="424"/>
        <v>23</v>
      </c>
      <c r="Q931" s="304">
        <f t="shared" ca="1" si="425"/>
        <v>0</v>
      </c>
      <c r="R931" s="306">
        <f t="shared" ca="1" si="426"/>
        <v>0</v>
      </c>
      <c r="S931" s="307">
        <f t="shared" ca="1" si="427"/>
        <v>7.8079999999999892</v>
      </c>
      <c r="T931" s="304">
        <f t="shared" ca="1" si="407"/>
        <v>76.5964799999999</v>
      </c>
      <c r="U931" s="311">
        <f t="shared" ca="1" si="408"/>
        <v>0</v>
      </c>
      <c r="V931" s="306">
        <f t="shared" ca="1" si="409"/>
        <v>1.2257486868811225</v>
      </c>
      <c r="W931" s="304">
        <f t="shared" ca="1" si="410"/>
        <v>59.539210115493795</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2.1296526708664461</v>
      </c>
      <c r="AH931" s="304">
        <f t="shared" ca="1" si="434"/>
        <v>-7.6253752730896176</v>
      </c>
    </row>
    <row r="932" spans="1:34" x14ac:dyDescent="0.2">
      <c r="A932" s="347">
        <f t="shared" ca="1" si="412"/>
        <v>1E-4</v>
      </c>
      <c r="B932" s="304">
        <f t="shared" ca="1" si="413"/>
        <v>35.121700000000907</v>
      </c>
      <c r="D932" s="306">
        <f t="shared" ca="1" si="414"/>
        <v>-0.80612430129264712</v>
      </c>
      <c r="E932" s="307">
        <f t="shared" ca="1" si="415"/>
        <v>-2.2273185127740858</v>
      </c>
      <c r="F932" s="304">
        <f t="shared" ca="1" si="416"/>
        <v>2.3687093841332088</v>
      </c>
      <c r="G932" s="306">
        <f t="shared" ca="1" si="417"/>
        <v>12.907915114914548</v>
      </c>
      <c r="H932" s="307">
        <f t="shared" ca="1" si="418"/>
        <v>-121.41725492152518</v>
      </c>
      <c r="I932" s="304">
        <f t="shared" ca="1" si="419"/>
        <v>122.10144989021413</v>
      </c>
      <c r="J932" s="306">
        <f t="shared" ca="1" si="420"/>
        <v>874.13727041639572</v>
      </c>
      <c r="K932" s="307">
        <f t="shared" ca="1" si="421"/>
        <v>-6.1220042647699833</v>
      </c>
      <c r="L932" s="304">
        <f t="shared" ca="1" si="406"/>
        <v>874.15870782555544</v>
      </c>
      <c r="M932" s="306">
        <f t="shared" ca="1" si="422"/>
        <v>-1.464883750714614</v>
      </c>
      <c r="N932" s="304">
        <f t="shared" ca="1" si="423"/>
        <v>-83.931656393241568</v>
      </c>
      <c r="P932" s="310">
        <f t="shared" ca="1" si="424"/>
        <v>23</v>
      </c>
      <c r="Q932" s="304">
        <f t="shared" ca="1" si="425"/>
        <v>0</v>
      </c>
      <c r="R932" s="306">
        <f t="shared" ca="1" si="426"/>
        <v>0</v>
      </c>
      <c r="S932" s="307">
        <f t="shared" ca="1" si="427"/>
        <v>7.8079999999999892</v>
      </c>
      <c r="T932" s="304">
        <f t="shared" ca="1" si="407"/>
        <v>76.5964799999999</v>
      </c>
      <c r="U932" s="311">
        <f t="shared" ca="1" si="408"/>
        <v>0</v>
      </c>
      <c r="V932" s="306">
        <f t="shared" ca="1" si="409"/>
        <v>1.2257501751512081</v>
      </c>
      <c r="W932" s="304">
        <f t="shared" ca="1" si="410"/>
        <v>59.539490096379808</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2.129617693208405</v>
      </c>
      <c r="AH932" s="304">
        <f t="shared" ca="1" si="434"/>
        <v>-7.6254111315950146</v>
      </c>
    </row>
    <row r="933" spans="1:34" x14ac:dyDescent="0.2">
      <c r="A933" s="347">
        <f t="shared" ca="1" si="412"/>
        <v>1E-4</v>
      </c>
      <c r="B933" s="304">
        <f t="shared" ca="1" si="413"/>
        <v>35.12180000000091</v>
      </c>
      <c r="D933" s="306">
        <f t="shared" ca="1" si="414"/>
        <v>-0.80612165167698968</v>
      </c>
      <c r="E933" s="307">
        <f t="shared" ca="1" si="415"/>
        <v>-2.2272821708183415</v>
      </c>
      <c r="F933" s="304">
        <f t="shared" ca="1" si="416"/>
        <v>2.3686743097664782</v>
      </c>
      <c r="G933" s="306">
        <f t="shared" ca="1" si="417"/>
        <v>12.907834502749381</v>
      </c>
      <c r="H933" s="307">
        <f t="shared" ca="1" si="418"/>
        <v>-121.41747764974227</v>
      </c>
      <c r="I933" s="304">
        <f t="shared" ca="1" si="419"/>
        <v>122.10166284852976</v>
      </c>
      <c r="J933" s="306">
        <f t="shared" ca="1" si="420"/>
        <v>874.13727041639572</v>
      </c>
      <c r="K933" s="307">
        <f t="shared" ca="1" si="421"/>
        <v>-6.1341460013985465</v>
      </c>
      <c r="L933" s="304">
        <f t="shared" ca="1" si="406"/>
        <v>874.15879294221679</v>
      </c>
      <c r="M933" s="306">
        <f t="shared" ca="1" si="422"/>
        <v>-1.4648846000568256</v>
      </c>
      <c r="N933" s="304">
        <f t="shared" ca="1" si="423"/>
        <v>-83.931705056965669</v>
      </c>
      <c r="P933" s="310">
        <f t="shared" ca="1" si="424"/>
        <v>23</v>
      </c>
      <c r="Q933" s="304">
        <f t="shared" ca="1" si="425"/>
        <v>0</v>
      </c>
      <c r="R933" s="306">
        <f t="shared" ca="1" si="426"/>
        <v>0</v>
      </c>
      <c r="S933" s="307">
        <f t="shared" ca="1" si="427"/>
        <v>7.8079999999999892</v>
      </c>
      <c r="T933" s="304">
        <f t="shared" ca="1" si="407"/>
        <v>76.5964799999999</v>
      </c>
      <c r="U933" s="311">
        <f t="shared" ca="1" si="408"/>
        <v>0</v>
      </c>
      <c r="V933" s="306">
        <f t="shared" ca="1" si="409"/>
        <v>1.2257516634258312</v>
      </c>
      <c r="W933" s="304">
        <f t="shared" ca="1" si="410"/>
        <v>59.539770074941636</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2.1295827158324112</v>
      </c>
      <c r="AH933" s="304">
        <f t="shared" ca="1" si="434"/>
        <v>-7.6254469898027519</v>
      </c>
    </row>
    <row r="934" spans="1:34" x14ac:dyDescent="0.2">
      <c r="A934" s="347">
        <f t="shared" ca="1" si="412"/>
        <v>1E-4</v>
      </c>
      <c r="B934" s="304">
        <f t="shared" ca="1" si="413"/>
        <v>35.121900000000913</v>
      </c>
      <c r="D934" s="306">
        <f t="shared" ca="1" si="414"/>
        <v>-0.80611900203139841</v>
      </c>
      <c r="E934" s="307">
        <f t="shared" ca="1" si="415"/>
        <v>-2.2272458291642909</v>
      </c>
      <c r="F934" s="304">
        <f t="shared" ca="1" si="416"/>
        <v>2.3686392357144275</v>
      </c>
      <c r="G934" s="306">
        <f t="shared" ca="1" si="417"/>
        <v>12.907753890849177</v>
      </c>
      <c r="H934" s="307">
        <f t="shared" ca="1" si="418"/>
        <v>-121.41770037432518</v>
      </c>
      <c r="I934" s="304">
        <f t="shared" ca="1" si="419"/>
        <v>122.10187580334765</v>
      </c>
      <c r="J934" s="306">
        <f t="shared" ca="1" si="420"/>
        <v>874.13727041639572</v>
      </c>
      <c r="K934" s="307">
        <f t="shared" ca="1" si="421"/>
        <v>-6.1462877602997494</v>
      </c>
      <c r="L934" s="304">
        <f t="shared" ca="1" si="406"/>
        <v>874.15887822767058</v>
      </c>
      <c r="M934" s="306">
        <f t="shared" ca="1" si="422"/>
        <v>-1.4648854493907701</v>
      </c>
      <c r="N934" s="304">
        <f t="shared" ca="1" si="423"/>
        <v>-83.931753720216079</v>
      </c>
      <c r="P934" s="310">
        <f t="shared" ca="1" si="424"/>
        <v>23</v>
      </c>
      <c r="Q934" s="304">
        <f t="shared" ca="1" si="425"/>
        <v>0</v>
      </c>
      <c r="R934" s="306">
        <f t="shared" ca="1" si="426"/>
        <v>0</v>
      </c>
      <c r="S934" s="307">
        <f t="shared" ca="1" si="427"/>
        <v>7.8079999999999892</v>
      </c>
      <c r="T934" s="304">
        <f t="shared" ca="1" si="407"/>
        <v>76.5964799999999</v>
      </c>
      <c r="U934" s="311">
        <f t="shared" ca="1" si="408"/>
        <v>0</v>
      </c>
      <c r="V934" s="306">
        <f t="shared" ca="1" si="409"/>
        <v>1.2257531517049922</v>
      </c>
      <c r="W934" s="304">
        <f t="shared" ca="1" si="410"/>
        <v>59.540050051179271</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2.1295477387384754</v>
      </c>
      <c r="AH934" s="304">
        <f t="shared" ca="1" si="434"/>
        <v>-7.6254828477128225</v>
      </c>
    </row>
    <row r="935" spans="1:34" x14ac:dyDescent="0.2">
      <c r="A935" s="347">
        <f t="shared" ca="1" si="412"/>
        <v>1E-4</v>
      </c>
      <c r="B935" s="304">
        <f t="shared" ca="1" si="413"/>
        <v>35.122000000000916</v>
      </c>
      <c r="D935" s="306">
        <f t="shared" ca="1" si="414"/>
        <v>-0.80611635235587642</v>
      </c>
      <c r="E935" s="307">
        <f t="shared" ca="1" si="415"/>
        <v>-2.2272094878119351</v>
      </c>
      <c r="F935" s="304">
        <f t="shared" ca="1" si="416"/>
        <v>2.3686041619770588</v>
      </c>
      <c r="G935" s="306">
        <f t="shared" ca="1" si="417"/>
        <v>12.907673279213942</v>
      </c>
      <c r="H935" s="307">
        <f t="shared" ca="1" si="418"/>
        <v>-121.41792309527396</v>
      </c>
      <c r="I935" s="304">
        <f t="shared" ca="1" si="419"/>
        <v>122.10208875466789</v>
      </c>
      <c r="J935" s="306">
        <f t="shared" ca="1" si="420"/>
        <v>874.13727041639572</v>
      </c>
      <c r="K935" s="307">
        <f t="shared" ca="1" si="421"/>
        <v>-6.1584295414732297</v>
      </c>
      <c r="L935" s="304">
        <f t="shared" ca="1" si="406"/>
        <v>874.15896368191761</v>
      </c>
      <c r="M935" s="306">
        <f t="shared" ca="1" si="422"/>
        <v>-1.4648862987164479</v>
      </c>
      <c r="N935" s="304">
        <f t="shared" ca="1" si="423"/>
        <v>-83.931802382992856</v>
      </c>
      <c r="P935" s="310">
        <f t="shared" ca="1" si="424"/>
        <v>23</v>
      </c>
      <c r="Q935" s="304">
        <f t="shared" ca="1" si="425"/>
        <v>0</v>
      </c>
      <c r="R935" s="306">
        <f t="shared" ca="1" si="426"/>
        <v>0</v>
      </c>
      <c r="S935" s="307">
        <f t="shared" ca="1" si="427"/>
        <v>7.8079999999999892</v>
      </c>
      <c r="T935" s="304">
        <f t="shared" ca="1" si="407"/>
        <v>76.5964799999999</v>
      </c>
      <c r="U935" s="311">
        <f t="shared" ca="1" si="408"/>
        <v>0</v>
      </c>
      <c r="V935" s="306">
        <f t="shared" ca="1" si="409"/>
        <v>1.2257546399886903</v>
      </c>
      <c r="W935" s="304">
        <f t="shared" ca="1" si="410"/>
        <v>59.540330025092743</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2.1295127619265974</v>
      </c>
      <c r="AH935" s="304">
        <f t="shared" ca="1" si="434"/>
        <v>-7.6255187053252245</v>
      </c>
    </row>
    <row r="936" spans="1:34" x14ac:dyDescent="0.2">
      <c r="A936" s="347">
        <f t="shared" ca="1" si="412"/>
        <v>1E-4</v>
      </c>
      <c r="B936" s="304">
        <f t="shared" ca="1" si="413"/>
        <v>35.12210000000092</v>
      </c>
      <c r="D936" s="306">
        <f t="shared" ca="1" si="414"/>
        <v>-0.80611370265042237</v>
      </c>
      <c r="E936" s="307">
        <f t="shared" ca="1" si="415"/>
        <v>-2.2271731467612703</v>
      </c>
      <c r="F936" s="304">
        <f t="shared" ca="1" si="416"/>
        <v>2.3685690885543687</v>
      </c>
      <c r="G936" s="306">
        <f t="shared" ca="1" si="417"/>
        <v>12.907592667843677</v>
      </c>
      <c r="H936" s="307">
        <f t="shared" ca="1" si="418"/>
        <v>-121.41814581258863</v>
      </c>
      <c r="I936" s="304">
        <f t="shared" ca="1" si="419"/>
        <v>122.10230170249046</v>
      </c>
      <c r="J936" s="306">
        <f t="shared" ca="1" si="420"/>
        <v>874.13727041639572</v>
      </c>
      <c r="K936" s="307">
        <f t="shared" ca="1" si="421"/>
        <v>-6.1705713449186232</v>
      </c>
      <c r="L936" s="304">
        <f t="shared" ca="1" si="406"/>
        <v>874.1590493049589</v>
      </c>
      <c r="M936" s="306">
        <f t="shared" ca="1" si="422"/>
        <v>-1.464887148033859</v>
      </c>
      <c r="N936" s="304">
        <f t="shared" ca="1" si="423"/>
        <v>-83.931851045295971</v>
      </c>
      <c r="P936" s="310">
        <f t="shared" ca="1" si="424"/>
        <v>23</v>
      </c>
      <c r="Q936" s="304">
        <f t="shared" ca="1" si="425"/>
        <v>0</v>
      </c>
      <c r="R936" s="306">
        <f t="shared" ca="1" si="426"/>
        <v>0</v>
      </c>
      <c r="S936" s="307">
        <f t="shared" ca="1" si="427"/>
        <v>7.8079999999999892</v>
      </c>
      <c r="T936" s="304">
        <f t="shared" ca="1" si="407"/>
        <v>76.5964799999999</v>
      </c>
      <c r="U936" s="311">
        <f t="shared" ca="1" si="408"/>
        <v>0</v>
      </c>
      <c r="V936" s="306">
        <f t="shared" ca="1" si="409"/>
        <v>1.2257561282769267</v>
      </c>
      <c r="W936" s="304">
        <f t="shared" ca="1" si="410"/>
        <v>59.540609996682086</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2.129477785396773</v>
      </c>
      <c r="AH936" s="304">
        <f t="shared" ca="1" si="434"/>
        <v>-7.6255545626399623</v>
      </c>
    </row>
    <row r="937" spans="1:34" x14ac:dyDescent="0.2">
      <c r="A937" s="347">
        <f t="shared" ca="1" si="412"/>
        <v>1E-4</v>
      </c>
      <c r="B937" s="304">
        <f t="shared" ca="1" si="413"/>
        <v>35.122200000000923</v>
      </c>
      <c r="D937" s="306">
        <f t="shared" ca="1" si="414"/>
        <v>-0.80611105291503837</v>
      </c>
      <c r="E937" s="307">
        <f t="shared" ca="1" si="415"/>
        <v>-2.227136806012294</v>
      </c>
      <c r="F937" s="304">
        <f t="shared" ca="1" si="416"/>
        <v>2.3685340154463552</v>
      </c>
      <c r="G937" s="306">
        <f t="shared" ca="1" si="417"/>
        <v>12.907512056738385</v>
      </c>
      <c r="H937" s="307">
        <f t="shared" ca="1" si="418"/>
        <v>-121.41836852626923</v>
      </c>
      <c r="I937" s="304">
        <f t="shared" ca="1" si="419"/>
        <v>122.10251464681542</v>
      </c>
      <c r="J937" s="306">
        <f t="shared" ca="1" si="420"/>
        <v>874.13727041639572</v>
      </c>
      <c r="K937" s="307">
        <f t="shared" ca="1" si="421"/>
        <v>-6.1827131706355658</v>
      </c>
      <c r="L937" s="304">
        <f t="shared" ca="1" si="406"/>
        <v>874.15913509679535</v>
      </c>
      <c r="M937" s="306">
        <f t="shared" ca="1" si="422"/>
        <v>-1.4648879973430036</v>
      </c>
      <c r="N937" s="304">
        <f t="shared" ca="1" si="423"/>
        <v>-83.931899707125453</v>
      </c>
      <c r="P937" s="310">
        <f t="shared" ca="1" si="424"/>
        <v>23</v>
      </c>
      <c r="Q937" s="304">
        <f t="shared" ca="1" si="425"/>
        <v>0</v>
      </c>
      <c r="R937" s="306">
        <f t="shared" ca="1" si="426"/>
        <v>0</v>
      </c>
      <c r="S937" s="307">
        <f t="shared" ca="1" si="427"/>
        <v>7.8079999999999892</v>
      </c>
      <c r="T937" s="304">
        <f t="shared" ca="1" si="407"/>
        <v>76.5964799999999</v>
      </c>
      <c r="U937" s="311">
        <f t="shared" ca="1" si="408"/>
        <v>0</v>
      </c>
      <c r="V937" s="306">
        <f t="shared" ca="1" si="409"/>
        <v>1.2257576165696999</v>
      </c>
      <c r="W937" s="304">
        <f t="shared" ca="1" si="410"/>
        <v>59.540889965947201</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2.1294428091489985</v>
      </c>
      <c r="AH937" s="304">
        <f t="shared" ca="1" si="434"/>
        <v>-7.6255904196570397</v>
      </c>
    </row>
    <row r="938" spans="1:34" x14ac:dyDescent="0.2">
      <c r="A938" s="347">
        <f t="shared" ca="1" si="412"/>
        <v>1E-4</v>
      </c>
      <c r="B938" s="304">
        <f t="shared" ca="1" si="413"/>
        <v>35.122300000000926</v>
      </c>
      <c r="D938" s="306">
        <f t="shared" ca="1" si="414"/>
        <v>-0.80610840314972321</v>
      </c>
      <c r="E938" s="307">
        <f t="shared" ca="1" si="415"/>
        <v>-2.2271004655650168</v>
      </c>
      <c r="F938" s="304">
        <f t="shared" ca="1" si="416"/>
        <v>2.3684989426530279</v>
      </c>
      <c r="G938" s="306">
        <f t="shared" ca="1" si="417"/>
        <v>12.907431445898069</v>
      </c>
      <c r="H938" s="307">
        <f t="shared" ca="1" si="418"/>
        <v>-121.41859123631579</v>
      </c>
      <c r="I938" s="304">
        <f t="shared" ca="1" si="419"/>
        <v>122.10272758764278</v>
      </c>
      <c r="J938" s="306">
        <f t="shared" ca="1" si="420"/>
        <v>874.13727041639572</v>
      </c>
      <c r="K938" s="307">
        <f t="shared" ca="1" si="421"/>
        <v>-6.194855018623695</v>
      </c>
      <c r="L938" s="304">
        <f t="shared" ca="1" si="406"/>
        <v>874.15922105742766</v>
      </c>
      <c r="M938" s="306">
        <f t="shared" ca="1" si="422"/>
        <v>-1.4648888466438816</v>
      </c>
      <c r="N938" s="304">
        <f t="shared" ca="1" si="423"/>
        <v>-83.931948368481301</v>
      </c>
      <c r="P938" s="310">
        <f t="shared" ca="1" si="424"/>
        <v>23</v>
      </c>
      <c r="Q938" s="304">
        <f t="shared" ca="1" si="425"/>
        <v>0</v>
      </c>
      <c r="R938" s="306">
        <f t="shared" ca="1" si="426"/>
        <v>0</v>
      </c>
      <c r="S938" s="307">
        <f t="shared" ca="1" si="427"/>
        <v>7.8079999999999892</v>
      </c>
      <c r="T938" s="304">
        <f t="shared" ca="1" si="407"/>
        <v>76.5964799999999</v>
      </c>
      <c r="U938" s="311">
        <f t="shared" ca="1" si="408"/>
        <v>0</v>
      </c>
      <c r="V938" s="306">
        <f t="shared" ca="1" si="409"/>
        <v>1.2257591048670113</v>
      </c>
      <c r="W938" s="304">
        <f t="shared" ca="1" si="410"/>
        <v>59.541169932888181</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2.1294078331832891</v>
      </c>
      <c r="AH938" s="304">
        <f t="shared" ca="1" si="434"/>
        <v>-7.6256262763764449</v>
      </c>
    </row>
    <row r="939" spans="1:34" x14ac:dyDescent="0.2">
      <c r="A939" s="347">
        <f t="shared" ca="1" si="412"/>
        <v>1E-4</v>
      </c>
      <c r="B939" s="304">
        <f t="shared" ca="1" si="413"/>
        <v>35.12240000000093</v>
      </c>
      <c r="D939" s="306">
        <f t="shared" ca="1" si="414"/>
        <v>-0.80610575335447965</v>
      </c>
      <c r="E939" s="307">
        <f t="shared" ca="1" si="415"/>
        <v>-2.2270641254194272</v>
      </c>
      <c r="F939" s="304">
        <f t="shared" ca="1" si="416"/>
        <v>2.3684638701743777</v>
      </c>
      <c r="G939" s="306">
        <f t="shared" ca="1" si="417"/>
        <v>12.907350835322735</v>
      </c>
      <c r="H939" s="307">
        <f t="shared" ca="1" si="418"/>
        <v>-121.41881394272833</v>
      </c>
      <c r="I939" s="304">
        <f t="shared" ca="1" si="419"/>
        <v>122.10294052497255</v>
      </c>
      <c r="J939" s="306">
        <f t="shared" ca="1" si="420"/>
        <v>874.13727041639572</v>
      </c>
      <c r="K939" s="307">
        <f t="shared" ca="1" si="421"/>
        <v>-6.2069968888826477</v>
      </c>
      <c r="L939" s="304">
        <f t="shared" ca="1" si="406"/>
        <v>874.15930718685684</v>
      </c>
      <c r="M939" s="306">
        <f t="shared" ca="1" si="422"/>
        <v>-1.4648896959364934</v>
      </c>
      <c r="N939" s="304">
        <f t="shared" ca="1" si="423"/>
        <v>-83.931997029363529</v>
      </c>
      <c r="P939" s="310">
        <f t="shared" ca="1" si="424"/>
        <v>23</v>
      </c>
      <c r="Q939" s="304">
        <f t="shared" ca="1" si="425"/>
        <v>0</v>
      </c>
      <c r="R939" s="306">
        <f t="shared" ca="1" si="426"/>
        <v>0</v>
      </c>
      <c r="S939" s="307">
        <f t="shared" ca="1" si="427"/>
        <v>7.8079999999999892</v>
      </c>
      <c r="T939" s="304">
        <f t="shared" ca="1" si="407"/>
        <v>76.5964799999999</v>
      </c>
      <c r="U939" s="311">
        <f t="shared" ca="1" si="408"/>
        <v>0</v>
      </c>
      <c r="V939" s="306">
        <f t="shared" ca="1" si="409"/>
        <v>1.22576059316886</v>
      </c>
      <c r="W939" s="304">
        <f t="shared" ca="1" si="410"/>
        <v>59.541449897504982</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2.1293728574996296</v>
      </c>
      <c r="AH939" s="304">
        <f t="shared" ca="1" si="434"/>
        <v>-7.6256621327981895</v>
      </c>
    </row>
    <row r="940" spans="1:34" x14ac:dyDescent="0.2">
      <c r="A940" s="347">
        <f t="shared" ca="1" si="412"/>
        <v>1E-4</v>
      </c>
      <c r="B940" s="304">
        <f t="shared" ca="1" si="413"/>
        <v>35.122500000000933</v>
      </c>
      <c r="D940" s="306">
        <f t="shared" ca="1" si="414"/>
        <v>-0.80610310352930703</v>
      </c>
      <c r="E940" s="307">
        <f t="shared" ca="1" si="415"/>
        <v>-2.2270277855755323</v>
      </c>
      <c r="F940" s="304">
        <f t="shared" ca="1" si="416"/>
        <v>2.3684287980104108</v>
      </c>
      <c r="G940" s="306">
        <f t="shared" ca="1" si="417"/>
        <v>12.907270225012383</v>
      </c>
      <c r="H940" s="307">
        <f t="shared" ca="1" si="418"/>
        <v>-121.41903664550689</v>
      </c>
      <c r="I940" s="304">
        <f t="shared" ca="1" si="419"/>
        <v>122.10315345880481</v>
      </c>
      <c r="J940" s="306">
        <f t="shared" ca="1" si="420"/>
        <v>874.13727041639572</v>
      </c>
      <c r="K940" s="307">
        <f t="shared" ca="1" si="421"/>
        <v>-6.2191387814120596</v>
      </c>
      <c r="L940" s="304">
        <f t="shared" ca="1" si="406"/>
        <v>874.15939348508368</v>
      </c>
      <c r="M940" s="306">
        <f t="shared" ca="1" si="422"/>
        <v>-1.4648905452208389</v>
      </c>
      <c r="N940" s="304">
        <f t="shared" ca="1" si="423"/>
        <v>-83.932045689772139</v>
      </c>
      <c r="P940" s="310">
        <f t="shared" ca="1" si="424"/>
        <v>23</v>
      </c>
      <c r="Q940" s="304">
        <f t="shared" ca="1" si="425"/>
        <v>0</v>
      </c>
      <c r="R940" s="306">
        <f t="shared" ca="1" si="426"/>
        <v>0</v>
      </c>
      <c r="S940" s="307">
        <f t="shared" ca="1" si="427"/>
        <v>7.8079999999999892</v>
      </c>
      <c r="T940" s="304">
        <f t="shared" ca="1" si="407"/>
        <v>76.5964799999999</v>
      </c>
      <c r="U940" s="311">
        <f t="shared" ca="1" si="408"/>
        <v>0</v>
      </c>
      <c r="V940" s="306">
        <f t="shared" ca="1" si="409"/>
        <v>1.2257620814752461</v>
      </c>
      <c r="W940" s="304">
        <f t="shared" ca="1" si="410"/>
        <v>59.541729859797606</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2.129337882098028</v>
      </c>
      <c r="AH940" s="304">
        <f t="shared" ca="1" si="434"/>
        <v>-7.6256979889222674</v>
      </c>
    </row>
    <row r="941" spans="1:34" x14ac:dyDescent="0.2">
      <c r="A941" s="347">
        <f t="shared" ca="1" si="412"/>
        <v>1E-4</v>
      </c>
      <c r="B941" s="304">
        <f t="shared" ca="1" si="413"/>
        <v>35.122600000000936</v>
      </c>
      <c r="D941" s="306">
        <f t="shared" ca="1" si="414"/>
        <v>-0.80610045367420724</v>
      </c>
      <c r="E941" s="307">
        <f t="shared" ca="1" si="415"/>
        <v>-2.2269914460333284</v>
      </c>
      <c r="F941" s="304">
        <f t="shared" ca="1" si="416"/>
        <v>2.3683937261611252</v>
      </c>
      <c r="G941" s="306">
        <f t="shared" ca="1" si="417"/>
        <v>12.907189614967015</v>
      </c>
      <c r="H941" s="307">
        <f t="shared" ca="1" si="418"/>
        <v>-121.41925934465149</v>
      </c>
      <c r="I941" s="304">
        <f t="shared" ca="1" si="419"/>
        <v>122.10336638913954</v>
      </c>
      <c r="J941" s="306">
        <f t="shared" ca="1" si="420"/>
        <v>874.13727041639572</v>
      </c>
      <c r="K941" s="307">
        <f t="shared" ca="1" si="421"/>
        <v>-6.2312806962115674</v>
      </c>
      <c r="L941" s="304">
        <f t="shared" ca="1" si="406"/>
        <v>874.15947995210911</v>
      </c>
      <c r="M941" s="306">
        <f t="shared" ca="1" si="422"/>
        <v>-1.4648913944969184</v>
      </c>
      <c r="N941" s="304">
        <f t="shared" ca="1" si="423"/>
        <v>-83.932094349707128</v>
      </c>
      <c r="P941" s="310">
        <f t="shared" ca="1" si="424"/>
        <v>23</v>
      </c>
      <c r="Q941" s="304">
        <f t="shared" ca="1" si="425"/>
        <v>0</v>
      </c>
      <c r="R941" s="306">
        <f t="shared" ca="1" si="426"/>
        <v>0</v>
      </c>
      <c r="S941" s="307">
        <f t="shared" ca="1" si="427"/>
        <v>7.8079999999999892</v>
      </c>
      <c r="T941" s="304">
        <f t="shared" ca="1" si="407"/>
        <v>76.5964799999999</v>
      </c>
      <c r="U941" s="311">
        <f t="shared" ca="1" si="408"/>
        <v>0</v>
      </c>
      <c r="V941" s="306">
        <f t="shared" ca="1" si="409"/>
        <v>1.2257635697861693</v>
      </c>
      <c r="W941" s="304">
        <f t="shared" ca="1" si="410"/>
        <v>59.542009819766044</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2.1293029069784852</v>
      </c>
      <c r="AH941" s="304">
        <f t="shared" ca="1" si="434"/>
        <v>-7.6257338447486793</v>
      </c>
    </row>
    <row r="942" spans="1:34" x14ac:dyDescent="0.2">
      <c r="A942" s="347">
        <f t="shared" ca="1" si="412"/>
        <v>1E-4</v>
      </c>
      <c r="B942" s="304">
        <f t="shared" ca="1" si="413"/>
        <v>35.12270000000094</v>
      </c>
      <c r="D942" s="306">
        <f t="shared" ca="1" si="414"/>
        <v>-0.80609780378917995</v>
      </c>
      <c r="E942" s="307">
        <f t="shared" ca="1" si="415"/>
        <v>-2.226955106792821</v>
      </c>
      <c r="F942" s="304">
        <f t="shared" ca="1" si="416"/>
        <v>2.3683586546265252</v>
      </c>
      <c r="G942" s="306">
        <f t="shared" ca="1" si="417"/>
        <v>12.907109005186635</v>
      </c>
      <c r="H942" s="307">
        <f t="shared" ca="1" si="418"/>
        <v>-121.41948204016218</v>
      </c>
      <c r="I942" s="304">
        <f t="shared" ca="1" si="419"/>
        <v>122.10357931597679</v>
      </c>
      <c r="J942" s="306">
        <f t="shared" ca="1" si="420"/>
        <v>874.13727041639572</v>
      </c>
      <c r="K942" s="307">
        <f t="shared" ca="1" si="421"/>
        <v>-6.243422633280808</v>
      </c>
      <c r="L942" s="304">
        <f t="shared" ca="1" si="406"/>
        <v>874.15956658793402</v>
      </c>
      <c r="M942" s="306">
        <f t="shared" ca="1" si="422"/>
        <v>-1.464892243764732</v>
      </c>
      <c r="N942" s="304">
        <f t="shared" ca="1" si="423"/>
        <v>-83.932143009168527</v>
      </c>
      <c r="P942" s="310">
        <f t="shared" ca="1" si="424"/>
        <v>23</v>
      </c>
      <c r="Q942" s="304">
        <f t="shared" ca="1" si="425"/>
        <v>0</v>
      </c>
      <c r="R942" s="306">
        <f t="shared" ca="1" si="426"/>
        <v>0</v>
      </c>
      <c r="S942" s="307">
        <f t="shared" ca="1" si="427"/>
        <v>7.8079999999999892</v>
      </c>
      <c r="T942" s="304">
        <f t="shared" ca="1" si="407"/>
        <v>76.5964799999999</v>
      </c>
      <c r="U942" s="311">
        <f t="shared" ca="1" si="408"/>
        <v>0</v>
      </c>
      <c r="V942" s="306">
        <f t="shared" ca="1" si="409"/>
        <v>1.2257650581016304</v>
      </c>
      <c r="W942" s="304">
        <f t="shared" ca="1" si="410"/>
        <v>59.542289777410325</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2.1292679321410013</v>
      </c>
      <c r="AH942" s="304">
        <f t="shared" ca="1" si="434"/>
        <v>-7.6257697002774236</v>
      </c>
    </row>
    <row r="943" spans="1:34" x14ac:dyDescent="0.2">
      <c r="A943" s="347">
        <f t="shared" ca="1" si="412"/>
        <v>1E-4</v>
      </c>
      <c r="B943" s="304">
        <f t="shared" ca="1" si="413"/>
        <v>35.122800000000943</v>
      </c>
      <c r="D943" s="306">
        <f t="shared" ca="1" si="414"/>
        <v>-0.80609515387422559</v>
      </c>
      <c r="E943" s="307">
        <f t="shared" ca="1" si="415"/>
        <v>-2.226918767854003</v>
      </c>
      <c r="F943" s="304">
        <f t="shared" ca="1" si="416"/>
        <v>2.368323583406605</v>
      </c>
      <c r="G943" s="306">
        <f t="shared" ca="1" si="417"/>
        <v>12.907028395671247</v>
      </c>
      <c r="H943" s="307">
        <f t="shared" ca="1" si="418"/>
        <v>-121.41970473203897</v>
      </c>
      <c r="I943" s="304">
        <f t="shared" ca="1" si="419"/>
        <v>122.10379223931658</v>
      </c>
      <c r="J943" s="306">
        <f t="shared" ca="1" si="420"/>
        <v>874.13727041639572</v>
      </c>
      <c r="K943" s="307">
        <f t="shared" ca="1" si="421"/>
        <v>-6.2555645926194181</v>
      </c>
      <c r="L943" s="304">
        <f t="shared" ca="1" si="406"/>
        <v>874.15965339255933</v>
      </c>
      <c r="M943" s="306">
        <f t="shared" ca="1" si="422"/>
        <v>-1.4648930930242796</v>
      </c>
      <c r="N943" s="304">
        <f t="shared" ca="1" si="423"/>
        <v>-83.932191668156321</v>
      </c>
      <c r="P943" s="310">
        <f t="shared" ca="1" si="424"/>
        <v>23</v>
      </c>
      <c r="Q943" s="304">
        <f t="shared" ca="1" si="425"/>
        <v>0</v>
      </c>
      <c r="R943" s="306">
        <f t="shared" ca="1" si="426"/>
        <v>0</v>
      </c>
      <c r="S943" s="307">
        <f t="shared" ca="1" si="427"/>
        <v>7.8079999999999892</v>
      </c>
      <c r="T943" s="304">
        <f t="shared" ca="1" si="407"/>
        <v>76.5964799999999</v>
      </c>
      <c r="U943" s="311">
        <f t="shared" ca="1" si="408"/>
        <v>0</v>
      </c>
      <c r="V943" s="306">
        <f t="shared" ca="1" si="409"/>
        <v>1.2257665464216285</v>
      </c>
      <c r="W943" s="304">
        <f t="shared" ca="1" si="410"/>
        <v>59.542569732730406</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2.1292329575855735</v>
      </c>
      <c r="AH943" s="304">
        <f t="shared" ca="1" si="434"/>
        <v>-7.6258055555085047</v>
      </c>
    </row>
    <row r="944" spans="1:34" x14ac:dyDescent="0.2">
      <c r="A944" s="347">
        <f t="shared" ca="1" si="412"/>
        <v>1E-4</v>
      </c>
      <c r="B944" s="304">
        <f t="shared" ca="1" si="413"/>
        <v>35.122900000000946</v>
      </c>
      <c r="D944" s="306">
        <f t="shared" ca="1" si="414"/>
        <v>-0.80609250392934695</v>
      </c>
      <c r="E944" s="307">
        <f t="shared" ca="1" si="415"/>
        <v>-2.2268824292168805</v>
      </c>
      <c r="F944" s="304">
        <f t="shared" ca="1" si="416"/>
        <v>2.3682885125013717</v>
      </c>
      <c r="G944" s="306">
        <f t="shared" ca="1" si="417"/>
        <v>12.906947786420854</v>
      </c>
      <c r="H944" s="307">
        <f t="shared" ca="1" si="418"/>
        <v>-121.41992742028189</v>
      </c>
      <c r="I944" s="304">
        <f t="shared" ca="1" si="419"/>
        <v>122.10400515915896</v>
      </c>
      <c r="J944" s="306">
        <f t="shared" ca="1" si="420"/>
        <v>874.13727041639572</v>
      </c>
      <c r="K944" s="307">
        <f t="shared" ca="1" si="421"/>
        <v>-6.2677065742270344</v>
      </c>
      <c r="L944" s="304">
        <f t="shared" ca="1" si="406"/>
        <v>874.15974036598573</v>
      </c>
      <c r="M944" s="306">
        <f t="shared" ca="1" si="422"/>
        <v>-1.4648939422755614</v>
      </c>
      <c r="N944" s="304">
        <f t="shared" ca="1" si="423"/>
        <v>-83.932240326670509</v>
      </c>
      <c r="P944" s="310">
        <f t="shared" ca="1" si="424"/>
        <v>23</v>
      </c>
      <c r="Q944" s="304">
        <f t="shared" ca="1" si="425"/>
        <v>0</v>
      </c>
      <c r="R944" s="306">
        <f t="shared" ca="1" si="426"/>
        <v>0</v>
      </c>
      <c r="S944" s="307">
        <f t="shared" ca="1" si="427"/>
        <v>7.8079999999999892</v>
      </c>
      <c r="T944" s="304">
        <f t="shared" ca="1" si="407"/>
        <v>76.5964799999999</v>
      </c>
      <c r="U944" s="311">
        <f t="shared" ca="1" si="408"/>
        <v>0</v>
      </c>
      <c r="V944" s="306">
        <f t="shared" ca="1" si="409"/>
        <v>1.2257680347461646</v>
      </c>
      <c r="W944" s="304">
        <f t="shared" ca="1" si="410"/>
        <v>59.542849685726374</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2.1291979833122072</v>
      </c>
      <c r="AH944" s="304">
        <f t="shared" ca="1" si="434"/>
        <v>-7.6258414104419172</v>
      </c>
    </row>
    <row r="945" spans="1:34" x14ac:dyDescent="0.2">
      <c r="A945" s="347">
        <f t="shared" ca="1" si="412"/>
        <v>1E-4</v>
      </c>
      <c r="B945" s="304">
        <f t="shared" ca="1" si="413"/>
        <v>35.12300000000095</v>
      </c>
      <c r="D945" s="306">
        <f t="shared" ca="1" si="414"/>
        <v>-0.80608985395454491</v>
      </c>
      <c r="E945" s="307">
        <f t="shared" ca="1" si="415"/>
        <v>-2.2268460908814447</v>
      </c>
      <c r="F945" s="304">
        <f t="shared" ca="1" si="416"/>
        <v>2.368253441910817</v>
      </c>
      <c r="G945" s="306">
        <f t="shared" ca="1" si="417"/>
        <v>12.906867177435458</v>
      </c>
      <c r="H945" s="307">
        <f t="shared" ca="1" si="418"/>
        <v>-121.42015010489098</v>
      </c>
      <c r="I945" s="304">
        <f t="shared" ca="1" si="419"/>
        <v>122.10421807550392</v>
      </c>
      <c r="J945" s="306">
        <f t="shared" ca="1" si="420"/>
        <v>874.13727041639572</v>
      </c>
      <c r="K945" s="307">
        <f t="shared" ca="1" si="421"/>
        <v>-6.2798485781032927</v>
      </c>
      <c r="L945" s="304">
        <f t="shared" ca="1" si="406"/>
        <v>874.15982750821422</v>
      </c>
      <c r="M945" s="306">
        <f t="shared" ca="1" si="422"/>
        <v>-1.4648947915185777</v>
      </c>
      <c r="N945" s="304">
        <f t="shared" ca="1" si="423"/>
        <v>-83.932288984711121</v>
      </c>
      <c r="P945" s="310">
        <f t="shared" ca="1" si="424"/>
        <v>23</v>
      </c>
      <c r="Q945" s="304">
        <f t="shared" ca="1" si="425"/>
        <v>0</v>
      </c>
      <c r="R945" s="306">
        <f t="shared" ca="1" si="426"/>
        <v>0</v>
      </c>
      <c r="S945" s="307">
        <f t="shared" ca="1" si="427"/>
        <v>7.8079999999999892</v>
      </c>
      <c r="T945" s="304">
        <f t="shared" ca="1" si="407"/>
        <v>76.5964799999999</v>
      </c>
      <c r="U945" s="311">
        <f t="shared" ca="1" si="408"/>
        <v>0</v>
      </c>
      <c r="V945" s="306">
        <f t="shared" ca="1" si="409"/>
        <v>1.225769523075237</v>
      </c>
      <c r="W945" s="304">
        <f t="shared" ca="1" si="410"/>
        <v>59.543129636398085</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2.1291630093208909</v>
      </c>
      <c r="AH945" s="304">
        <f t="shared" ca="1" si="434"/>
        <v>-7.6258772650776709</v>
      </c>
    </row>
    <row r="946" spans="1:34" x14ac:dyDescent="0.2">
      <c r="A946" s="347">
        <f t="shared" ca="1" si="412"/>
        <v>1E-4</v>
      </c>
      <c r="B946" s="304">
        <f t="shared" ca="1" si="413"/>
        <v>35.123100000000953</v>
      </c>
      <c r="D946" s="306">
        <f t="shared" ca="1" si="414"/>
        <v>-0.80608720394981626</v>
      </c>
      <c r="E946" s="307">
        <f t="shared" ca="1" si="415"/>
        <v>-2.2268097528477107</v>
      </c>
      <c r="F946" s="304">
        <f t="shared" ca="1" si="416"/>
        <v>2.3682183716349545</v>
      </c>
      <c r="G946" s="306">
        <f t="shared" ca="1" si="417"/>
        <v>12.906786568715063</v>
      </c>
      <c r="H946" s="307">
        <f t="shared" ca="1" si="418"/>
        <v>-121.42037278586626</v>
      </c>
      <c r="I946" s="304">
        <f t="shared" ca="1" si="419"/>
        <v>122.10443098835151</v>
      </c>
      <c r="J946" s="306">
        <f t="shared" ca="1" si="420"/>
        <v>874.13727041639572</v>
      </c>
      <c r="K946" s="307">
        <f t="shared" ca="1" si="421"/>
        <v>-6.2919906042478306</v>
      </c>
      <c r="L946" s="304">
        <f t="shared" ca="1" si="406"/>
        <v>874.15991481924561</v>
      </c>
      <c r="M946" s="306">
        <f t="shared" ca="1" si="422"/>
        <v>-1.4648956407533285</v>
      </c>
      <c r="N946" s="304">
        <f t="shared" ca="1" si="423"/>
        <v>-83.932337642278156</v>
      </c>
      <c r="P946" s="310">
        <f t="shared" ca="1" si="424"/>
        <v>23</v>
      </c>
      <c r="Q946" s="304">
        <f t="shared" ca="1" si="425"/>
        <v>0</v>
      </c>
      <c r="R946" s="306">
        <f t="shared" ca="1" si="426"/>
        <v>0</v>
      </c>
      <c r="S946" s="307">
        <f t="shared" ca="1" si="427"/>
        <v>7.8079999999999892</v>
      </c>
      <c r="T946" s="304">
        <f t="shared" ca="1" si="407"/>
        <v>76.5964799999999</v>
      </c>
      <c r="U946" s="311">
        <f t="shared" ca="1" si="408"/>
        <v>0</v>
      </c>
      <c r="V946" s="306">
        <f t="shared" ca="1" si="409"/>
        <v>1.2257710114088474</v>
      </c>
      <c r="W946" s="304">
        <f t="shared" ca="1" si="410"/>
        <v>59.54340958474566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2.1291280356116449</v>
      </c>
      <c r="AH946" s="304">
        <f t="shared" ca="1" si="434"/>
        <v>-7.625913119415749</v>
      </c>
    </row>
    <row r="947" spans="1:34" x14ac:dyDescent="0.2">
      <c r="A947" s="347">
        <f t="shared" ca="1" si="412"/>
        <v>1E-4</v>
      </c>
      <c r="B947" s="304">
        <f t="shared" ca="1" si="413"/>
        <v>35.123200000000956</v>
      </c>
      <c r="D947" s="306">
        <f t="shared" ca="1" si="414"/>
        <v>-0.80608455391516554</v>
      </c>
      <c r="E947" s="307">
        <f t="shared" ca="1" si="415"/>
        <v>-2.2267734151156651</v>
      </c>
      <c r="F947" s="304">
        <f t="shared" ca="1" si="416"/>
        <v>2.3681833016737732</v>
      </c>
      <c r="G947" s="306">
        <f t="shared" ca="1" si="417"/>
        <v>12.906705960259671</v>
      </c>
      <c r="H947" s="307">
        <f t="shared" ca="1" si="418"/>
        <v>-121.42059546320777</v>
      </c>
      <c r="I947" s="304">
        <f t="shared" ca="1" si="419"/>
        <v>122.10464389770176</v>
      </c>
      <c r="J947" s="306">
        <f t="shared" ca="1" si="420"/>
        <v>874.13727041639572</v>
      </c>
      <c r="K947" s="307">
        <f t="shared" ca="1" si="421"/>
        <v>-6.3041326526602841</v>
      </c>
      <c r="L947" s="304">
        <f t="shared" ca="1" si="406"/>
        <v>874.16000229908104</v>
      </c>
      <c r="M947" s="306">
        <f t="shared" ca="1" si="422"/>
        <v>-1.4648964899798138</v>
      </c>
      <c r="N947" s="304">
        <f t="shared" ca="1" si="423"/>
        <v>-83.932386299371615</v>
      </c>
      <c r="P947" s="310">
        <f t="shared" ca="1" si="424"/>
        <v>23</v>
      </c>
      <c r="Q947" s="304">
        <f t="shared" ca="1" si="425"/>
        <v>0</v>
      </c>
      <c r="R947" s="306">
        <f t="shared" ca="1" si="426"/>
        <v>0</v>
      </c>
      <c r="S947" s="307">
        <f t="shared" ca="1" si="427"/>
        <v>7.8079999999999892</v>
      </c>
      <c r="T947" s="304">
        <f t="shared" ca="1" si="407"/>
        <v>76.5964799999999</v>
      </c>
      <c r="U947" s="311">
        <f t="shared" ca="1" si="408"/>
        <v>0</v>
      </c>
      <c r="V947" s="306">
        <f t="shared" ca="1" si="409"/>
        <v>1.225772499746995</v>
      </c>
      <c r="W947" s="304">
        <f t="shared" ca="1" si="410"/>
        <v>59.543689530769051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2.129093062184455</v>
      </c>
      <c r="AH947" s="304">
        <f t="shared" ca="1" si="434"/>
        <v>-7.6259489734561656</v>
      </c>
    </row>
    <row r="948" spans="1:34" x14ac:dyDescent="0.2">
      <c r="A948" s="347">
        <f t="shared" ca="1" si="412"/>
        <v>1E-4</v>
      </c>
      <c r="B948" s="304">
        <f t="shared" ca="1" si="413"/>
        <v>35.12330000000096</v>
      </c>
      <c r="D948" s="306">
        <f t="shared" ca="1" si="414"/>
        <v>-0.80608190385059231</v>
      </c>
      <c r="E948" s="307">
        <f t="shared" ca="1" si="415"/>
        <v>-2.2267370776853141</v>
      </c>
      <c r="F948" s="304">
        <f t="shared" ca="1" si="416"/>
        <v>2.3681482320272793</v>
      </c>
      <c r="G948" s="306">
        <f t="shared" ca="1" si="417"/>
        <v>12.906625352069286</v>
      </c>
      <c r="H948" s="307">
        <f t="shared" ca="1" si="418"/>
        <v>-121.42081813691554</v>
      </c>
      <c r="I948" s="304">
        <f t="shared" ca="1" si="419"/>
        <v>122.1048568035547</v>
      </c>
      <c r="J948" s="306">
        <f t="shared" ca="1" si="420"/>
        <v>874.13727041639572</v>
      </c>
      <c r="K948" s="307">
        <f t="shared" ca="1" si="421"/>
        <v>-6.3162747233402898</v>
      </c>
      <c r="L948" s="304">
        <f t="shared" ca="1" si="406"/>
        <v>874.16008994772096</v>
      </c>
      <c r="M948" s="306">
        <f t="shared" ca="1" si="422"/>
        <v>-1.4648973391980338</v>
      </c>
      <c r="N948" s="304">
        <f t="shared" ca="1" si="423"/>
        <v>-83.932434955991511</v>
      </c>
      <c r="P948" s="310">
        <f t="shared" ca="1" si="424"/>
        <v>23</v>
      </c>
      <c r="Q948" s="304">
        <f t="shared" ca="1" si="425"/>
        <v>0</v>
      </c>
      <c r="R948" s="306">
        <f t="shared" ca="1" si="426"/>
        <v>0</v>
      </c>
      <c r="S948" s="307">
        <f t="shared" ca="1" si="427"/>
        <v>7.8079999999999892</v>
      </c>
      <c r="T948" s="304">
        <f t="shared" ca="1" si="407"/>
        <v>76.5964799999999</v>
      </c>
      <c r="U948" s="311">
        <f t="shared" ca="1" si="408"/>
        <v>0</v>
      </c>
      <c r="V948" s="306">
        <f t="shared" ca="1" si="409"/>
        <v>1.2257739880896796</v>
      </c>
      <c r="W948" s="304">
        <f t="shared" ca="1" si="410"/>
        <v>59.543969474468263</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2.1290580890393249</v>
      </c>
      <c r="AH948" s="304">
        <f t="shared" ca="1" si="434"/>
        <v>-7.6259848271989155</v>
      </c>
    </row>
    <row r="949" spans="1:34" x14ac:dyDescent="0.2">
      <c r="A949" s="347">
        <f t="shared" ca="1" si="412"/>
        <v>1E-4</v>
      </c>
      <c r="B949" s="304">
        <f t="shared" ca="1" si="413"/>
        <v>35.123400000000963</v>
      </c>
      <c r="D949" s="306">
        <f t="shared" ca="1" si="414"/>
        <v>-0.80607925375609824</v>
      </c>
      <c r="E949" s="307">
        <f t="shared" ca="1" si="415"/>
        <v>-2.2267007405566552</v>
      </c>
      <c r="F949" s="304">
        <f t="shared" ca="1" si="416"/>
        <v>2.3681131626954706</v>
      </c>
      <c r="G949" s="306">
        <f t="shared" ca="1" si="417"/>
        <v>12.906544744143909</v>
      </c>
      <c r="H949" s="307">
        <f t="shared" ca="1" si="418"/>
        <v>-121.42104080698959</v>
      </c>
      <c r="I949" s="304">
        <f t="shared" ca="1" si="419"/>
        <v>122.10506970591032</v>
      </c>
      <c r="J949" s="306">
        <f t="shared" ca="1" si="420"/>
        <v>874.13727041639572</v>
      </c>
      <c r="K949" s="307">
        <f t="shared" ca="1" si="421"/>
        <v>-6.3284168162874854</v>
      </c>
      <c r="L949" s="304">
        <f t="shared" ca="1" si="406"/>
        <v>874.16017776516651</v>
      </c>
      <c r="M949" s="306">
        <f t="shared" ca="1" si="422"/>
        <v>-1.4648981884079888</v>
      </c>
      <c r="N949" s="304">
        <f t="shared" ca="1" si="423"/>
        <v>-83.932483612137858</v>
      </c>
      <c r="P949" s="310">
        <f t="shared" ca="1" si="424"/>
        <v>23</v>
      </c>
      <c r="Q949" s="304">
        <f t="shared" ca="1" si="425"/>
        <v>0</v>
      </c>
      <c r="R949" s="306">
        <f t="shared" ca="1" si="426"/>
        <v>0</v>
      </c>
      <c r="S949" s="307">
        <f t="shared" ca="1" si="427"/>
        <v>7.8079999999999892</v>
      </c>
      <c r="T949" s="304">
        <f t="shared" ca="1" si="407"/>
        <v>76.5964799999999</v>
      </c>
      <c r="U949" s="311">
        <f t="shared" ca="1" si="408"/>
        <v>0</v>
      </c>
      <c r="V949" s="306">
        <f t="shared" ca="1" si="409"/>
        <v>1.2257754764369013</v>
      </c>
      <c r="W949" s="304">
        <f t="shared" ca="1" si="410"/>
        <v>59.544249415843261</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2.1290231161762554</v>
      </c>
      <c r="AH949" s="304">
        <f t="shared" ca="1" si="434"/>
        <v>-7.6260206806439994</v>
      </c>
    </row>
    <row r="950" spans="1:34" x14ac:dyDescent="0.2">
      <c r="A950" s="347">
        <f t="shared" ca="1" si="412"/>
        <v>1E-4</v>
      </c>
      <c r="B950" s="304">
        <f t="shared" ca="1" si="413"/>
        <v>35.123500000000966</v>
      </c>
      <c r="D950" s="306">
        <f t="shared" ca="1" si="414"/>
        <v>-0.8060766036316811</v>
      </c>
      <c r="E950" s="307">
        <f t="shared" ca="1" si="415"/>
        <v>-2.2266644037296954</v>
      </c>
      <c r="F950" s="304">
        <f t="shared" ca="1" si="416"/>
        <v>2.3680780936783536</v>
      </c>
      <c r="G950" s="306">
        <f t="shared" ca="1" si="417"/>
        <v>12.906464136483546</v>
      </c>
      <c r="H950" s="307">
        <f t="shared" ca="1" si="418"/>
        <v>-121.42126347342997</v>
      </c>
      <c r="I950" s="304">
        <f t="shared" ca="1" si="419"/>
        <v>122.10528260476873</v>
      </c>
      <c r="J950" s="306">
        <f t="shared" ca="1" si="420"/>
        <v>874.13727041639572</v>
      </c>
      <c r="K950" s="307">
        <f t="shared" ca="1" si="421"/>
        <v>-6.3405589315015067</v>
      </c>
      <c r="L950" s="304">
        <f t="shared" ca="1" si="406"/>
        <v>874.16026575141859</v>
      </c>
      <c r="M950" s="306">
        <f t="shared" ca="1" si="422"/>
        <v>-1.4648990376096787</v>
      </c>
      <c r="N950" s="304">
        <f t="shared" ca="1" si="423"/>
        <v>-83.932532267810643</v>
      </c>
      <c r="P950" s="310">
        <f t="shared" ca="1" si="424"/>
        <v>23</v>
      </c>
      <c r="Q950" s="304">
        <f t="shared" ca="1" si="425"/>
        <v>0</v>
      </c>
      <c r="R950" s="306">
        <f t="shared" ca="1" si="426"/>
        <v>0</v>
      </c>
      <c r="S950" s="307">
        <f t="shared" ca="1" si="427"/>
        <v>7.8079999999999892</v>
      </c>
      <c r="T950" s="304">
        <f t="shared" ca="1" si="407"/>
        <v>76.5964799999999</v>
      </c>
      <c r="U950" s="311">
        <f t="shared" ca="1" si="408"/>
        <v>0</v>
      </c>
      <c r="V950" s="306">
        <f t="shared" ca="1" si="409"/>
        <v>1.2257769647886603</v>
      </c>
      <c r="W950" s="304">
        <f t="shared" ca="1" si="410"/>
        <v>59.544529354894131</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2.1289881435952518</v>
      </c>
      <c r="AH950" s="304">
        <f t="shared" ca="1" si="434"/>
        <v>-7.6260565337914121</v>
      </c>
    </row>
    <row r="951" spans="1:34" x14ac:dyDescent="0.2">
      <c r="A951" s="347">
        <f t="shared" ca="1" si="412"/>
        <v>1E-4</v>
      </c>
      <c r="B951" s="304">
        <f t="shared" ca="1" si="413"/>
        <v>35.12360000000097</v>
      </c>
      <c r="D951" s="306">
        <f t="shared" ca="1" si="414"/>
        <v>-0.80607395347734534</v>
      </c>
      <c r="E951" s="307">
        <f t="shared" ca="1" si="415"/>
        <v>-2.2266280672044223</v>
      </c>
      <c r="F951" s="304">
        <f t="shared" ca="1" si="416"/>
        <v>2.3680430249759183</v>
      </c>
      <c r="G951" s="306">
        <f t="shared" ca="1" si="417"/>
        <v>12.906383529088199</v>
      </c>
      <c r="H951" s="307">
        <f t="shared" ca="1" si="418"/>
        <v>-121.42148613623669</v>
      </c>
      <c r="I951" s="304">
        <f t="shared" ca="1" si="419"/>
        <v>122.10549550012988</v>
      </c>
      <c r="J951" s="306">
        <f t="shared" ca="1" si="420"/>
        <v>874.13727041639572</v>
      </c>
      <c r="K951" s="307">
        <f t="shared" ca="1" si="421"/>
        <v>-6.3527010689819905</v>
      </c>
      <c r="L951" s="304">
        <f t="shared" ca="1" si="406"/>
        <v>874.16035390647801</v>
      </c>
      <c r="M951" s="306">
        <f t="shared" ca="1" si="422"/>
        <v>-1.4648998868031038</v>
      </c>
      <c r="N951" s="304">
        <f t="shared" ca="1" si="423"/>
        <v>-83.932580923009894</v>
      </c>
      <c r="P951" s="310">
        <f t="shared" ca="1" si="424"/>
        <v>23</v>
      </c>
      <c r="Q951" s="304">
        <f t="shared" ca="1" si="425"/>
        <v>0</v>
      </c>
      <c r="R951" s="306">
        <f t="shared" ca="1" si="426"/>
        <v>0</v>
      </c>
      <c r="S951" s="307">
        <f t="shared" ca="1" si="427"/>
        <v>7.8079999999999892</v>
      </c>
      <c r="T951" s="304">
        <f t="shared" ca="1" si="407"/>
        <v>76.5964799999999</v>
      </c>
      <c r="U951" s="311">
        <f t="shared" ca="1" si="408"/>
        <v>0</v>
      </c>
      <c r="V951" s="306">
        <f t="shared" ca="1" si="409"/>
        <v>1.2257784531449567</v>
      </c>
      <c r="W951" s="304">
        <f t="shared" ca="1" si="410"/>
        <v>59.544809291620801</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2.1289531712963035</v>
      </c>
      <c r="AH951" s="304">
        <f t="shared" ca="1" si="434"/>
        <v>-7.6260923866411643</v>
      </c>
    </row>
    <row r="952" spans="1:34" x14ac:dyDescent="0.2">
      <c r="A952" s="347">
        <f t="shared" ca="1" si="412"/>
        <v>1E-4</v>
      </c>
      <c r="B952" s="304">
        <f t="shared" ca="1" si="413"/>
        <v>35.123700000000973</v>
      </c>
      <c r="D952" s="306">
        <f t="shared" ca="1" si="414"/>
        <v>-0.80607130329308863</v>
      </c>
      <c r="E952" s="307">
        <f t="shared" ca="1" si="415"/>
        <v>-2.2265917309808447</v>
      </c>
      <c r="F952" s="304">
        <f t="shared" ca="1" si="416"/>
        <v>2.3680079565881726</v>
      </c>
      <c r="G952" s="306">
        <f t="shared" ca="1" si="417"/>
        <v>12.90630292195787</v>
      </c>
      <c r="H952" s="307">
        <f t="shared" ca="1" si="418"/>
        <v>-121.4217087954098</v>
      </c>
      <c r="I952" s="304">
        <f t="shared" ca="1" si="419"/>
        <v>122.10570839199384</v>
      </c>
      <c r="J952" s="306">
        <f t="shared" ca="1" si="420"/>
        <v>874.13727041639572</v>
      </c>
      <c r="K952" s="307">
        <f t="shared" ca="1" si="421"/>
        <v>-6.3648432287285726</v>
      </c>
      <c r="L952" s="304">
        <f t="shared" ca="1" si="406"/>
        <v>874.16044223034544</v>
      </c>
      <c r="M952" s="306">
        <f t="shared" ca="1" si="422"/>
        <v>-1.464900735988264</v>
      </c>
      <c r="N952" s="304">
        <f t="shared" ca="1" si="423"/>
        <v>-83.932629577735597</v>
      </c>
      <c r="P952" s="310">
        <f t="shared" ca="1" si="424"/>
        <v>23</v>
      </c>
      <c r="Q952" s="304">
        <f t="shared" ca="1" si="425"/>
        <v>0</v>
      </c>
      <c r="R952" s="306">
        <f t="shared" ca="1" si="426"/>
        <v>0</v>
      </c>
      <c r="S952" s="307">
        <f t="shared" ca="1" si="427"/>
        <v>7.8079999999999892</v>
      </c>
      <c r="T952" s="304">
        <f t="shared" ca="1" si="407"/>
        <v>76.5964799999999</v>
      </c>
      <c r="U952" s="311">
        <f t="shared" ca="1" si="408"/>
        <v>0</v>
      </c>
      <c r="V952" s="306">
        <f t="shared" ca="1" si="409"/>
        <v>1.2257799415057902</v>
      </c>
      <c r="W952" s="304">
        <f t="shared" ca="1" si="410"/>
        <v>59.545089226023308</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2.1289181992794175</v>
      </c>
      <c r="AH952" s="304">
        <f t="shared" ca="1" si="434"/>
        <v>-7.6261282391932488</v>
      </c>
    </row>
    <row r="953" spans="1:34" x14ac:dyDescent="0.2">
      <c r="A953" s="347">
        <f t="shared" ca="1" si="412"/>
        <v>1E-4</v>
      </c>
      <c r="B953" s="304">
        <f t="shared" ca="1" si="413"/>
        <v>35.123800000000976</v>
      </c>
      <c r="D953" s="306">
        <f t="shared" ca="1" si="414"/>
        <v>-0.80606865307891418</v>
      </c>
      <c r="E953" s="307">
        <f t="shared" ca="1" si="415"/>
        <v>-2.2265553950589601</v>
      </c>
      <c r="F953" s="304">
        <f t="shared" ca="1" si="416"/>
        <v>2.3679728885151148</v>
      </c>
      <c r="G953" s="306">
        <f t="shared" ca="1" si="417"/>
        <v>12.906222315092561</v>
      </c>
      <c r="H953" s="307">
        <f t="shared" ca="1" si="418"/>
        <v>-121.4219314509493</v>
      </c>
      <c r="I953" s="304">
        <f t="shared" ca="1" si="419"/>
        <v>122.10592128036062</v>
      </c>
      <c r="J953" s="306">
        <f t="shared" ca="1" si="420"/>
        <v>874.13727041639572</v>
      </c>
      <c r="K953" s="307">
        <f t="shared" ca="1" si="421"/>
        <v>-6.3769854107408905</v>
      </c>
      <c r="L953" s="304">
        <f t="shared" ca="1" si="406"/>
        <v>874.16053072302213</v>
      </c>
      <c r="M953" s="306">
        <f t="shared" ca="1" si="422"/>
        <v>-1.4649015851651594</v>
      </c>
      <c r="N953" s="304">
        <f t="shared" ca="1" si="423"/>
        <v>-83.932678231987765</v>
      </c>
      <c r="P953" s="310">
        <f t="shared" ca="1" si="424"/>
        <v>23</v>
      </c>
      <c r="Q953" s="304">
        <f t="shared" ca="1" si="425"/>
        <v>0</v>
      </c>
      <c r="R953" s="306">
        <f t="shared" ca="1" si="426"/>
        <v>0</v>
      </c>
      <c r="S953" s="307">
        <f t="shared" ca="1" si="427"/>
        <v>7.8079999999999892</v>
      </c>
      <c r="T953" s="304">
        <f t="shared" ca="1" si="407"/>
        <v>76.5964799999999</v>
      </c>
      <c r="U953" s="311">
        <f t="shared" ca="1" si="408"/>
        <v>0</v>
      </c>
      <c r="V953" s="306">
        <f t="shared" ca="1" si="409"/>
        <v>1.2257814298711602</v>
      </c>
      <c r="W953" s="304">
        <f t="shared" ca="1" si="410"/>
        <v>59.5453691581016</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2.1288832275445939</v>
      </c>
      <c r="AH953" s="304">
        <f t="shared" ca="1" si="434"/>
        <v>-7.6261640914476674</v>
      </c>
    </row>
    <row r="954" spans="1:34" x14ac:dyDescent="0.2">
      <c r="A954" s="347">
        <f t="shared" ca="1" si="412"/>
        <v>1E-4</v>
      </c>
      <c r="B954" s="304">
        <f t="shared" ca="1" si="413"/>
        <v>35.12390000000098</v>
      </c>
      <c r="D954" s="306">
        <f t="shared" ca="1" si="414"/>
        <v>-0.80606600283482177</v>
      </c>
      <c r="E954" s="307">
        <f t="shared" ca="1" si="415"/>
        <v>-2.2265190594387718</v>
      </c>
      <c r="F954" s="304">
        <f t="shared" ca="1" si="416"/>
        <v>2.3679378207567487</v>
      </c>
      <c r="G954" s="306">
        <f t="shared" ca="1" si="417"/>
        <v>12.906141708492278</v>
      </c>
      <c r="H954" s="307">
        <f t="shared" ca="1" si="418"/>
        <v>-121.42215410285525</v>
      </c>
      <c r="I954" s="304">
        <f t="shared" ca="1" si="419"/>
        <v>122.10613416523026</v>
      </c>
      <c r="J954" s="306">
        <f t="shared" ca="1" si="420"/>
        <v>874.13727041639572</v>
      </c>
      <c r="K954" s="307">
        <f t="shared" ca="1" si="421"/>
        <v>-6.3891276150185812</v>
      </c>
      <c r="L954" s="304">
        <f t="shared" ca="1" si="406"/>
        <v>874.16061938450878</v>
      </c>
      <c r="M954" s="306">
        <f t="shared" ca="1" si="422"/>
        <v>-1.4649024343337904</v>
      </c>
      <c r="N954" s="304">
        <f t="shared" ca="1" si="423"/>
        <v>-83.932726885766414</v>
      </c>
      <c r="P954" s="310">
        <f t="shared" ca="1" si="424"/>
        <v>23</v>
      </c>
      <c r="Q954" s="304">
        <f t="shared" ca="1" si="425"/>
        <v>0</v>
      </c>
      <c r="R954" s="306">
        <f t="shared" ca="1" si="426"/>
        <v>0</v>
      </c>
      <c r="S954" s="307">
        <f t="shared" ca="1" si="427"/>
        <v>7.8079999999999892</v>
      </c>
      <c r="T954" s="304">
        <f t="shared" ca="1" si="407"/>
        <v>76.5964799999999</v>
      </c>
      <c r="U954" s="311">
        <f t="shared" ca="1" si="408"/>
        <v>0</v>
      </c>
      <c r="V954" s="306">
        <f t="shared" ca="1" si="409"/>
        <v>1.2257829182410676</v>
      </c>
      <c r="W954" s="304">
        <f t="shared" ca="1" si="410"/>
        <v>59.545649087855729</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2.1288482560918327</v>
      </c>
      <c r="AH954" s="304">
        <f t="shared" ca="1" si="434"/>
        <v>-7.6261999434044165</v>
      </c>
    </row>
    <row r="955" spans="1:34" x14ac:dyDescent="0.2">
      <c r="A955" s="347">
        <f t="shared" ca="1" si="412"/>
        <v>1E-4</v>
      </c>
      <c r="B955" s="304">
        <f t="shared" ca="1" si="413"/>
        <v>35.124000000000983</v>
      </c>
      <c r="D955" s="306">
        <f t="shared" ca="1" si="414"/>
        <v>-0.80606335256081196</v>
      </c>
      <c r="E955" s="307">
        <f t="shared" ca="1" si="415"/>
        <v>-2.2264827241202756</v>
      </c>
      <c r="F955" s="304">
        <f t="shared" ca="1" si="416"/>
        <v>2.3679027533130701</v>
      </c>
      <c r="G955" s="306">
        <f t="shared" ca="1" si="417"/>
        <v>12.906061102157022</v>
      </c>
      <c r="H955" s="307">
        <f t="shared" ca="1" si="418"/>
        <v>-121.42237675112766</v>
      </c>
      <c r="I955" s="304">
        <f t="shared" ca="1" si="419"/>
        <v>122.10634704660276</v>
      </c>
      <c r="J955" s="306">
        <f t="shared" ca="1" si="420"/>
        <v>874.13727041639572</v>
      </c>
      <c r="K955" s="307">
        <f t="shared" ca="1" si="421"/>
        <v>-6.4012698415612803</v>
      </c>
      <c r="L955" s="304">
        <f t="shared" ca="1" si="406"/>
        <v>874.16070821480616</v>
      </c>
      <c r="M955" s="306">
        <f t="shared" ca="1" si="422"/>
        <v>-1.4649032834941569</v>
      </c>
      <c r="N955" s="304">
        <f t="shared" ca="1" si="423"/>
        <v>-83.932775539071542</v>
      </c>
      <c r="P955" s="310">
        <f t="shared" ca="1" si="424"/>
        <v>23</v>
      </c>
      <c r="Q955" s="304">
        <f t="shared" ca="1" si="425"/>
        <v>0</v>
      </c>
      <c r="R955" s="306">
        <f t="shared" ca="1" si="426"/>
        <v>0</v>
      </c>
      <c r="S955" s="307">
        <f t="shared" ca="1" si="427"/>
        <v>7.8079999999999892</v>
      </c>
      <c r="T955" s="304">
        <f t="shared" ca="1" si="407"/>
        <v>76.5964799999999</v>
      </c>
      <c r="U955" s="311">
        <f t="shared" ca="1" si="408"/>
        <v>0</v>
      </c>
      <c r="V955" s="306">
        <f t="shared" ca="1" si="409"/>
        <v>1.2257844066155119</v>
      </c>
      <c r="W955" s="304">
        <f t="shared" ca="1" si="410"/>
        <v>59.545929015285651</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2.1288132849211365</v>
      </c>
      <c r="AH955" s="304">
        <f t="shared" ca="1" si="434"/>
        <v>-7.6262357950635007</v>
      </c>
    </row>
    <row r="956" spans="1:34" x14ac:dyDescent="0.2">
      <c r="A956" s="347">
        <f t="shared" ca="1" si="412"/>
        <v>1E-4</v>
      </c>
      <c r="B956" s="304">
        <f t="shared" ca="1" si="413"/>
        <v>35.124100000000986</v>
      </c>
      <c r="D956" s="306">
        <f t="shared" ca="1" si="414"/>
        <v>-0.80606070225688564</v>
      </c>
      <c r="E956" s="307">
        <f t="shared" ca="1" si="415"/>
        <v>-2.2264463891034758</v>
      </c>
      <c r="F956" s="304">
        <f t="shared" ca="1" si="416"/>
        <v>2.3678676861840842</v>
      </c>
      <c r="G956" s="306">
        <f t="shared" ca="1" si="417"/>
        <v>12.905980496086796</v>
      </c>
      <c r="H956" s="307">
        <f t="shared" ca="1" si="418"/>
        <v>-121.42259939576657</v>
      </c>
      <c r="I956" s="304">
        <f t="shared" ca="1" si="419"/>
        <v>122.10655992447819</v>
      </c>
      <c r="J956" s="306">
        <f t="shared" ca="1" si="420"/>
        <v>874.13727041639572</v>
      </c>
      <c r="K956" s="307">
        <f t="shared" ca="1" si="421"/>
        <v>-6.4134120903686247</v>
      </c>
      <c r="L956" s="304">
        <f t="shared" ca="1" si="406"/>
        <v>874.1607972139152</v>
      </c>
      <c r="M956" s="306">
        <f t="shared" ca="1" si="422"/>
        <v>-1.4649041326462591</v>
      </c>
      <c r="N956" s="304">
        <f t="shared" ca="1" si="423"/>
        <v>-83.932824191903165</v>
      </c>
      <c r="P956" s="310">
        <f t="shared" ca="1" si="424"/>
        <v>23</v>
      </c>
      <c r="Q956" s="304">
        <f t="shared" ca="1" si="425"/>
        <v>0</v>
      </c>
      <c r="R956" s="306">
        <f t="shared" ca="1" si="426"/>
        <v>0</v>
      </c>
      <c r="S956" s="307">
        <f t="shared" ca="1" si="427"/>
        <v>7.8079999999999892</v>
      </c>
      <c r="T956" s="304">
        <f t="shared" ca="1" si="407"/>
        <v>76.5964799999999</v>
      </c>
      <c r="U956" s="311">
        <f t="shared" ca="1" si="408"/>
        <v>0</v>
      </c>
      <c r="V956" s="306">
        <f t="shared" ca="1" si="409"/>
        <v>1.2257858949944933</v>
      </c>
      <c r="W956" s="304">
        <f t="shared" ca="1" si="410"/>
        <v>59.546208940391416</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2.1287783140325054</v>
      </c>
      <c r="AH956" s="304">
        <f t="shared" ca="1" si="434"/>
        <v>-7.6262716464249145</v>
      </c>
    </row>
    <row r="957" spans="1:34" x14ac:dyDescent="0.2">
      <c r="A957" s="347">
        <f t="shared" ca="1" si="412"/>
        <v>1E-4</v>
      </c>
      <c r="B957" s="304">
        <f t="shared" ca="1" si="413"/>
        <v>35.12420000000099</v>
      </c>
      <c r="D957" s="306">
        <f t="shared" ca="1" si="414"/>
        <v>-0.80605805192304358</v>
      </c>
      <c r="E957" s="307">
        <f t="shared" ca="1" si="415"/>
        <v>-2.2264100543883671</v>
      </c>
      <c r="F957" s="304">
        <f t="shared" ca="1" si="416"/>
        <v>2.3678326193697865</v>
      </c>
      <c r="G957" s="306">
        <f t="shared" ca="1" si="417"/>
        <v>12.905899890281605</v>
      </c>
      <c r="H957" s="307">
        <f t="shared" ca="1" si="418"/>
        <v>-121.422822036772</v>
      </c>
      <c r="I957" s="304">
        <f t="shared" ca="1" si="419"/>
        <v>122.10677279885655</v>
      </c>
      <c r="J957" s="306">
        <f t="shared" ca="1" si="420"/>
        <v>874.13727041639572</v>
      </c>
      <c r="K957" s="307">
        <f t="shared" ca="1" si="421"/>
        <v>-6.4255543614402519</v>
      </c>
      <c r="L957" s="304">
        <f t="shared" ca="1" si="406"/>
        <v>874.16088638183692</v>
      </c>
      <c r="M957" s="306">
        <f t="shared" ca="1" si="422"/>
        <v>-1.4649049817900972</v>
      </c>
      <c r="N957" s="304">
        <f t="shared" ca="1" si="423"/>
        <v>-83.932872844261283</v>
      </c>
      <c r="P957" s="310">
        <f t="shared" ca="1" si="424"/>
        <v>23</v>
      </c>
      <c r="Q957" s="304">
        <f t="shared" ca="1" si="425"/>
        <v>0</v>
      </c>
      <c r="R957" s="306">
        <f t="shared" ca="1" si="426"/>
        <v>0</v>
      </c>
      <c r="S957" s="307">
        <f t="shared" ca="1" si="427"/>
        <v>7.8079999999999892</v>
      </c>
      <c r="T957" s="304">
        <f t="shared" ca="1" si="407"/>
        <v>76.5964799999999</v>
      </c>
      <c r="U957" s="311">
        <f t="shared" ca="1" si="408"/>
        <v>0</v>
      </c>
      <c r="V957" s="306">
        <f t="shared" ca="1" si="409"/>
        <v>1.2257873833780117</v>
      </c>
      <c r="W957" s="304">
        <f t="shared" ca="1" si="410"/>
        <v>59.546488863172996</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2.1287433434259357</v>
      </c>
      <c r="AH957" s="304">
        <f t="shared" ca="1" si="434"/>
        <v>-7.6263074974886651</v>
      </c>
    </row>
    <row r="958" spans="1:34" x14ac:dyDescent="0.2">
      <c r="A958" s="347">
        <f t="shared" ca="1" si="412"/>
        <v>1E-4</v>
      </c>
      <c r="B958" s="304">
        <f t="shared" ca="1" si="413"/>
        <v>35.124300000000993</v>
      </c>
      <c r="D958" s="306">
        <f t="shared" ca="1" si="414"/>
        <v>-0.80605540155928546</v>
      </c>
      <c r="E958" s="307">
        <f t="shared" ca="1" si="415"/>
        <v>-2.2263737199749523</v>
      </c>
      <c r="F958" s="304">
        <f t="shared" ca="1" si="416"/>
        <v>2.3677975528701789</v>
      </c>
      <c r="G958" s="306">
        <f t="shared" ca="1" si="417"/>
        <v>12.905819284741449</v>
      </c>
      <c r="H958" s="307">
        <f t="shared" ca="1" si="418"/>
        <v>-121.42304467414399</v>
      </c>
      <c r="I958" s="304">
        <f t="shared" ca="1" si="419"/>
        <v>122.10698566973788</v>
      </c>
      <c r="J958" s="306">
        <f t="shared" ca="1" si="420"/>
        <v>874.13727041639572</v>
      </c>
      <c r="K958" s="307">
        <f t="shared" ca="1" si="421"/>
        <v>-6.4376966547757979</v>
      </c>
      <c r="L958" s="304">
        <f t="shared" ca="1" si="406"/>
        <v>874.16097571857199</v>
      </c>
      <c r="M958" s="306">
        <f t="shared" ca="1" si="422"/>
        <v>-1.4649058309256711</v>
      </c>
      <c r="N958" s="304">
        <f t="shared" ca="1" si="423"/>
        <v>-83.932921496145894</v>
      </c>
      <c r="P958" s="310">
        <f t="shared" ca="1" si="424"/>
        <v>23</v>
      </c>
      <c r="Q958" s="304">
        <f t="shared" ca="1" si="425"/>
        <v>0</v>
      </c>
      <c r="R958" s="306">
        <f t="shared" ca="1" si="426"/>
        <v>0</v>
      </c>
      <c r="S958" s="307">
        <f t="shared" ca="1" si="427"/>
        <v>7.8079999999999892</v>
      </c>
      <c r="T958" s="304">
        <f t="shared" ca="1" si="407"/>
        <v>76.5964799999999</v>
      </c>
      <c r="U958" s="311">
        <f t="shared" ca="1" si="408"/>
        <v>0</v>
      </c>
      <c r="V958" s="306">
        <f t="shared" ca="1" si="409"/>
        <v>1.2257888717660665</v>
      </c>
      <c r="W958" s="304">
        <f t="shared" ca="1" si="410"/>
        <v>59.546768783630355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2.1287083731014294</v>
      </c>
      <c r="AH958" s="304">
        <f t="shared" ca="1" si="434"/>
        <v>-7.6263433482547489</v>
      </c>
    </row>
    <row r="959" spans="1:34" x14ac:dyDescent="0.2">
      <c r="A959" s="347">
        <f t="shared" ca="1" si="412"/>
        <v>1E-4</v>
      </c>
      <c r="B959" s="304">
        <f t="shared" ca="1" si="413"/>
        <v>35.124400000000996</v>
      </c>
      <c r="D959" s="306">
        <f t="shared" ca="1" si="414"/>
        <v>-0.80605275116561381</v>
      </c>
      <c r="E959" s="307">
        <f t="shared" ca="1" si="415"/>
        <v>-2.2263373858632365</v>
      </c>
      <c r="F959" s="304">
        <f t="shared" ca="1" si="416"/>
        <v>2.367762486685268</v>
      </c>
      <c r="G959" s="306">
        <f t="shared" ca="1" si="417"/>
        <v>12.905738679466333</v>
      </c>
      <c r="H959" s="307">
        <f t="shared" ca="1" si="418"/>
        <v>-121.42326730788258</v>
      </c>
      <c r="I959" s="304">
        <f t="shared" ca="1" si="419"/>
        <v>122.10719853712222</v>
      </c>
      <c r="J959" s="306">
        <f t="shared" ca="1" si="420"/>
        <v>874.13727041639572</v>
      </c>
      <c r="K959" s="307">
        <f t="shared" ca="1" si="421"/>
        <v>-6.4498389703748993</v>
      </c>
      <c r="L959" s="304">
        <f t="shared" ca="1" si="406"/>
        <v>874.16106522412144</v>
      </c>
      <c r="M959" s="306">
        <f t="shared" ca="1" si="422"/>
        <v>-1.4649066800529811</v>
      </c>
      <c r="N959" s="304">
        <f t="shared" ca="1" si="423"/>
        <v>-83.932970147557029</v>
      </c>
      <c r="P959" s="310">
        <f t="shared" ca="1" si="424"/>
        <v>23</v>
      </c>
      <c r="Q959" s="304">
        <f t="shared" ca="1" si="425"/>
        <v>0</v>
      </c>
      <c r="R959" s="306">
        <f t="shared" ca="1" si="426"/>
        <v>0</v>
      </c>
      <c r="S959" s="307">
        <f t="shared" ca="1" si="427"/>
        <v>7.8079999999999892</v>
      </c>
      <c r="T959" s="304">
        <f t="shared" ca="1" si="407"/>
        <v>76.5964799999999</v>
      </c>
      <c r="U959" s="311">
        <f t="shared" ca="1" si="408"/>
        <v>0</v>
      </c>
      <c r="V959" s="306">
        <f t="shared" ca="1" si="409"/>
        <v>1.2257903601586584</v>
      </c>
      <c r="W959" s="304">
        <f t="shared" ca="1" si="410"/>
        <v>59.547048701763558</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2.1286734030589933</v>
      </c>
      <c r="AH959" s="304">
        <f t="shared" ca="1" si="434"/>
        <v>-7.6263791987231606</v>
      </c>
    </row>
    <row r="960" spans="1:34" x14ac:dyDescent="0.2">
      <c r="A960" s="347">
        <f t="shared" ca="1" si="412"/>
        <v>1E-4</v>
      </c>
      <c r="B960" s="304">
        <f t="shared" ca="1" si="413"/>
        <v>35.124500000000999</v>
      </c>
      <c r="D960" s="306">
        <f t="shared" ca="1" si="414"/>
        <v>-0.8060501007420281</v>
      </c>
      <c r="E960" s="307">
        <f t="shared" ca="1" si="415"/>
        <v>-2.2263010520532101</v>
      </c>
      <c r="F960" s="304">
        <f t="shared" ca="1" si="416"/>
        <v>2.3677274208150449</v>
      </c>
      <c r="G960" s="306">
        <f t="shared" ca="1" si="417"/>
        <v>12.905658074456259</v>
      </c>
      <c r="H960" s="307">
        <f t="shared" ca="1" si="418"/>
        <v>-121.42348993798778</v>
      </c>
      <c r="I960" s="304">
        <f t="shared" ca="1" si="419"/>
        <v>122.10741140100956</v>
      </c>
      <c r="J960" s="306">
        <f t="shared" ca="1" si="420"/>
        <v>874.13727041639572</v>
      </c>
      <c r="K960" s="307">
        <f t="shared" ca="1" si="421"/>
        <v>-6.4619813082371929</v>
      </c>
      <c r="L960" s="304">
        <f t="shared" ca="1" si="406"/>
        <v>874.16115489848607</v>
      </c>
      <c r="M960" s="306">
        <f t="shared" ca="1" si="422"/>
        <v>-1.464907529172027</v>
      </c>
      <c r="N960" s="304">
        <f t="shared" ca="1" si="423"/>
        <v>-83.933018798494672</v>
      </c>
      <c r="P960" s="310">
        <f t="shared" ca="1" si="424"/>
        <v>23</v>
      </c>
      <c r="Q960" s="304">
        <f t="shared" ca="1" si="425"/>
        <v>0</v>
      </c>
      <c r="R960" s="306">
        <f t="shared" ca="1" si="426"/>
        <v>0</v>
      </c>
      <c r="S960" s="307">
        <f t="shared" ca="1" si="427"/>
        <v>7.8079999999999892</v>
      </c>
      <c r="T960" s="304">
        <f t="shared" ca="1" si="407"/>
        <v>76.5964799999999</v>
      </c>
      <c r="U960" s="311">
        <f t="shared" ca="1" si="408"/>
        <v>0</v>
      </c>
      <c r="V960" s="306">
        <f t="shared" ca="1" si="409"/>
        <v>1.2257918485557873</v>
      </c>
      <c r="W960" s="304">
        <f t="shared" ca="1" si="410"/>
        <v>59.547328617572553</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2.1286384332986188</v>
      </c>
      <c r="AH960" s="304">
        <f t="shared" ca="1" si="434"/>
        <v>-7.6264150488939091</v>
      </c>
    </row>
    <row r="961" spans="1:34" x14ac:dyDescent="0.2">
      <c r="A961" s="347">
        <f t="shared" ca="1" si="412"/>
        <v>1E-4</v>
      </c>
      <c r="B961" s="304">
        <f t="shared" ca="1" si="413"/>
        <v>35.124600000001003</v>
      </c>
      <c r="D961" s="306">
        <f t="shared" ca="1" si="414"/>
        <v>-0.80604745028853086</v>
      </c>
      <c r="E961" s="307">
        <f t="shared" ca="1" si="415"/>
        <v>-2.2262647185448818</v>
      </c>
      <c r="F961" s="304">
        <f t="shared" ca="1" si="416"/>
        <v>2.3676923552595182</v>
      </c>
      <c r="G961" s="306">
        <f t="shared" ca="1" si="417"/>
        <v>12.905577469711229</v>
      </c>
      <c r="H961" s="307">
        <f t="shared" ca="1" si="418"/>
        <v>-121.42371256445963</v>
      </c>
      <c r="I961" s="304">
        <f t="shared" ca="1" si="419"/>
        <v>122.10762426139995</v>
      </c>
      <c r="J961" s="306">
        <f t="shared" ca="1" si="420"/>
        <v>874.13727041639572</v>
      </c>
      <c r="K961" s="307">
        <f t="shared" ca="1" si="421"/>
        <v>-6.4741236683623153</v>
      </c>
      <c r="L961" s="304">
        <f t="shared" ca="1" si="406"/>
        <v>874.16124474166668</v>
      </c>
      <c r="M961" s="306">
        <f t="shared" ca="1" si="422"/>
        <v>-1.4649083782828096</v>
      </c>
      <c r="N961" s="304">
        <f t="shared" ca="1" si="423"/>
        <v>-83.933067448958852</v>
      </c>
      <c r="P961" s="310">
        <f t="shared" ca="1" si="424"/>
        <v>23</v>
      </c>
      <c r="Q961" s="304">
        <f t="shared" ca="1" si="425"/>
        <v>0</v>
      </c>
      <c r="R961" s="306">
        <f t="shared" ca="1" si="426"/>
        <v>0</v>
      </c>
      <c r="S961" s="307">
        <f t="shared" ca="1" si="427"/>
        <v>7.8079999999999892</v>
      </c>
      <c r="T961" s="304">
        <f t="shared" ca="1" si="407"/>
        <v>76.5964799999999</v>
      </c>
      <c r="U961" s="311">
        <f t="shared" ca="1" si="408"/>
        <v>0</v>
      </c>
      <c r="V961" s="306">
        <f t="shared" ca="1" si="409"/>
        <v>1.2257933369574532</v>
      </c>
      <c r="W961" s="304">
        <f t="shared" ca="1" si="410"/>
        <v>59.547608531057385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2.1286034638203111</v>
      </c>
      <c r="AH961" s="304">
        <f t="shared" ca="1" si="434"/>
        <v>-7.6264508987669872</v>
      </c>
    </row>
    <row r="962" spans="1:34" x14ac:dyDescent="0.2">
      <c r="A962" s="347">
        <f t="shared" ca="1" si="412"/>
        <v>1E-4</v>
      </c>
      <c r="B962" s="304">
        <f t="shared" ca="1" si="413"/>
        <v>35.124700000001006</v>
      </c>
      <c r="D962" s="306">
        <f t="shared" ca="1" si="414"/>
        <v>-0.80604479980511934</v>
      </c>
      <c r="E962" s="307">
        <f t="shared" ca="1" si="415"/>
        <v>-2.2262283853382447</v>
      </c>
      <c r="F962" s="304">
        <f t="shared" ca="1" si="416"/>
        <v>2.367657290018681</v>
      </c>
      <c r="G962" s="306">
        <f t="shared" ca="1" si="417"/>
        <v>12.905496865231248</v>
      </c>
      <c r="H962" s="307">
        <f t="shared" ca="1" si="418"/>
        <v>-121.42393518729817</v>
      </c>
      <c r="I962" s="304">
        <f t="shared" ca="1" si="419"/>
        <v>122.10783711829343</v>
      </c>
      <c r="J962" s="306">
        <f t="shared" ca="1" si="420"/>
        <v>874.13727041639572</v>
      </c>
      <c r="K962" s="307">
        <f t="shared" ca="1" si="421"/>
        <v>-6.4862660507499035</v>
      </c>
      <c r="L962" s="304">
        <f t="shared" ca="1" si="406"/>
        <v>874.16133475366428</v>
      </c>
      <c r="M962" s="306">
        <f t="shared" ca="1" si="422"/>
        <v>-1.4649092273853284</v>
      </c>
      <c r="N962" s="304">
        <f t="shared" ca="1" si="423"/>
        <v>-83.933116098949554</v>
      </c>
      <c r="P962" s="310">
        <f t="shared" ca="1" si="424"/>
        <v>23</v>
      </c>
      <c r="Q962" s="304">
        <f t="shared" ca="1" si="425"/>
        <v>0</v>
      </c>
      <c r="R962" s="306">
        <f t="shared" ca="1" si="426"/>
        <v>0</v>
      </c>
      <c r="S962" s="307">
        <f t="shared" ca="1" si="427"/>
        <v>7.8079999999999892</v>
      </c>
      <c r="T962" s="304">
        <f t="shared" ca="1" si="407"/>
        <v>76.5964799999999</v>
      </c>
      <c r="U962" s="311">
        <f t="shared" ca="1" si="408"/>
        <v>0</v>
      </c>
      <c r="V962" s="306">
        <f t="shared" ca="1" si="409"/>
        <v>1.2257948253636557</v>
      </c>
      <c r="W962" s="304">
        <f t="shared" ca="1" si="410"/>
        <v>59.547888442218024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2.1285684946240675</v>
      </c>
      <c r="AH962" s="304">
        <f t="shared" ca="1" si="434"/>
        <v>-7.6264867483424013</v>
      </c>
    </row>
    <row r="963" spans="1:34" x14ac:dyDescent="0.2">
      <c r="A963" s="347">
        <f t="shared" ca="1" si="412"/>
        <v>1E-4</v>
      </c>
      <c r="B963" s="304">
        <f t="shared" ca="1" si="413"/>
        <v>35.124800000001009</v>
      </c>
      <c r="D963" s="306">
        <f t="shared" ca="1" si="414"/>
        <v>-0.80604214929179807</v>
      </c>
      <c r="E963" s="307">
        <f t="shared" ca="1" si="415"/>
        <v>-2.2261920524333032</v>
      </c>
      <c r="F963" s="304">
        <f t="shared" ca="1" si="416"/>
        <v>2.3676222250925387</v>
      </c>
      <c r="G963" s="306">
        <f t="shared" ca="1" si="417"/>
        <v>12.905416261016319</v>
      </c>
      <c r="H963" s="307">
        <f t="shared" ca="1" si="418"/>
        <v>-121.42415780650342</v>
      </c>
      <c r="I963" s="304">
        <f t="shared" ca="1" si="419"/>
        <v>122.10804997169004</v>
      </c>
      <c r="J963" s="306">
        <f t="shared" ca="1" si="420"/>
        <v>874.13727041639572</v>
      </c>
      <c r="K963" s="307">
        <f t="shared" ca="1" si="421"/>
        <v>-6.498408455399594</v>
      </c>
      <c r="L963" s="304">
        <f t="shared" ca="1" si="406"/>
        <v>874.16142493447978</v>
      </c>
      <c r="M963" s="306">
        <f t="shared" ca="1" si="422"/>
        <v>-1.4649100764795837</v>
      </c>
      <c r="N963" s="304">
        <f t="shared" ca="1" si="423"/>
        <v>-83.933164748466794</v>
      </c>
      <c r="P963" s="310">
        <f t="shared" ca="1" si="424"/>
        <v>23</v>
      </c>
      <c r="Q963" s="304">
        <f t="shared" ca="1" si="425"/>
        <v>0</v>
      </c>
      <c r="R963" s="306">
        <f t="shared" ca="1" si="426"/>
        <v>0</v>
      </c>
      <c r="S963" s="307">
        <f t="shared" ca="1" si="427"/>
        <v>7.8079999999999892</v>
      </c>
      <c r="T963" s="304">
        <f t="shared" ca="1" si="407"/>
        <v>76.5964799999999</v>
      </c>
      <c r="U963" s="311">
        <f t="shared" ca="1" si="408"/>
        <v>0</v>
      </c>
      <c r="V963" s="306">
        <f t="shared" ca="1" si="409"/>
        <v>1.2257963137743946</v>
      </c>
      <c r="W963" s="304">
        <f t="shared" ca="1" si="410"/>
        <v>59.548168351054471</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2.1285335257098907</v>
      </c>
      <c r="AH963" s="304">
        <f t="shared" ca="1" si="434"/>
        <v>-7.6265225976201467</v>
      </c>
    </row>
    <row r="964" spans="1:34" x14ac:dyDescent="0.2">
      <c r="A964" s="347">
        <f t="shared" ca="1" si="412"/>
        <v>1E-4</v>
      </c>
      <c r="B964" s="304">
        <f t="shared" ca="1" si="413"/>
        <v>35.124900000001013</v>
      </c>
      <c r="D964" s="306">
        <f t="shared" ca="1" si="414"/>
        <v>-0.8060394987485654</v>
      </c>
      <c r="E964" s="307">
        <f t="shared" ca="1" si="415"/>
        <v>-2.2261557198300554</v>
      </c>
      <c r="F964" s="304">
        <f t="shared" ca="1" si="416"/>
        <v>2.3675871604810901</v>
      </c>
      <c r="G964" s="306">
        <f t="shared" ca="1" si="417"/>
        <v>12.905335657066443</v>
      </c>
      <c r="H964" s="307">
        <f t="shared" ca="1" si="418"/>
        <v>-121.4243804220754</v>
      </c>
      <c r="I964" s="304">
        <f t="shared" ca="1" si="419"/>
        <v>122.10826282158976</v>
      </c>
      <c r="J964" s="306">
        <f t="shared" ca="1" si="420"/>
        <v>874.13727041639572</v>
      </c>
      <c r="K964" s="307">
        <f t="shared" ca="1" si="421"/>
        <v>-6.5105508823110227</v>
      </c>
      <c r="L964" s="304">
        <f t="shared" ref="L964:L1004" ca="1" si="435">SQRT(pos_x^2+pos_z^2)</f>
        <v>874.16151528411388</v>
      </c>
      <c r="M964" s="306">
        <f t="shared" ca="1" si="422"/>
        <v>-1.4649109255655755</v>
      </c>
      <c r="N964" s="304">
        <f t="shared" ca="1" si="423"/>
        <v>-83.933213397510556</v>
      </c>
      <c r="P964" s="310">
        <f t="shared" ca="1" si="424"/>
        <v>23</v>
      </c>
      <c r="Q964" s="304">
        <f t="shared" ca="1" si="425"/>
        <v>0</v>
      </c>
      <c r="R964" s="306">
        <f t="shared" ca="1" si="426"/>
        <v>0</v>
      </c>
      <c r="S964" s="307">
        <f t="shared" ca="1" si="427"/>
        <v>7.8079999999999892</v>
      </c>
      <c r="T964" s="304">
        <f t="shared" ref="T964:T1004" ca="1" si="436">m*g</f>
        <v>76.5964799999999</v>
      </c>
      <c r="U964" s="311">
        <f t="shared" ref="U964:U1004" ca="1" si="437">IF(pos_xz&lt;L_rampe,Poids*COS(Beta),0)</f>
        <v>0</v>
      </c>
      <c r="V964" s="306">
        <f t="shared" ref="V964:V1004" ca="1" si="438">Rho_moyen*(20000-Alt_rampe-pos_z)/(20000+Alt_rampe+pos_z)</f>
        <v>1.2257978021896705</v>
      </c>
      <c r="W964" s="304">
        <f t="shared" ref="W964:W1003" ca="1" si="439">1/2*Rho*Sref*Cx*vit_xz^2</f>
        <v>59.54844825756674</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2.1284985570777799</v>
      </c>
      <c r="AH964" s="304">
        <f t="shared" ca="1" si="434"/>
        <v>-7.6265584466002245</v>
      </c>
    </row>
    <row r="965" spans="1:34" x14ac:dyDescent="0.2">
      <c r="A965" s="347">
        <f t="shared" ref="A965:A1004" ca="1" si="441">IF(B964+0.01&lt;=T_ini+ROUNDUP(Temps_fin_propu,0), 0.01, IF(K964&gt;0, 0.1, 0.0001))</f>
        <v>1E-4</v>
      </c>
      <c r="B965" s="304">
        <f t="shared" ref="B965:B1004" ca="1" si="442">B964+pas</f>
        <v>35.125000000001016</v>
      </c>
      <c r="D965" s="306">
        <f t="shared" ref="D965:D1004" ca="1" si="443">IF(AND(L964&lt;L_rampe,Poussee&lt;Poids*SIN(M964)),0,(-W964+Poussee)/m*COS(M964)-U964/m*SIN(M964))</f>
        <v>-0.80603684817542487</v>
      </c>
      <c r="E965" s="307">
        <f t="shared" ref="E965:E1004" ca="1" si="444">IF(AND(L964&lt;L_rampe,Poussee&lt;Poids*SIN(M964)),0,(-W964+Poussee)/m*SIN(M964)+U964/m*COS(M964)-Poids/m)</f>
        <v>-2.2261193875285015</v>
      </c>
      <c r="F965" s="304">
        <f t="shared" ref="F965:F1004" ca="1" si="445">SQRT(acc_x^2+acc_z^2)</f>
        <v>2.3675520961843359</v>
      </c>
      <c r="G965" s="306">
        <f t="shared" ref="G965:G1004" ca="1" si="446">G964+acc_x*pas</f>
        <v>12.905255053381625</v>
      </c>
      <c r="H965" s="307">
        <f t="shared" ref="H965:H1004" ca="1" si="447">H964+acc_z*pas</f>
        <v>-121.42460303401415</v>
      </c>
      <c r="I965" s="304">
        <f t="shared" ref="I965:I1004" ca="1" si="448">SQRT(vit_x^2+vit_z^2)</f>
        <v>122.10847566799265</v>
      </c>
      <c r="J965" s="306">
        <f t="shared" ref="J965:J1004" ca="1" si="449">J964+0.5*(vit_x+G964)*pas*(K964&gt;=0)</f>
        <v>874.13727041639572</v>
      </c>
      <c r="K965" s="307">
        <f t="shared" ref="K965:K1004" ca="1" si="450">K964+0.5*(vit_z+H964)*pas</f>
        <v>-6.5226933314838274</v>
      </c>
      <c r="L965" s="304">
        <f t="shared" ca="1" si="435"/>
        <v>874.16160580256758</v>
      </c>
      <c r="M965" s="306">
        <f t="shared" ref="M965:M1004" ca="1" si="451">IF(AND(L964&gt;L_rampe,G965&gt;0),ATAN2(G965,H965),$M$4)</f>
        <v>-1.4649117746433042</v>
      </c>
      <c r="N965" s="304">
        <f t="shared" ref="N965:N1004" ca="1" si="452">DEGREES(Beta)</f>
        <v>-83.933262046080898</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7.8079999999999892</v>
      </c>
      <c r="T965" s="304">
        <f t="shared" ca="1" si="436"/>
        <v>76.5964799999999</v>
      </c>
      <c r="U965" s="311">
        <f t="shared" ca="1" si="437"/>
        <v>0</v>
      </c>
      <c r="V965" s="306">
        <f t="shared" ca="1" si="438"/>
        <v>1.2257992906094834</v>
      </c>
      <c r="W965" s="304">
        <f t="shared" ca="1" si="439"/>
        <v>59.548728161754816</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2.1284635887277368</v>
      </c>
      <c r="AH965" s="304">
        <f t="shared" ref="AH965:AH1004" ca="1" si="463">IF(AND(L964&lt;L_rampe,Poussee&lt;Poids*SIN(M964)), g*SIN(M964), (-W964+Poussee)/m)</f>
        <v>-7.6265942952826364</v>
      </c>
    </row>
    <row r="966" spans="1:34" x14ac:dyDescent="0.2">
      <c r="A966" s="347">
        <f t="shared" ca="1" si="441"/>
        <v>1E-4</v>
      </c>
      <c r="B966" s="304">
        <f t="shared" ca="1" si="442"/>
        <v>35.125100000001019</v>
      </c>
      <c r="D966" s="306">
        <f t="shared" ca="1" si="443"/>
        <v>-0.80603419757237282</v>
      </c>
      <c r="E966" s="307">
        <f t="shared" ca="1" si="444"/>
        <v>-2.2260830555286431</v>
      </c>
      <c r="F966" s="304">
        <f t="shared" ca="1" si="445"/>
        <v>2.3675170322022772</v>
      </c>
      <c r="G966" s="306">
        <f t="shared" ca="1" si="446"/>
        <v>12.905174449961867</v>
      </c>
      <c r="H966" s="307">
        <f t="shared" ca="1" si="447"/>
        <v>-121.4248256423197</v>
      </c>
      <c r="I966" s="304">
        <f t="shared" ca="1" si="448"/>
        <v>122.10868851089872</v>
      </c>
      <c r="J966" s="306">
        <f t="shared" ca="1" si="449"/>
        <v>874.13727041639572</v>
      </c>
      <c r="K966" s="307">
        <f t="shared" ca="1" si="450"/>
        <v>-6.5348358029176437</v>
      </c>
      <c r="L966" s="304">
        <f t="shared" ca="1" si="435"/>
        <v>874.16169648984157</v>
      </c>
      <c r="M966" s="306">
        <f t="shared" ca="1" si="451"/>
        <v>-1.4649126237127696</v>
      </c>
      <c r="N966" s="304">
        <f t="shared" ca="1" si="452"/>
        <v>-83.933310694177777</v>
      </c>
      <c r="P966" s="310">
        <f t="shared" ca="1" si="453"/>
        <v>23</v>
      </c>
      <c r="Q966" s="304">
        <f t="shared" ca="1" si="454"/>
        <v>0</v>
      </c>
      <c r="R966" s="306">
        <f t="shared" ca="1" si="455"/>
        <v>0</v>
      </c>
      <c r="S966" s="307">
        <f t="shared" ca="1" si="456"/>
        <v>7.8079999999999892</v>
      </c>
      <c r="T966" s="304">
        <f t="shared" ca="1" si="436"/>
        <v>76.5964799999999</v>
      </c>
      <c r="U966" s="311">
        <f t="shared" ca="1" si="437"/>
        <v>0</v>
      </c>
      <c r="V966" s="306">
        <f t="shared" ca="1" si="438"/>
        <v>1.2258007790338328</v>
      </c>
      <c r="W966" s="304">
        <f t="shared" ca="1" si="439"/>
        <v>59.549008063618672</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2.1284286206597587</v>
      </c>
      <c r="AH966" s="304">
        <f t="shared" ca="1" si="463"/>
        <v>-7.6266301436673798</v>
      </c>
    </row>
    <row r="967" spans="1:34" x14ac:dyDescent="0.2">
      <c r="A967" s="347">
        <f t="shared" ca="1" si="441"/>
        <v>1E-4</v>
      </c>
      <c r="B967" s="304">
        <f t="shared" ca="1" si="442"/>
        <v>35.125200000001023</v>
      </c>
      <c r="D967" s="306">
        <f t="shared" ca="1" si="443"/>
        <v>-0.80603154693941381</v>
      </c>
      <c r="E967" s="307">
        <f t="shared" ca="1" si="444"/>
        <v>-2.2260467238304829</v>
      </c>
      <c r="F967" s="304">
        <f t="shared" ca="1" si="445"/>
        <v>2.3674819685349182</v>
      </c>
      <c r="G967" s="306">
        <f t="shared" ca="1" si="446"/>
        <v>12.905093846807173</v>
      </c>
      <c r="H967" s="307">
        <f t="shared" ca="1" si="447"/>
        <v>-121.42504824699209</v>
      </c>
      <c r="I967" s="304">
        <f t="shared" ca="1" si="448"/>
        <v>122.10890135030803</v>
      </c>
      <c r="J967" s="306">
        <f t="shared" ca="1" si="449"/>
        <v>874.13727041639572</v>
      </c>
      <c r="K967" s="307">
        <f t="shared" ca="1" si="450"/>
        <v>-6.5469782966121093</v>
      </c>
      <c r="L967" s="304">
        <f t="shared" ca="1" si="435"/>
        <v>874.161787345937</v>
      </c>
      <c r="M967" s="306">
        <f t="shared" ca="1" si="451"/>
        <v>-1.4649134727739723</v>
      </c>
      <c r="N967" s="304">
        <f t="shared" ca="1" si="452"/>
        <v>-83.933359341801236</v>
      </c>
      <c r="P967" s="310">
        <f t="shared" ca="1" si="453"/>
        <v>23</v>
      </c>
      <c r="Q967" s="304">
        <f t="shared" ca="1" si="454"/>
        <v>0</v>
      </c>
      <c r="R967" s="306">
        <f t="shared" ca="1" si="455"/>
        <v>0</v>
      </c>
      <c r="S967" s="307">
        <f t="shared" ca="1" si="456"/>
        <v>7.8079999999999892</v>
      </c>
      <c r="T967" s="304">
        <f t="shared" ca="1" si="436"/>
        <v>76.5964799999999</v>
      </c>
      <c r="U967" s="311">
        <f t="shared" ca="1" si="437"/>
        <v>0</v>
      </c>
      <c r="V967" s="306">
        <f t="shared" ca="1" si="438"/>
        <v>1.2258022674627185</v>
      </c>
      <c r="W967" s="304">
        <f t="shared" ca="1" si="439"/>
        <v>59.54928796315837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2.1283936528738563</v>
      </c>
      <c r="AH967" s="304">
        <f t="shared" ca="1" si="463"/>
        <v>-7.626665991754451</v>
      </c>
    </row>
    <row r="968" spans="1:34" x14ac:dyDescent="0.2">
      <c r="A968" s="347">
        <f t="shared" ca="1" si="441"/>
        <v>1E-4</v>
      </c>
      <c r="B968" s="304">
        <f t="shared" ca="1" si="442"/>
        <v>35.125300000001026</v>
      </c>
      <c r="D968" s="306">
        <f t="shared" ca="1" si="443"/>
        <v>-0.80602889627654561</v>
      </c>
      <c r="E968" s="307">
        <f t="shared" ca="1" si="444"/>
        <v>-2.2260103924340138</v>
      </c>
      <c r="F968" s="304">
        <f t="shared" ca="1" si="445"/>
        <v>2.3674469051822511</v>
      </c>
      <c r="G968" s="306">
        <f t="shared" ca="1" si="446"/>
        <v>12.905013243917544</v>
      </c>
      <c r="H968" s="307">
        <f t="shared" ca="1" si="447"/>
        <v>-121.42527084803133</v>
      </c>
      <c r="I968" s="304">
        <f t="shared" ca="1" si="448"/>
        <v>122.10911418622058</v>
      </c>
      <c r="J968" s="306">
        <f t="shared" ca="1" si="449"/>
        <v>874.13727041639572</v>
      </c>
      <c r="K968" s="307">
        <f t="shared" ca="1" si="450"/>
        <v>-6.5591208125668601</v>
      </c>
      <c r="L968" s="304">
        <f t="shared" ca="1" si="435"/>
        <v>874.16187837085454</v>
      </c>
      <c r="M968" s="306">
        <f t="shared" ca="1" si="451"/>
        <v>-1.4649143218269118</v>
      </c>
      <c r="N968" s="304">
        <f t="shared" ca="1" si="452"/>
        <v>-83.933407988951259</v>
      </c>
      <c r="P968" s="310">
        <f t="shared" ca="1" si="453"/>
        <v>23</v>
      </c>
      <c r="Q968" s="304">
        <f t="shared" ca="1" si="454"/>
        <v>0</v>
      </c>
      <c r="R968" s="306">
        <f t="shared" ca="1" si="455"/>
        <v>0</v>
      </c>
      <c r="S968" s="307">
        <f t="shared" ca="1" si="456"/>
        <v>7.8079999999999892</v>
      </c>
      <c r="T968" s="304">
        <f t="shared" ca="1" si="436"/>
        <v>76.5964799999999</v>
      </c>
      <c r="U968" s="311">
        <f t="shared" ca="1" si="437"/>
        <v>0</v>
      </c>
      <c r="V968" s="306">
        <f t="shared" ca="1" si="438"/>
        <v>1.2258037558961408</v>
      </c>
      <c r="W968" s="304">
        <f t="shared" ca="1" si="439"/>
        <v>59.549567860373855</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2.1283586853700172</v>
      </c>
      <c r="AH968" s="304">
        <f t="shared" ca="1" si="463"/>
        <v>-7.6267018395438591</v>
      </c>
    </row>
    <row r="969" spans="1:34" x14ac:dyDescent="0.2">
      <c r="A969" s="347">
        <f t="shared" ca="1" si="441"/>
        <v>1E-4</v>
      </c>
      <c r="B969" s="304">
        <f t="shared" ca="1" si="442"/>
        <v>35.125400000001029</v>
      </c>
      <c r="D969" s="306">
        <f t="shared" ca="1" si="443"/>
        <v>-0.80602624558377223</v>
      </c>
      <c r="E969" s="307">
        <f t="shared" ca="1" si="444"/>
        <v>-2.2259740613392411</v>
      </c>
      <c r="F969" s="304">
        <f t="shared" ca="1" si="445"/>
        <v>2.3674118421442829</v>
      </c>
      <c r="G969" s="306">
        <f t="shared" ca="1" si="446"/>
        <v>12.904932641292985</v>
      </c>
      <c r="H969" s="307">
        <f t="shared" ca="1" si="447"/>
        <v>-121.42549344543747</v>
      </c>
      <c r="I969" s="304">
        <f t="shared" ca="1" si="448"/>
        <v>122.10932701863641</v>
      </c>
      <c r="J969" s="306">
        <f t="shared" ca="1" si="449"/>
        <v>874.13727041639572</v>
      </c>
      <c r="K969" s="307">
        <f t="shared" ca="1" si="450"/>
        <v>-6.5712633507815337</v>
      </c>
      <c r="L969" s="304">
        <f t="shared" ca="1" si="435"/>
        <v>874.16196956459521</v>
      </c>
      <c r="M969" s="306">
        <f t="shared" ca="1" si="451"/>
        <v>-1.4649151708715888</v>
      </c>
      <c r="N969" s="304">
        <f t="shared" ca="1" si="452"/>
        <v>-83.933456635627877</v>
      </c>
      <c r="P969" s="310">
        <f t="shared" ca="1" si="453"/>
        <v>23</v>
      </c>
      <c r="Q969" s="304">
        <f t="shared" ca="1" si="454"/>
        <v>0</v>
      </c>
      <c r="R969" s="306">
        <f t="shared" ca="1" si="455"/>
        <v>0</v>
      </c>
      <c r="S969" s="307">
        <f t="shared" ca="1" si="456"/>
        <v>7.8079999999999892</v>
      </c>
      <c r="T969" s="304">
        <f t="shared" ca="1" si="436"/>
        <v>76.5964799999999</v>
      </c>
      <c r="U969" s="311">
        <f t="shared" ca="1" si="437"/>
        <v>0</v>
      </c>
      <c r="V969" s="306">
        <f t="shared" ca="1" si="438"/>
        <v>1.2258052443341001</v>
      </c>
      <c r="W969" s="304">
        <f t="shared" ca="1" si="439"/>
        <v>59.549847755265169</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2.1283237181482484</v>
      </c>
      <c r="AH969" s="304">
        <f t="shared" ca="1" si="463"/>
        <v>-7.6267376870355967</v>
      </c>
    </row>
    <row r="970" spans="1:34" x14ac:dyDescent="0.2">
      <c r="A970" s="347">
        <f t="shared" ca="1" si="441"/>
        <v>1E-4</v>
      </c>
      <c r="B970" s="304">
        <f t="shared" ca="1" si="442"/>
        <v>35.125500000001033</v>
      </c>
      <c r="D970" s="306">
        <f t="shared" ca="1" si="443"/>
        <v>-0.80602359486109088</v>
      </c>
      <c r="E970" s="307">
        <f t="shared" ca="1" si="444"/>
        <v>-2.2259377305461614</v>
      </c>
      <c r="F970" s="304">
        <f t="shared" ca="1" si="445"/>
        <v>2.3673767794210097</v>
      </c>
      <c r="G970" s="306">
        <f t="shared" ca="1" si="446"/>
        <v>12.9048520389335</v>
      </c>
      <c r="H970" s="307">
        <f t="shared" ca="1" si="447"/>
        <v>-121.42571603921053</v>
      </c>
      <c r="I970" s="304">
        <f t="shared" ca="1" si="448"/>
        <v>122.10953984755554</v>
      </c>
      <c r="J970" s="306">
        <f t="shared" ca="1" si="449"/>
        <v>874.13727041639572</v>
      </c>
      <c r="K970" s="307">
        <f t="shared" ca="1" si="450"/>
        <v>-6.5834059112557659</v>
      </c>
      <c r="L970" s="304">
        <f t="shared" ca="1" si="435"/>
        <v>874.1620609271597</v>
      </c>
      <c r="M970" s="306">
        <f t="shared" ca="1" si="451"/>
        <v>-1.4649160199080029</v>
      </c>
      <c r="N970" s="304">
        <f t="shared" ca="1" si="452"/>
        <v>-83.933505281831046</v>
      </c>
      <c r="P970" s="310">
        <f t="shared" ca="1" si="453"/>
        <v>23</v>
      </c>
      <c r="Q970" s="304">
        <f t="shared" ca="1" si="454"/>
        <v>0</v>
      </c>
      <c r="R970" s="306">
        <f t="shared" ca="1" si="455"/>
        <v>0</v>
      </c>
      <c r="S970" s="307">
        <f t="shared" ca="1" si="456"/>
        <v>7.8079999999999892</v>
      </c>
      <c r="T970" s="304">
        <f t="shared" ca="1" si="436"/>
        <v>76.5964799999999</v>
      </c>
      <c r="U970" s="311">
        <f t="shared" ca="1" si="437"/>
        <v>0</v>
      </c>
      <c r="V970" s="306">
        <f t="shared" ca="1" si="438"/>
        <v>1.2258067327765956</v>
      </c>
      <c r="W970" s="304">
        <f t="shared" ca="1" si="439"/>
        <v>59.550127647832284</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2.1282887512085473</v>
      </c>
      <c r="AH970" s="304">
        <f t="shared" ca="1" si="463"/>
        <v>-7.6267735342296685</v>
      </c>
    </row>
    <row r="971" spans="1:34" x14ac:dyDescent="0.2">
      <c r="A971" s="347">
        <f t="shared" ca="1" si="441"/>
        <v>1E-4</v>
      </c>
      <c r="B971" s="304">
        <f t="shared" ca="1" si="442"/>
        <v>35.125600000001036</v>
      </c>
      <c r="D971" s="306">
        <f t="shared" ca="1" si="443"/>
        <v>-0.80602094410850622</v>
      </c>
      <c r="E971" s="307">
        <f t="shared" ca="1" si="444"/>
        <v>-2.2259014000547781</v>
      </c>
      <c r="F971" s="304">
        <f t="shared" ca="1" si="445"/>
        <v>2.3673417170124362</v>
      </c>
      <c r="G971" s="306">
        <f t="shared" ca="1" si="446"/>
        <v>12.90477143683909</v>
      </c>
      <c r="H971" s="307">
        <f t="shared" ca="1" si="447"/>
        <v>-121.42593862935054</v>
      </c>
      <c r="I971" s="304">
        <f t="shared" ca="1" si="448"/>
        <v>122.10975267297802</v>
      </c>
      <c r="J971" s="306">
        <f t="shared" ca="1" si="449"/>
        <v>874.13727041639572</v>
      </c>
      <c r="K971" s="307">
        <f t="shared" ca="1" si="450"/>
        <v>-6.5955484939891944</v>
      </c>
      <c r="L971" s="304">
        <f t="shared" ca="1" si="435"/>
        <v>874.16215245854903</v>
      </c>
      <c r="M971" s="306">
        <f t="shared" ca="1" si="451"/>
        <v>-1.4649168689361547</v>
      </c>
      <c r="N971" s="304">
        <f t="shared" ca="1" si="452"/>
        <v>-83.933553927560837</v>
      </c>
      <c r="P971" s="310">
        <f t="shared" ca="1" si="453"/>
        <v>23</v>
      </c>
      <c r="Q971" s="304">
        <f t="shared" ca="1" si="454"/>
        <v>0</v>
      </c>
      <c r="R971" s="306">
        <f t="shared" ca="1" si="455"/>
        <v>0</v>
      </c>
      <c r="S971" s="307">
        <f t="shared" ca="1" si="456"/>
        <v>7.8079999999999892</v>
      </c>
      <c r="T971" s="304">
        <f t="shared" ca="1" si="436"/>
        <v>76.5964799999999</v>
      </c>
      <c r="U971" s="311">
        <f t="shared" ca="1" si="437"/>
        <v>0</v>
      </c>
      <c r="V971" s="306">
        <f t="shared" ca="1" si="438"/>
        <v>1.2258082212236274</v>
      </c>
      <c r="W971" s="304">
        <f t="shared" ca="1" si="439"/>
        <v>59.550407538075191</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2.1282537845509149</v>
      </c>
      <c r="AH971" s="304">
        <f t="shared" ca="1" si="463"/>
        <v>-7.6268093811260718</v>
      </c>
    </row>
    <row r="972" spans="1:34" x14ac:dyDescent="0.2">
      <c r="A972" s="347">
        <f t="shared" ca="1" si="441"/>
        <v>1E-4</v>
      </c>
      <c r="B972" s="304">
        <f t="shared" ca="1" si="442"/>
        <v>35.125700000001039</v>
      </c>
      <c r="D972" s="306">
        <f t="shared" ca="1" si="443"/>
        <v>-0.8060182933260146</v>
      </c>
      <c r="E972" s="307">
        <f t="shared" ca="1" si="444"/>
        <v>-2.2258650698650913</v>
      </c>
      <c r="F972" s="304">
        <f t="shared" ca="1" si="445"/>
        <v>2.3673066549185613</v>
      </c>
      <c r="G972" s="306">
        <f t="shared" ca="1" si="446"/>
        <v>12.904690835009758</v>
      </c>
      <c r="H972" s="307">
        <f t="shared" ca="1" si="447"/>
        <v>-121.42616121585753</v>
      </c>
      <c r="I972" s="304">
        <f t="shared" ca="1" si="448"/>
        <v>122.10996549490385</v>
      </c>
      <c r="J972" s="306">
        <f t="shared" ca="1" si="449"/>
        <v>874.13727041639572</v>
      </c>
      <c r="K972" s="307">
        <f t="shared" ca="1" si="450"/>
        <v>-6.607691098981455</v>
      </c>
      <c r="L972" s="304">
        <f t="shared" ca="1" si="435"/>
        <v>874.162244158764</v>
      </c>
      <c r="M972" s="306">
        <f t="shared" ca="1" si="451"/>
        <v>-1.4649177179560438</v>
      </c>
      <c r="N972" s="304">
        <f t="shared" ca="1" si="452"/>
        <v>-83.933602572817193</v>
      </c>
      <c r="P972" s="310">
        <f t="shared" ca="1" si="453"/>
        <v>23</v>
      </c>
      <c r="Q972" s="304">
        <f t="shared" ca="1" si="454"/>
        <v>0</v>
      </c>
      <c r="R972" s="306">
        <f t="shared" ca="1" si="455"/>
        <v>0</v>
      </c>
      <c r="S972" s="307">
        <f t="shared" ca="1" si="456"/>
        <v>7.8079999999999892</v>
      </c>
      <c r="T972" s="304">
        <f t="shared" ca="1" si="436"/>
        <v>76.5964799999999</v>
      </c>
      <c r="U972" s="311">
        <f t="shared" ca="1" si="437"/>
        <v>0</v>
      </c>
      <c r="V972" s="306">
        <f t="shared" ca="1" si="438"/>
        <v>1.2258097096751961</v>
      </c>
      <c r="W972" s="304">
        <f t="shared" ca="1" si="439"/>
        <v>59.550687425993914</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2.1282188181753563</v>
      </c>
      <c r="AH972" s="304">
        <f t="shared" ca="1" si="463"/>
        <v>-7.6268452277248047</v>
      </c>
    </row>
    <row r="973" spans="1:34" x14ac:dyDescent="0.2">
      <c r="A973" s="347">
        <f t="shared" ca="1" si="441"/>
        <v>1E-4</v>
      </c>
      <c r="B973" s="304">
        <f t="shared" ca="1" si="442"/>
        <v>35.125800000001043</v>
      </c>
      <c r="D973" s="306">
        <f t="shared" ca="1" si="443"/>
        <v>-0.80601564251362168</v>
      </c>
      <c r="E973" s="307">
        <f t="shared" ca="1" si="444"/>
        <v>-2.2258287399770982</v>
      </c>
      <c r="F973" s="304">
        <f t="shared" ca="1" si="445"/>
        <v>2.3672715931393853</v>
      </c>
      <c r="G973" s="306">
        <f t="shared" ca="1" si="446"/>
        <v>12.904610233445506</v>
      </c>
      <c r="H973" s="307">
        <f t="shared" ca="1" si="447"/>
        <v>-121.42638379873154</v>
      </c>
      <c r="I973" s="304">
        <f t="shared" ca="1" si="448"/>
        <v>122.11017831333307</v>
      </c>
      <c r="J973" s="306">
        <f t="shared" ca="1" si="449"/>
        <v>874.13727041639572</v>
      </c>
      <c r="K973" s="307">
        <f t="shared" ca="1" si="450"/>
        <v>-6.6198337262321845</v>
      </c>
      <c r="L973" s="304">
        <f t="shared" ca="1" si="435"/>
        <v>874.1623360278054</v>
      </c>
      <c r="M973" s="306">
        <f t="shared" ca="1" si="451"/>
        <v>-1.4649185669676708</v>
      </c>
      <c r="N973" s="304">
        <f t="shared" ca="1" si="452"/>
        <v>-83.933651217600186</v>
      </c>
      <c r="P973" s="310">
        <f t="shared" ca="1" si="453"/>
        <v>23</v>
      </c>
      <c r="Q973" s="304">
        <f t="shared" ca="1" si="454"/>
        <v>0</v>
      </c>
      <c r="R973" s="306">
        <f t="shared" ca="1" si="455"/>
        <v>0</v>
      </c>
      <c r="S973" s="307">
        <f t="shared" ca="1" si="456"/>
        <v>7.8079999999999892</v>
      </c>
      <c r="T973" s="304">
        <f t="shared" ca="1" si="436"/>
        <v>76.5964799999999</v>
      </c>
      <c r="U973" s="311">
        <f t="shared" ca="1" si="437"/>
        <v>0</v>
      </c>
      <c r="V973" s="306">
        <f t="shared" ca="1" si="438"/>
        <v>1.2258111981313009</v>
      </c>
      <c r="W973" s="304">
        <f t="shared" ca="1" si="439"/>
        <v>59.55096731158843</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2.1281838520818663</v>
      </c>
      <c r="AH973" s="304">
        <f t="shared" ca="1" si="463"/>
        <v>-7.6268810740258708</v>
      </c>
    </row>
    <row r="974" spans="1:34" x14ac:dyDescent="0.2">
      <c r="A974" s="347">
        <f t="shared" ca="1" si="441"/>
        <v>1E-4</v>
      </c>
      <c r="B974" s="304">
        <f t="shared" ca="1" si="442"/>
        <v>35.125900000001046</v>
      </c>
      <c r="D974" s="306">
        <f t="shared" ca="1" si="443"/>
        <v>-0.80601299167132345</v>
      </c>
      <c r="E974" s="307">
        <f t="shared" ca="1" si="444"/>
        <v>-2.2257924103908024</v>
      </c>
      <c r="F974" s="304">
        <f t="shared" ca="1" si="445"/>
        <v>2.3672365316749095</v>
      </c>
      <c r="G974" s="306">
        <f t="shared" ca="1" si="446"/>
        <v>12.904529632146339</v>
      </c>
      <c r="H974" s="307">
        <f t="shared" ca="1" si="447"/>
        <v>-121.42660637797258</v>
      </c>
      <c r="I974" s="304">
        <f t="shared" ca="1" si="448"/>
        <v>122.1103911282657</v>
      </c>
      <c r="J974" s="306">
        <f t="shared" ca="1" si="449"/>
        <v>874.13727041639572</v>
      </c>
      <c r="K974" s="307">
        <f t="shared" ca="1" si="450"/>
        <v>-6.6319763757410195</v>
      </c>
      <c r="L974" s="304">
        <f t="shared" ca="1" si="435"/>
        <v>874.16242806567436</v>
      </c>
      <c r="M974" s="306">
        <f t="shared" ca="1" si="451"/>
        <v>-1.4649194159710355</v>
      </c>
      <c r="N974" s="304">
        <f t="shared" ca="1" si="452"/>
        <v>-83.933699861909773</v>
      </c>
      <c r="P974" s="310">
        <f t="shared" ca="1" si="453"/>
        <v>23</v>
      </c>
      <c r="Q974" s="304">
        <f t="shared" ca="1" si="454"/>
        <v>0</v>
      </c>
      <c r="R974" s="306">
        <f t="shared" ca="1" si="455"/>
        <v>0</v>
      </c>
      <c r="S974" s="307">
        <f t="shared" ca="1" si="456"/>
        <v>7.8079999999999892</v>
      </c>
      <c r="T974" s="304">
        <f t="shared" ca="1" si="436"/>
        <v>76.5964799999999</v>
      </c>
      <c r="U974" s="311">
        <f t="shared" ca="1" si="437"/>
        <v>0</v>
      </c>
      <c r="V974" s="306">
        <f t="shared" ca="1" si="438"/>
        <v>1.2258126865919423</v>
      </c>
      <c r="W974" s="304">
        <f t="shared" ca="1" si="439"/>
        <v>59.551247194858767</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2.1281488862704485</v>
      </c>
      <c r="AH974" s="304">
        <f t="shared" ca="1" si="463"/>
        <v>-7.6269169200292666</v>
      </c>
    </row>
    <row r="975" spans="1:34" x14ac:dyDescent="0.2">
      <c r="A975" s="347">
        <f t="shared" ca="1" si="441"/>
        <v>1E-4</v>
      </c>
      <c r="B975" s="304">
        <f t="shared" ca="1" si="442"/>
        <v>35.126000000001049</v>
      </c>
      <c r="D975" s="306">
        <f t="shared" ca="1" si="443"/>
        <v>-0.8060103407991237</v>
      </c>
      <c r="E975" s="307">
        <f t="shared" ca="1" si="444"/>
        <v>-2.2257560811062005</v>
      </c>
      <c r="F975" s="304">
        <f t="shared" ca="1" si="445"/>
        <v>2.3672014705251327</v>
      </c>
      <c r="G975" s="306">
        <f t="shared" ca="1" si="446"/>
        <v>12.904449031112259</v>
      </c>
      <c r="H975" s="307">
        <f t="shared" ca="1" si="447"/>
        <v>-121.42682895358068</v>
      </c>
      <c r="I975" s="304">
        <f t="shared" ca="1" si="448"/>
        <v>122.11060393970179</v>
      </c>
      <c r="J975" s="306">
        <f t="shared" ca="1" si="449"/>
        <v>874.13727041639572</v>
      </c>
      <c r="K975" s="307">
        <f t="shared" ca="1" si="450"/>
        <v>-6.6441190475075969</v>
      </c>
      <c r="L975" s="304">
        <f t="shared" ca="1" si="435"/>
        <v>874.16252027237147</v>
      </c>
      <c r="M975" s="306">
        <f t="shared" ca="1" si="451"/>
        <v>-1.4649202649661381</v>
      </c>
      <c r="N975" s="304">
        <f t="shared" ca="1" si="452"/>
        <v>-83.933748505745982</v>
      </c>
      <c r="P975" s="310">
        <f t="shared" ca="1" si="453"/>
        <v>23</v>
      </c>
      <c r="Q975" s="304">
        <f t="shared" ca="1" si="454"/>
        <v>0</v>
      </c>
      <c r="R975" s="306">
        <f t="shared" ca="1" si="455"/>
        <v>0</v>
      </c>
      <c r="S975" s="307">
        <f t="shared" ca="1" si="456"/>
        <v>7.8079999999999892</v>
      </c>
      <c r="T975" s="304">
        <f t="shared" ca="1" si="436"/>
        <v>76.5964799999999</v>
      </c>
      <c r="U975" s="311">
        <f t="shared" ca="1" si="437"/>
        <v>0</v>
      </c>
      <c r="V975" s="306">
        <f t="shared" ca="1" si="438"/>
        <v>1.2258141750571201</v>
      </c>
      <c r="W975" s="304">
        <f t="shared" ca="1" si="439"/>
        <v>59.55152707580492</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2.1281139207411002</v>
      </c>
      <c r="AH975" s="304">
        <f t="shared" ca="1" si="463"/>
        <v>-7.6269527657349965</v>
      </c>
    </row>
    <row r="976" spans="1:34" x14ac:dyDescent="0.2">
      <c r="A976" s="347">
        <f t="shared" ca="1" si="441"/>
        <v>1E-4</v>
      </c>
      <c r="B976" s="304">
        <f t="shared" ca="1" si="442"/>
        <v>35.126100000001053</v>
      </c>
      <c r="D976" s="306">
        <f t="shared" ca="1" si="443"/>
        <v>-0.80600768989702232</v>
      </c>
      <c r="E976" s="307">
        <f t="shared" ca="1" si="444"/>
        <v>-2.2257197521232914</v>
      </c>
      <c r="F976" s="304">
        <f t="shared" ca="1" si="445"/>
        <v>2.367166409690054</v>
      </c>
      <c r="G976" s="306">
        <f t="shared" ca="1" si="446"/>
        <v>12.90436843034327</v>
      </c>
      <c r="H976" s="307">
        <f t="shared" ca="1" si="447"/>
        <v>-121.4270515255559</v>
      </c>
      <c r="I976" s="304">
        <f t="shared" ca="1" si="448"/>
        <v>122.11081674764135</v>
      </c>
      <c r="J976" s="306">
        <f t="shared" ca="1" si="449"/>
        <v>874.13727041639572</v>
      </c>
      <c r="K976" s="307">
        <f t="shared" ca="1" si="450"/>
        <v>-6.6562617415315533</v>
      </c>
      <c r="L976" s="304">
        <f t="shared" ca="1" si="435"/>
        <v>874.16261264789784</v>
      </c>
      <c r="M976" s="306">
        <f t="shared" ca="1" si="451"/>
        <v>-1.4649211139529787</v>
      </c>
      <c r="N976" s="304">
        <f t="shared" ca="1" si="452"/>
        <v>-83.933797149108813</v>
      </c>
      <c r="P976" s="310">
        <f t="shared" ca="1" si="453"/>
        <v>23</v>
      </c>
      <c r="Q976" s="304">
        <f t="shared" ca="1" si="454"/>
        <v>0</v>
      </c>
      <c r="R976" s="306">
        <f t="shared" ca="1" si="455"/>
        <v>0</v>
      </c>
      <c r="S976" s="307">
        <f t="shared" ca="1" si="456"/>
        <v>7.8079999999999892</v>
      </c>
      <c r="T976" s="304">
        <f t="shared" ca="1" si="436"/>
        <v>76.5964799999999</v>
      </c>
      <c r="U976" s="311">
        <f t="shared" ca="1" si="437"/>
        <v>0</v>
      </c>
      <c r="V976" s="306">
        <f t="shared" ca="1" si="438"/>
        <v>1.2258156635268342</v>
      </c>
      <c r="W976" s="304">
        <f t="shared" ca="1" si="439"/>
        <v>59.551806954426858</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2.1280789554938213</v>
      </c>
      <c r="AH976" s="304">
        <f t="shared" ca="1" si="463"/>
        <v>-7.6269886111430587</v>
      </c>
    </row>
    <row r="977" spans="1:34" x14ac:dyDescent="0.2">
      <c r="A977" s="347">
        <f t="shared" ca="1" si="441"/>
        <v>1E-4</v>
      </c>
      <c r="B977" s="304">
        <f t="shared" ca="1" si="442"/>
        <v>35.126200000001056</v>
      </c>
      <c r="D977" s="306">
        <f t="shared" ca="1" si="443"/>
        <v>-0.80600503896502074</v>
      </c>
      <c r="E977" s="307">
        <f t="shared" ca="1" si="444"/>
        <v>-2.2256834234420815</v>
      </c>
      <c r="F977" s="304">
        <f t="shared" ca="1" si="445"/>
        <v>2.3671313491696799</v>
      </c>
      <c r="G977" s="306">
        <f t="shared" ca="1" si="446"/>
        <v>12.904287829839374</v>
      </c>
      <c r="H977" s="307">
        <f t="shared" ca="1" si="447"/>
        <v>-121.42727409389823</v>
      </c>
      <c r="I977" s="304">
        <f t="shared" ca="1" si="448"/>
        <v>122.1110295520844</v>
      </c>
      <c r="J977" s="306">
        <f t="shared" ca="1" si="449"/>
        <v>874.13727041639572</v>
      </c>
      <c r="K977" s="307">
        <f t="shared" ca="1" si="450"/>
        <v>-6.6684044578125263</v>
      </c>
      <c r="L977" s="304">
        <f t="shared" ca="1" si="435"/>
        <v>874.16270519225418</v>
      </c>
      <c r="M977" s="306">
        <f t="shared" ca="1" si="451"/>
        <v>-1.4649219629315577</v>
      </c>
      <c r="N977" s="304">
        <f t="shared" ca="1" si="452"/>
        <v>-83.933845791998294</v>
      </c>
      <c r="P977" s="310">
        <f t="shared" ca="1" si="453"/>
        <v>23</v>
      </c>
      <c r="Q977" s="304">
        <f t="shared" ca="1" si="454"/>
        <v>0</v>
      </c>
      <c r="R977" s="306">
        <f t="shared" ca="1" si="455"/>
        <v>0</v>
      </c>
      <c r="S977" s="307">
        <f t="shared" ca="1" si="456"/>
        <v>7.8079999999999892</v>
      </c>
      <c r="T977" s="304">
        <f t="shared" ca="1" si="436"/>
        <v>76.5964799999999</v>
      </c>
      <c r="U977" s="311">
        <f t="shared" ca="1" si="437"/>
        <v>0</v>
      </c>
      <c r="V977" s="306">
        <f t="shared" ca="1" si="438"/>
        <v>1.2258171520010848</v>
      </c>
      <c r="W977" s="304">
        <f t="shared" ca="1" si="439"/>
        <v>59.552086830724591</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2.1280439905286181</v>
      </c>
      <c r="AH977" s="304">
        <f t="shared" ca="1" si="463"/>
        <v>-7.6270244562534506</v>
      </c>
    </row>
    <row r="978" spans="1:34" x14ac:dyDescent="0.2">
      <c r="A978" s="347">
        <f t="shared" ca="1" si="441"/>
        <v>1E-4</v>
      </c>
      <c r="B978" s="304">
        <f t="shared" ca="1" si="442"/>
        <v>35.126300000001059</v>
      </c>
      <c r="D978" s="306">
        <f t="shared" ca="1" si="443"/>
        <v>-0.80600238800311708</v>
      </c>
      <c r="E978" s="307">
        <f t="shared" ca="1" si="444"/>
        <v>-2.2256470950625671</v>
      </c>
      <c r="F978" s="304">
        <f t="shared" ca="1" si="445"/>
        <v>2.3670962889640061</v>
      </c>
      <c r="G978" s="306">
        <f t="shared" ca="1" si="446"/>
        <v>12.904207229600575</v>
      </c>
      <c r="H978" s="307">
        <f t="shared" ca="1" si="447"/>
        <v>-121.42749665860774</v>
      </c>
      <c r="I978" s="304">
        <f t="shared" ca="1" si="448"/>
        <v>122.11124235303099</v>
      </c>
      <c r="J978" s="306">
        <f t="shared" ca="1" si="449"/>
        <v>874.13727041639572</v>
      </c>
      <c r="K978" s="307">
        <f t="shared" ca="1" si="450"/>
        <v>-6.6805471963501519</v>
      </c>
      <c r="L978" s="304">
        <f t="shared" ca="1" si="435"/>
        <v>874.16279790544138</v>
      </c>
      <c r="M978" s="306">
        <f t="shared" ca="1" si="451"/>
        <v>-1.4649228119018749</v>
      </c>
      <c r="N978" s="304">
        <f t="shared" ca="1" si="452"/>
        <v>-83.933894434414398</v>
      </c>
      <c r="P978" s="310">
        <f t="shared" ca="1" si="453"/>
        <v>23</v>
      </c>
      <c r="Q978" s="304">
        <f t="shared" ca="1" si="454"/>
        <v>0</v>
      </c>
      <c r="R978" s="306">
        <f t="shared" ca="1" si="455"/>
        <v>0</v>
      </c>
      <c r="S978" s="307">
        <f t="shared" ca="1" si="456"/>
        <v>7.8079999999999892</v>
      </c>
      <c r="T978" s="304">
        <f t="shared" ca="1" si="436"/>
        <v>76.5964799999999</v>
      </c>
      <c r="U978" s="311">
        <f t="shared" ca="1" si="437"/>
        <v>0</v>
      </c>
      <c r="V978" s="306">
        <f t="shared" ca="1" si="438"/>
        <v>1.225818640479871</v>
      </c>
      <c r="W978" s="304">
        <f t="shared" ca="1" si="439"/>
        <v>59.552366704698102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2.1280090258454889</v>
      </c>
      <c r="AH978" s="304">
        <f t="shared" ca="1" si="463"/>
        <v>-7.6270603010661722</v>
      </c>
    </row>
    <row r="979" spans="1:34" x14ac:dyDescent="0.2">
      <c r="A979" s="347">
        <f t="shared" ca="1" si="441"/>
        <v>1E-4</v>
      </c>
      <c r="B979" s="304">
        <f t="shared" ca="1" si="442"/>
        <v>35.126400000001063</v>
      </c>
      <c r="D979" s="306">
        <f t="shared" ca="1" si="443"/>
        <v>-0.80599973701131455</v>
      </c>
      <c r="E979" s="307">
        <f t="shared" ca="1" si="444"/>
        <v>-2.2256107669847518</v>
      </c>
      <c r="F979" s="304">
        <f t="shared" ca="1" si="445"/>
        <v>2.3670612290730384</v>
      </c>
      <c r="G979" s="306">
        <f t="shared" ca="1" si="446"/>
        <v>12.904126629626873</v>
      </c>
      <c r="H979" s="307">
        <f t="shared" ca="1" si="447"/>
        <v>-121.42771921968443</v>
      </c>
      <c r="I979" s="304">
        <f t="shared" ca="1" si="448"/>
        <v>122.11145515048113</v>
      </c>
      <c r="J979" s="306">
        <f t="shared" ca="1" si="449"/>
        <v>874.13727041639572</v>
      </c>
      <c r="K979" s="307">
        <f t="shared" ca="1" si="450"/>
        <v>-6.6926899571440668</v>
      </c>
      <c r="L979" s="304">
        <f t="shared" ca="1" si="435"/>
        <v>874.16289078746036</v>
      </c>
      <c r="M979" s="306">
        <f t="shared" ca="1" si="451"/>
        <v>-1.4649236608639304</v>
      </c>
      <c r="N979" s="304">
        <f t="shared" ca="1" si="452"/>
        <v>-83.933943076357139</v>
      </c>
      <c r="P979" s="310">
        <f t="shared" ca="1" si="453"/>
        <v>23</v>
      </c>
      <c r="Q979" s="304">
        <f t="shared" ca="1" si="454"/>
        <v>0</v>
      </c>
      <c r="R979" s="306">
        <f t="shared" ca="1" si="455"/>
        <v>0</v>
      </c>
      <c r="S979" s="307">
        <f t="shared" ca="1" si="456"/>
        <v>7.8079999999999892</v>
      </c>
      <c r="T979" s="304">
        <f t="shared" ca="1" si="436"/>
        <v>76.5964799999999</v>
      </c>
      <c r="U979" s="311">
        <f t="shared" ca="1" si="437"/>
        <v>0</v>
      </c>
      <c r="V979" s="306">
        <f t="shared" ca="1" si="438"/>
        <v>1.225820128963194</v>
      </c>
      <c r="W979" s="304">
        <f t="shared" ca="1" si="439"/>
        <v>59.552646576347449</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2.1279740614444327</v>
      </c>
      <c r="AH979" s="304">
        <f t="shared" ca="1" si="463"/>
        <v>-7.6270961455812225</v>
      </c>
    </row>
    <row r="980" spans="1:34" x14ac:dyDescent="0.2">
      <c r="A980" s="347">
        <f t="shared" ca="1" si="441"/>
        <v>1E-4</v>
      </c>
      <c r="B980" s="304">
        <f t="shared" ca="1" si="442"/>
        <v>35.126500000001066</v>
      </c>
      <c r="D980" s="306">
        <f t="shared" ca="1" si="443"/>
        <v>-0.80599708598961406</v>
      </c>
      <c r="E980" s="307">
        <f t="shared" ca="1" si="444"/>
        <v>-2.2255744392086285</v>
      </c>
      <c r="F980" s="304">
        <f t="shared" ca="1" si="445"/>
        <v>2.3670261694967696</v>
      </c>
      <c r="G980" s="306">
        <f t="shared" ca="1" si="446"/>
        <v>12.904046029918273</v>
      </c>
      <c r="H980" s="307">
        <f t="shared" ca="1" si="447"/>
        <v>-121.42794177712835</v>
      </c>
      <c r="I980" s="304">
        <f t="shared" ca="1" si="448"/>
        <v>122.11166794443487</v>
      </c>
      <c r="J980" s="306">
        <f t="shared" ca="1" si="449"/>
        <v>874.13727041639572</v>
      </c>
      <c r="K980" s="307">
        <f t="shared" ca="1" si="450"/>
        <v>-6.7048327401939076</v>
      </c>
      <c r="L980" s="304">
        <f t="shared" ca="1" si="435"/>
        <v>874.16298383831202</v>
      </c>
      <c r="M980" s="306">
        <f t="shared" ca="1" si="451"/>
        <v>-1.4649245098177246</v>
      </c>
      <c r="N980" s="304">
        <f t="shared" ca="1" si="452"/>
        <v>-83.933991717826544</v>
      </c>
      <c r="P980" s="310">
        <f t="shared" ca="1" si="453"/>
        <v>23</v>
      </c>
      <c r="Q980" s="304">
        <f t="shared" ca="1" si="454"/>
        <v>0</v>
      </c>
      <c r="R980" s="306">
        <f t="shared" ca="1" si="455"/>
        <v>0</v>
      </c>
      <c r="S980" s="307">
        <f t="shared" ca="1" si="456"/>
        <v>7.8079999999999892</v>
      </c>
      <c r="T980" s="304">
        <f t="shared" ca="1" si="436"/>
        <v>76.5964799999999</v>
      </c>
      <c r="U980" s="311">
        <f t="shared" ca="1" si="437"/>
        <v>0</v>
      </c>
      <c r="V980" s="306">
        <f t="shared" ca="1" si="438"/>
        <v>1.225821617451053</v>
      </c>
      <c r="W980" s="304">
        <f t="shared" ca="1" si="439"/>
        <v>59.552926445672576</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2.1279390973254468</v>
      </c>
      <c r="AH980" s="304">
        <f t="shared" ca="1" si="463"/>
        <v>-7.6271319897986078</v>
      </c>
    </row>
    <row r="981" spans="1:34" x14ac:dyDescent="0.2">
      <c r="A981" s="347">
        <f t="shared" ca="1" si="441"/>
        <v>1E-4</v>
      </c>
      <c r="B981" s="304">
        <f t="shared" ca="1" si="442"/>
        <v>35.126600000001069</v>
      </c>
      <c r="D981" s="306">
        <f t="shared" ca="1" si="443"/>
        <v>-0.80599443493801459</v>
      </c>
      <c r="E981" s="307">
        <f t="shared" ca="1" si="444"/>
        <v>-2.2255381117342026</v>
      </c>
      <c r="F981" s="304">
        <f t="shared" ca="1" si="445"/>
        <v>2.366991110235205</v>
      </c>
      <c r="G981" s="306">
        <f t="shared" ca="1" si="446"/>
        <v>12.903965430474779</v>
      </c>
      <c r="H981" s="307">
        <f t="shared" ca="1" si="447"/>
        <v>-121.42816433093952</v>
      </c>
      <c r="I981" s="304">
        <f t="shared" ca="1" si="448"/>
        <v>122.11188073489222</v>
      </c>
      <c r="J981" s="306">
        <f t="shared" ca="1" si="449"/>
        <v>874.13727041639572</v>
      </c>
      <c r="K981" s="307">
        <f t="shared" ca="1" si="450"/>
        <v>-6.7169755454993112</v>
      </c>
      <c r="L981" s="304">
        <f t="shared" ca="1" si="435"/>
        <v>874.16307705799716</v>
      </c>
      <c r="M981" s="306">
        <f t="shared" ca="1" si="451"/>
        <v>-1.4649253587632574</v>
      </c>
      <c r="N981" s="304">
        <f t="shared" ca="1" si="452"/>
        <v>-83.934040358822614</v>
      </c>
      <c r="P981" s="310">
        <f t="shared" ca="1" si="453"/>
        <v>23</v>
      </c>
      <c r="Q981" s="304">
        <f t="shared" ca="1" si="454"/>
        <v>0</v>
      </c>
      <c r="R981" s="306">
        <f t="shared" ca="1" si="455"/>
        <v>0</v>
      </c>
      <c r="S981" s="307">
        <f t="shared" ca="1" si="456"/>
        <v>7.8079999999999892</v>
      </c>
      <c r="T981" s="304">
        <f t="shared" ca="1" si="436"/>
        <v>76.5964799999999</v>
      </c>
      <c r="U981" s="311">
        <f t="shared" ca="1" si="437"/>
        <v>0</v>
      </c>
      <c r="V981" s="306">
        <f t="shared" ca="1" si="438"/>
        <v>1.2258231059434483</v>
      </c>
      <c r="W981" s="304">
        <f t="shared" ca="1" si="439"/>
        <v>59.553206312673524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2.1279041334885394</v>
      </c>
      <c r="AH981" s="304">
        <f t="shared" ca="1" si="463"/>
        <v>-7.627167833718322</v>
      </c>
    </row>
    <row r="982" spans="1:34" x14ac:dyDescent="0.2">
      <c r="A982" s="347">
        <f t="shared" ca="1" si="441"/>
        <v>1E-4</v>
      </c>
      <c r="B982" s="304">
        <f t="shared" ca="1" si="442"/>
        <v>35.126700000001073</v>
      </c>
      <c r="D982" s="306">
        <f t="shared" ca="1" si="443"/>
        <v>-0.80599178385651848</v>
      </c>
      <c r="E982" s="307">
        <f t="shared" ca="1" si="444"/>
        <v>-2.2255017845614713</v>
      </c>
      <c r="F982" s="304">
        <f t="shared" ca="1" si="445"/>
        <v>2.3669560512883434</v>
      </c>
      <c r="G982" s="306">
        <f t="shared" ca="1" si="446"/>
        <v>12.903884831296393</v>
      </c>
      <c r="H982" s="307">
        <f t="shared" ca="1" si="447"/>
        <v>-121.42838688111797</v>
      </c>
      <c r="I982" s="304">
        <f t="shared" ca="1" si="448"/>
        <v>122.11209352185321</v>
      </c>
      <c r="J982" s="306">
        <f t="shared" ca="1" si="449"/>
        <v>874.13727041639572</v>
      </c>
      <c r="K982" s="307">
        <f t="shared" ca="1" si="450"/>
        <v>-6.7291183730599142</v>
      </c>
      <c r="L982" s="304">
        <f t="shared" ca="1" si="435"/>
        <v>874.16317044651657</v>
      </c>
      <c r="M982" s="306">
        <f t="shared" ca="1" si="451"/>
        <v>-1.4649262077005289</v>
      </c>
      <c r="N982" s="304">
        <f t="shared" ca="1" si="452"/>
        <v>-83.934088999345349</v>
      </c>
      <c r="P982" s="310">
        <f t="shared" ca="1" si="453"/>
        <v>23</v>
      </c>
      <c r="Q982" s="304">
        <f t="shared" ca="1" si="454"/>
        <v>0</v>
      </c>
      <c r="R982" s="306">
        <f t="shared" ca="1" si="455"/>
        <v>0</v>
      </c>
      <c r="S982" s="307">
        <f t="shared" ca="1" si="456"/>
        <v>7.8079999999999892</v>
      </c>
      <c r="T982" s="304">
        <f t="shared" ca="1" si="436"/>
        <v>76.5964799999999</v>
      </c>
      <c r="U982" s="311">
        <f t="shared" ca="1" si="437"/>
        <v>0</v>
      </c>
      <c r="V982" s="306">
        <f t="shared" ca="1" si="438"/>
        <v>1.2258245944403798</v>
      </c>
      <c r="W982" s="304">
        <f t="shared" ca="1" si="439"/>
        <v>59.553486177350258</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2.1278691699337005</v>
      </c>
      <c r="AH982" s="304">
        <f t="shared" ca="1" si="463"/>
        <v>-7.6272036773403693</v>
      </c>
    </row>
    <row r="983" spans="1:34" x14ac:dyDescent="0.2">
      <c r="A983" s="347">
        <f t="shared" ca="1" si="441"/>
        <v>1E-4</v>
      </c>
      <c r="B983" s="304">
        <f t="shared" ca="1" si="442"/>
        <v>35.126800000001076</v>
      </c>
      <c r="D983" s="306">
        <f t="shared" ca="1" si="443"/>
        <v>-0.80598913274512518</v>
      </c>
      <c r="E983" s="307">
        <f t="shared" ca="1" si="444"/>
        <v>-2.2254654576904365</v>
      </c>
      <c r="F983" s="304">
        <f t="shared" ca="1" si="445"/>
        <v>2.3669209926561856</v>
      </c>
      <c r="G983" s="306">
        <f t="shared" ca="1" si="446"/>
        <v>12.903804232383118</v>
      </c>
      <c r="H983" s="307">
        <f t="shared" ca="1" si="447"/>
        <v>-121.42860942766374</v>
      </c>
      <c r="I983" s="304">
        <f t="shared" ca="1" si="448"/>
        <v>122.11230630531787</v>
      </c>
      <c r="J983" s="306">
        <f t="shared" ca="1" si="449"/>
        <v>874.13727041639572</v>
      </c>
      <c r="K983" s="307">
        <f t="shared" ca="1" si="450"/>
        <v>-6.7412612228753535</v>
      </c>
      <c r="L983" s="304">
        <f t="shared" ca="1" si="435"/>
        <v>874.16326400387129</v>
      </c>
      <c r="M983" s="306">
        <f t="shared" ca="1" si="451"/>
        <v>-1.4649270566295391</v>
      </c>
      <c r="N983" s="304">
        <f t="shared" ca="1" si="452"/>
        <v>-83.934137639394734</v>
      </c>
      <c r="P983" s="310">
        <f t="shared" ca="1" si="453"/>
        <v>23</v>
      </c>
      <c r="Q983" s="304">
        <f t="shared" ca="1" si="454"/>
        <v>0</v>
      </c>
      <c r="R983" s="306">
        <f t="shared" ca="1" si="455"/>
        <v>0</v>
      </c>
      <c r="S983" s="307">
        <f t="shared" ca="1" si="456"/>
        <v>7.8079999999999892</v>
      </c>
      <c r="T983" s="304">
        <f t="shared" ca="1" si="436"/>
        <v>76.5964799999999</v>
      </c>
      <c r="U983" s="311">
        <f t="shared" ca="1" si="437"/>
        <v>0</v>
      </c>
      <c r="V983" s="306">
        <f t="shared" ca="1" si="438"/>
        <v>1.2258260829418477</v>
      </c>
      <c r="W983" s="304">
        <f t="shared" ca="1" si="439"/>
        <v>59.553766039702801</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2.127834206660939</v>
      </c>
      <c r="AH983" s="304">
        <f t="shared" ca="1" si="463"/>
        <v>-7.6272395206647463</v>
      </c>
    </row>
    <row r="984" spans="1:34" x14ac:dyDescent="0.2">
      <c r="A984" s="347">
        <f t="shared" ca="1" si="441"/>
        <v>1E-4</v>
      </c>
      <c r="B984" s="304">
        <f t="shared" ca="1" si="442"/>
        <v>35.126900000001079</v>
      </c>
      <c r="D984" s="306">
        <f t="shared" ca="1" si="443"/>
        <v>-0.80598648160383846</v>
      </c>
      <c r="E984" s="307">
        <f t="shared" ca="1" si="444"/>
        <v>-2.2254291311210963</v>
      </c>
      <c r="F984" s="304">
        <f t="shared" ca="1" si="445"/>
        <v>2.3668859343387321</v>
      </c>
      <c r="G984" s="306">
        <f t="shared" ca="1" si="446"/>
        <v>12.903723633734957</v>
      </c>
      <c r="H984" s="307">
        <f t="shared" ca="1" si="447"/>
        <v>-121.42883197057685</v>
      </c>
      <c r="I984" s="304">
        <f t="shared" ca="1" si="448"/>
        <v>122.11251908528624</v>
      </c>
      <c r="J984" s="306">
        <f t="shared" ca="1" si="449"/>
        <v>874.13727041639572</v>
      </c>
      <c r="K984" s="307">
        <f t="shared" ca="1" si="450"/>
        <v>-6.7534040949452656</v>
      </c>
      <c r="L984" s="304">
        <f t="shared" ca="1" si="435"/>
        <v>874.1633577300621</v>
      </c>
      <c r="M984" s="306">
        <f t="shared" ca="1" si="451"/>
        <v>-1.4649279055502886</v>
      </c>
      <c r="N984" s="304">
        <f t="shared" ca="1" si="452"/>
        <v>-83.934186278970827</v>
      </c>
      <c r="P984" s="310">
        <f t="shared" ca="1" si="453"/>
        <v>23</v>
      </c>
      <c r="Q984" s="304">
        <f t="shared" ca="1" si="454"/>
        <v>0</v>
      </c>
      <c r="R984" s="306">
        <f t="shared" ca="1" si="455"/>
        <v>0</v>
      </c>
      <c r="S984" s="307">
        <f t="shared" ca="1" si="456"/>
        <v>7.8079999999999892</v>
      </c>
      <c r="T984" s="304">
        <f t="shared" ca="1" si="436"/>
        <v>76.5964799999999</v>
      </c>
      <c r="U984" s="311">
        <f t="shared" ca="1" si="437"/>
        <v>0</v>
      </c>
      <c r="V984" s="306">
        <f t="shared" ca="1" si="438"/>
        <v>1.2258275714478513</v>
      </c>
      <c r="W984" s="304">
        <f t="shared" ca="1" si="439"/>
        <v>59.554045899731136</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2.1277992436702524</v>
      </c>
      <c r="AH984" s="304">
        <f t="shared" ca="1" si="463"/>
        <v>-7.6272753636914556</v>
      </c>
    </row>
    <row r="985" spans="1:34" x14ac:dyDescent="0.2">
      <c r="A985" s="347">
        <f t="shared" ca="1" si="441"/>
        <v>1E-4</v>
      </c>
      <c r="B985" s="304">
        <f t="shared" ca="1" si="442"/>
        <v>35.127000000001082</v>
      </c>
      <c r="D985" s="306">
        <f t="shared" ca="1" si="443"/>
        <v>-0.80598383043265442</v>
      </c>
      <c r="E985" s="307">
        <f t="shared" ca="1" si="444"/>
        <v>-2.2253928048534544</v>
      </c>
      <c r="F985" s="304">
        <f t="shared" ca="1" si="445"/>
        <v>2.3668508763359846</v>
      </c>
      <c r="G985" s="306">
        <f t="shared" ca="1" si="446"/>
        <v>12.903643035351914</v>
      </c>
      <c r="H985" s="307">
        <f t="shared" ca="1" si="447"/>
        <v>-121.42905450985734</v>
      </c>
      <c r="I985" s="304">
        <f t="shared" ca="1" si="448"/>
        <v>122.11273186175833</v>
      </c>
      <c r="J985" s="306">
        <f t="shared" ca="1" si="449"/>
        <v>874.13727041639572</v>
      </c>
      <c r="K985" s="307">
        <f t="shared" ca="1" si="450"/>
        <v>-6.7655469892692874</v>
      </c>
      <c r="L985" s="304">
        <f t="shared" ca="1" si="435"/>
        <v>874.16345162508992</v>
      </c>
      <c r="M985" s="306">
        <f t="shared" ca="1" si="451"/>
        <v>-1.4649287544627771</v>
      </c>
      <c r="N985" s="304">
        <f t="shared" ca="1" si="452"/>
        <v>-83.934234918073585</v>
      </c>
      <c r="P985" s="310">
        <f t="shared" ca="1" si="453"/>
        <v>23</v>
      </c>
      <c r="Q985" s="304">
        <f t="shared" ca="1" si="454"/>
        <v>0</v>
      </c>
      <c r="R985" s="306">
        <f t="shared" ca="1" si="455"/>
        <v>0</v>
      </c>
      <c r="S985" s="307">
        <f t="shared" ca="1" si="456"/>
        <v>7.8079999999999892</v>
      </c>
      <c r="T985" s="304">
        <f t="shared" ca="1" si="436"/>
        <v>76.5964799999999</v>
      </c>
      <c r="U985" s="311">
        <f t="shared" ca="1" si="437"/>
        <v>0</v>
      </c>
      <c r="V985" s="306">
        <f t="shared" ca="1" si="438"/>
        <v>1.225829059958391</v>
      </c>
      <c r="W985" s="304">
        <f t="shared" ca="1" si="439"/>
        <v>59.554325757435258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2.1277642809616406</v>
      </c>
      <c r="AH985" s="304">
        <f t="shared" ca="1" si="463"/>
        <v>-7.6273112064204938</v>
      </c>
    </row>
    <row r="986" spans="1:34" x14ac:dyDescent="0.2">
      <c r="A986" s="347">
        <f t="shared" ca="1" si="441"/>
        <v>1E-4</v>
      </c>
      <c r="B986" s="304">
        <f t="shared" ca="1" si="442"/>
        <v>35.127100000001086</v>
      </c>
      <c r="D986" s="306">
        <f t="shared" ca="1" si="443"/>
        <v>-0.80598117923157653</v>
      </c>
      <c r="E986" s="307">
        <f t="shared" ca="1" si="444"/>
        <v>-2.2253564788875089</v>
      </c>
      <c r="F986" s="304">
        <f t="shared" ca="1" si="445"/>
        <v>2.3668158186479431</v>
      </c>
      <c r="G986" s="306">
        <f t="shared" ca="1" si="446"/>
        <v>12.90356243723399</v>
      </c>
      <c r="H986" s="307">
        <f t="shared" ca="1" si="447"/>
        <v>-121.42927704550523</v>
      </c>
      <c r="I986" s="304">
        <f t="shared" ca="1" si="448"/>
        <v>122.11294463473419</v>
      </c>
      <c r="J986" s="306">
        <f t="shared" ca="1" si="449"/>
        <v>874.13727041639572</v>
      </c>
      <c r="K986" s="307">
        <f t="shared" ca="1" si="450"/>
        <v>-6.7776899058470557</v>
      </c>
      <c r="L986" s="304">
        <f t="shared" ca="1" si="435"/>
        <v>874.16354568895554</v>
      </c>
      <c r="M986" s="306">
        <f t="shared" ca="1" si="451"/>
        <v>-1.464929603367005</v>
      </c>
      <c r="N986" s="304">
        <f t="shared" ca="1" si="452"/>
        <v>-83.934283556703051</v>
      </c>
      <c r="P986" s="310">
        <f t="shared" ca="1" si="453"/>
        <v>23</v>
      </c>
      <c r="Q986" s="304">
        <f t="shared" ca="1" si="454"/>
        <v>0</v>
      </c>
      <c r="R986" s="306">
        <f t="shared" ca="1" si="455"/>
        <v>0</v>
      </c>
      <c r="S986" s="307">
        <f t="shared" ca="1" si="456"/>
        <v>7.8079999999999892</v>
      </c>
      <c r="T986" s="304">
        <f t="shared" ca="1" si="436"/>
        <v>76.5964799999999</v>
      </c>
      <c r="U986" s="311">
        <f t="shared" ca="1" si="437"/>
        <v>0</v>
      </c>
      <c r="V986" s="306">
        <f t="shared" ca="1" si="438"/>
        <v>1.2258305484734666</v>
      </c>
      <c r="W986" s="304">
        <f t="shared" ca="1" si="439"/>
        <v>59.554605612815195</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2.1277293185351054</v>
      </c>
      <c r="AH986" s="304">
        <f t="shared" ca="1" si="463"/>
        <v>-7.6273470488518624</v>
      </c>
    </row>
    <row r="987" spans="1:34" x14ac:dyDescent="0.2">
      <c r="A987" s="347">
        <f t="shared" ca="1" si="441"/>
        <v>1E-4</v>
      </c>
      <c r="B987" s="304">
        <f t="shared" ca="1" si="442"/>
        <v>35.127200000001089</v>
      </c>
      <c r="D987" s="306">
        <f t="shared" ca="1" si="443"/>
        <v>-0.8059785280006051</v>
      </c>
      <c r="E987" s="307">
        <f t="shared" ca="1" si="444"/>
        <v>-2.225320153223258</v>
      </c>
      <c r="F987" s="304">
        <f t="shared" ca="1" si="445"/>
        <v>2.3667807612746063</v>
      </c>
      <c r="G987" s="306">
        <f t="shared" ca="1" si="446"/>
        <v>12.90348183938119</v>
      </c>
      <c r="H987" s="307">
        <f t="shared" ca="1" si="447"/>
        <v>-121.42949957752056</v>
      </c>
      <c r="I987" s="304">
        <f t="shared" ca="1" si="448"/>
        <v>122.11315740421384</v>
      </c>
      <c r="J987" s="306">
        <f t="shared" ca="1" si="449"/>
        <v>874.13727041639572</v>
      </c>
      <c r="K987" s="307">
        <f t="shared" ca="1" si="450"/>
        <v>-6.789832844678207</v>
      </c>
      <c r="L987" s="304">
        <f t="shared" ca="1" si="435"/>
        <v>874.16363992165998</v>
      </c>
      <c r="M987" s="306">
        <f t="shared" ca="1" si="451"/>
        <v>-1.464930452262972</v>
      </c>
      <c r="N987" s="304">
        <f t="shared" ca="1" si="452"/>
        <v>-83.934332194859209</v>
      </c>
      <c r="P987" s="310">
        <f t="shared" ca="1" si="453"/>
        <v>23</v>
      </c>
      <c r="Q987" s="304">
        <f t="shared" ca="1" si="454"/>
        <v>0</v>
      </c>
      <c r="R987" s="306">
        <f t="shared" ca="1" si="455"/>
        <v>0</v>
      </c>
      <c r="S987" s="307">
        <f t="shared" ca="1" si="456"/>
        <v>7.8079999999999892</v>
      </c>
      <c r="T987" s="304">
        <f t="shared" ca="1" si="436"/>
        <v>76.5964799999999</v>
      </c>
      <c r="U987" s="311">
        <f t="shared" ca="1" si="437"/>
        <v>0</v>
      </c>
      <c r="V987" s="306">
        <f t="shared" ca="1" si="438"/>
        <v>1.2258320369930784</v>
      </c>
      <c r="W987" s="304">
        <f t="shared" ca="1" si="439"/>
        <v>59.554885465870925</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2.1276943563906467</v>
      </c>
      <c r="AH987" s="304">
        <f t="shared" ca="1" si="463"/>
        <v>-7.6273828909855634</v>
      </c>
    </row>
    <row r="988" spans="1:34" x14ac:dyDescent="0.2">
      <c r="A988" s="347">
        <f t="shared" ca="1" si="441"/>
        <v>1E-4</v>
      </c>
      <c r="B988" s="304">
        <f t="shared" ca="1" si="442"/>
        <v>35.127300000001092</v>
      </c>
      <c r="D988" s="306">
        <f t="shared" ca="1" si="443"/>
        <v>-0.80597587673974136</v>
      </c>
      <c r="E988" s="307">
        <f t="shared" ca="1" si="444"/>
        <v>-2.2252838278607046</v>
      </c>
      <c r="F988" s="304">
        <f t="shared" ca="1" si="445"/>
        <v>2.3667457042159779</v>
      </c>
      <c r="G988" s="306">
        <f t="shared" ca="1" si="446"/>
        <v>12.903401241793516</v>
      </c>
      <c r="H988" s="307">
        <f t="shared" ca="1" si="447"/>
        <v>-121.42972210590335</v>
      </c>
      <c r="I988" s="304">
        <f t="shared" ca="1" si="448"/>
        <v>122.1133701701973</v>
      </c>
      <c r="J988" s="306">
        <f t="shared" ca="1" si="449"/>
        <v>874.13727041639572</v>
      </c>
      <c r="K988" s="307">
        <f t="shared" ca="1" si="450"/>
        <v>-6.8019758057623783</v>
      </c>
      <c r="L988" s="304">
        <f t="shared" ca="1" si="435"/>
        <v>874.16373432320393</v>
      </c>
      <c r="M988" s="306">
        <f t="shared" ca="1" si="451"/>
        <v>-1.4649313011506786</v>
      </c>
      <c r="N988" s="304">
        <f t="shared" ca="1" si="452"/>
        <v>-83.934380832542075</v>
      </c>
      <c r="P988" s="310">
        <f t="shared" ca="1" si="453"/>
        <v>23</v>
      </c>
      <c r="Q988" s="304">
        <f t="shared" ca="1" si="454"/>
        <v>0</v>
      </c>
      <c r="R988" s="306">
        <f t="shared" ca="1" si="455"/>
        <v>0</v>
      </c>
      <c r="S988" s="307">
        <f t="shared" ca="1" si="456"/>
        <v>7.8079999999999892</v>
      </c>
      <c r="T988" s="304">
        <f t="shared" ca="1" si="436"/>
        <v>76.5964799999999</v>
      </c>
      <c r="U988" s="311">
        <f t="shared" ca="1" si="437"/>
        <v>0</v>
      </c>
      <c r="V988" s="306">
        <f t="shared" ca="1" si="438"/>
        <v>1.2258335255172261</v>
      </c>
      <c r="W988" s="304">
        <f t="shared" ca="1" si="439"/>
        <v>59.555165316602448</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2.1276593945282638</v>
      </c>
      <c r="AH988" s="304">
        <f t="shared" ca="1" si="463"/>
        <v>-7.6274187328215941</v>
      </c>
    </row>
    <row r="989" spans="1:34" x14ac:dyDescent="0.2">
      <c r="A989" s="347">
        <f t="shared" ca="1" si="441"/>
        <v>1E-4</v>
      </c>
      <c r="B989" s="304">
        <f t="shared" ca="1" si="442"/>
        <v>35.127400000001096</v>
      </c>
      <c r="D989" s="306">
        <f t="shared" ca="1" si="443"/>
        <v>-0.80597322544898553</v>
      </c>
      <c r="E989" s="307">
        <f t="shared" ca="1" si="444"/>
        <v>-2.2252475027998466</v>
      </c>
      <c r="F989" s="304">
        <f t="shared" ca="1" si="445"/>
        <v>2.366710647472055</v>
      </c>
      <c r="G989" s="306">
        <f t="shared" ca="1" si="446"/>
        <v>12.90332064447097</v>
      </c>
      <c r="H989" s="307">
        <f t="shared" ca="1" si="447"/>
        <v>-121.42994463065364</v>
      </c>
      <c r="I989" s="304">
        <f t="shared" ca="1" si="448"/>
        <v>122.11358293268459</v>
      </c>
      <c r="J989" s="306">
        <f t="shared" ca="1" si="449"/>
        <v>874.13727041639572</v>
      </c>
      <c r="K989" s="307">
        <f t="shared" ca="1" si="450"/>
        <v>-6.8141187890992061</v>
      </c>
      <c r="L989" s="304">
        <f t="shared" ca="1" si="435"/>
        <v>874.1638288935884</v>
      </c>
      <c r="M989" s="306">
        <f t="shared" ca="1" si="451"/>
        <v>-1.4649321500301247</v>
      </c>
      <c r="N989" s="304">
        <f t="shared" ca="1" si="452"/>
        <v>-83.934429469751663</v>
      </c>
      <c r="P989" s="310">
        <f t="shared" ca="1" si="453"/>
        <v>23</v>
      </c>
      <c r="Q989" s="304">
        <f t="shared" ca="1" si="454"/>
        <v>0</v>
      </c>
      <c r="R989" s="306">
        <f t="shared" ca="1" si="455"/>
        <v>0</v>
      </c>
      <c r="S989" s="307">
        <f t="shared" ca="1" si="456"/>
        <v>7.8079999999999892</v>
      </c>
      <c r="T989" s="304">
        <f t="shared" ca="1" si="436"/>
        <v>76.5964799999999</v>
      </c>
      <c r="U989" s="311">
        <f t="shared" ca="1" si="437"/>
        <v>0</v>
      </c>
      <c r="V989" s="306">
        <f t="shared" ca="1" si="438"/>
        <v>1.2258350140459096</v>
      </c>
      <c r="W989" s="304">
        <f t="shared" ca="1" si="439"/>
        <v>59.555445165009765</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2.1276244329479574</v>
      </c>
      <c r="AH989" s="304">
        <f t="shared" ca="1" si="463"/>
        <v>-7.6274545743599553</v>
      </c>
    </row>
    <row r="990" spans="1:34" x14ac:dyDescent="0.2">
      <c r="A990" s="347">
        <f t="shared" ca="1" si="441"/>
        <v>1E-4</v>
      </c>
      <c r="B990" s="304">
        <f t="shared" ca="1" si="442"/>
        <v>35.127500000001099</v>
      </c>
      <c r="D990" s="306">
        <f t="shared" ca="1" si="443"/>
        <v>-0.80597057412833906</v>
      </c>
      <c r="E990" s="307">
        <f t="shared" ca="1" si="444"/>
        <v>-2.2252111780406869</v>
      </c>
      <c r="F990" s="304">
        <f t="shared" ca="1" si="445"/>
        <v>2.3666755910428421</v>
      </c>
      <c r="G990" s="306">
        <f t="shared" ca="1" si="446"/>
        <v>12.903240047413558</v>
      </c>
      <c r="H990" s="307">
        <f t="shared" ca="1" si="447"/>
        <v>-121.43016715177144</v>
      </c>
      <c r="I990" s="304">
        <f t="shared" ca="1" si="448"/>
        <v>122.11379569167576</v>
      </c>
      <c r="J990" s="306">
        <f t="shared" ca="1" si="449"/>
        <v>874.13727041639572</v>
      </c>
      <c r="K990" s="307">
        <f t="shared" ca="1" si="450"/>
        <v>-6.8262617946883273</v>
      </c>
      <c r="L990" s="304">
        <f t="shared" ca="1" si="435"/>
        <v>874.1639236328142</v>
      </c>
      <c r="M990" s="306">
        <f t="shared" ca="1" si="451"/>
        <v>-1.4649329989013107</v>
      </c>
      <c r="N990" s="304">
        <f t="shared" ca="1" si="452"/>
        <v>-83.934478106487958</v>
      </c>
      <c r="P990" s="310">
        <f t="shared" ca="1" si="453"/>
        <v>23</v>
      </c>
      <c r="Q990" s="304">
        <f t="shared" ca="1" si="454"/>
        <v>0</v>
      </c>
      <c r="R990" s="306">
        <f t="shared" ca="1" si="455"/>
        <v>0</v>
      </c>
      <c r="S990" s="307">
        <f t="shared" ca="1" si="456"/>
        <v>7.8079999999999892</v>
      </c>
      <c r="T990" s="304">
        <f t="shared" ca="1" si="436"/>
        <v>76.5964799999999</v>
      </c>
      <c r="U990" s="311">
        <f t="shared" ca="1" si="437"/>
        <v>0</v>
      </c>
      <c r="V990" s="306">
        <f t="shared" ca="1" si="438"/>
        <v>1.2258365025791294</v>
      </c>
      <c r="W990" s="304">
        <f t="shared" ca="1" si="439"/>
        <v>59.555725011092889</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2.1275894716497286</v>
      </c>
      <c r="AH990" s="304">
        <f t="shared" ca="1" si="463"/>
        <v>-7.6274904156006462</v>
      </c>
    </row>
    <row r="991" spans="1:34" x14ac:dyDescent="0.2">
      <c r="A991" s="347">
        <f t="shared" ca="1" si="441"/>
        <v>1E-4</v>
      </c>
      <c r="B991" s="304">
        <f t="shared" ca="1" si="442"/>
        <v>35.127600000001102</v>
      </c>
      <c r="D991" s="306">
        <f t="shared" ca="1" si="443"/>
        <v>-0.80596792277780049</v>
      </c>
      <c r="E991" s="307">
        <f t="shared" ca="1" si="444"/>
        <v>-2.225174853583221</v>
      </c>
      <c r="F991" s="304">
        <f t="shared" ca="1" si="445"/>
        <v>2.3666405349283344</v>
      </c>
      <c r="G991" s="306">
        <f t="shared" ca="1" si="446"/>
        <v>12.903159450621279</v>
      </c>
      <c r="H991" s="307">
        <f t="shared" ca="1" si="447"/>
        <v>-121.4303896692568</v>
      </c>
      <c r="I991" s="304">
        <f t="shared" ca="1" si="448"/>
        <v>122.11400844717082</v>
      </c>
      <c r="J991" s="306">
        <f t="shared" ca="1" si="449"/>
        <v>874.13727041639572</v>
      </c>
      <c r="K991" s="307">
        <f t="shared" ca="1" si="450"/>
        <v>-6.8384048225293785</v>
      </c>
      <c r="L991" s="304">
        <f t="shared" ca="1" si="435"/>
        <v>874.16401854088213</v>
      </c>
      <c r="M991" s="306">
        <f t="shared" ca="1" si="451"/>
        <v>-1.4649338477642364</v>
      </c>
      <c r="N991" s="304">
        <f t="shared" ca="1" si="452"/>
        <v>-83.93452674275099</v>
      </c>
      <c r="P991" s="310">
        <f t="shared" ca="1" si="453"/>
        <v>23</v>
      </c>
      <c r="Q991" s="304">
        <f t="shared" ca="1" si="454"/>
        <v>0</v>
      </c>
      <c r="R991" s="306">
        <f t="shared" ca="1" si="455"/>
        <v>0</v>
      </c>
      <c r="S991" s="307">
        <f t="shared" ca="1" si="456"/>
        <v>7.8079999999999892</v>
      </c>
      <c r="T991" s="304">
        <f t="shared" ca="1" si="436"/>
        <v>76.5964799999999</v>
      </c>
      <c r="U991" s="311">
        <f t="shared" ca="1" si="437"/>
        <v>0</v>
      </c>
      <c r="V991" s="306">
        <f t="shared" ca="1" si="438"/>
        <v>1.2258379911168849</v>
      </c>
      <c r="W991" s="304">
        <f t="shared" ca="1" si="439"/>
        <v>59.5560048548518</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2.1275545106335763</v>
      </c>
      <c r="AH991" s="304">
        <f t="shared" ca="1" si="463"/>
        <v>-7.6275262565436694</v>
      </c>
    </row>
    <row r="992" spans="1:34" x14ac:dyDescent="0.2">
      <c r="A992" s="347">
        <f t="shared" ca="1" si="441"/>
        <v>1E-4</v>
      </c>
      <c r="B992" s="304">
        <f t="shared" ca="1" si="442"/>
        <v>35.127700000001106</v>
      </c>
      <c r="D992" s="306">
        <f t="shared" ca="1" si="443"/>
        <v>-0.80596527139737284</v>
      </c>
      <c r="E992" s="307">
        <f t="shared" ca="1" si="444"/>
        <v>-2.2251385294274533</v>
      </c>
      <c r="F992" s="304">
        <f t="shared" ca="1" si="445"/>
        <v>2.3666054791285367</v>
      </c>
      <c r="G992" s="306">
        <f t="shared" ca="1" si="446"/>
        <v>12.90307885409414</v>
      </c>
      <c r="H992" s="307">
        <f t="shared" ca="1" si="447"/>
        <v>-121.43061218310974</v>
      </c>
      <c r="I992" s="304">
        <f t="shared" ca="1" si="448"/>
        <v>122.1142211991698</v>
      </c>
      <c r="J992" s="306">
        <f t="shared" ca="1" si="449"/>
        <v>874.13727041639572</v>
      </c>
      <c r="K992" s="307">
        <f t="shared" ca="1" si="450"/>
        <v>-6.8505478726219966</v>
      </c>
      <c r="L992" s="304">
        <f t="shared" ca="1" si="435"/>
        <v>874.16411361779319</v>
      </c>
      <c r="M992" s="306">
        <f t="shared" ca="1" si="451"/>
        <v>-1.4649346966189019</v>
      </c>
      <c r="N992" s="304">
        <f t="shared" ca="1" si="452"/>
        <v>-83.934575378540742</v>
      </c>
      <c r="P992" s="310">
        <f t="shared" ca="1" si="453"/>
        <v>23</v>
      </c>
      <c r="Q992" s="304">
        <f t="shared" ca="1" si="454"/>
        <v>0</v>
      </c>
      <c r="R992" s="306">
        <f t="shared" ca="1" si="455"/>
        <v>0</v>
      </c>
      <c r="S992" s="307">
        <f t="shared" ca="1" si="456"/>
        <v>7.8079999999999892</v>
      </c>
      <c r="T992" s="304">
        <f t="shared" ca="1" si="436"/>
        <v>76.5964799999999</v>
      </c>
      <c r="U992" s="311">
        <f t="shared" ca="1" si="437"/>
        <v>0</v>
      </c>
      <c r="V992" s="306">
        <f t="shared" ca="1" si="438"/>
        <v>1.2258394796591761</v>
      </c>
      <c r="W992" s="304">
        <f t="shared" ca="1" si="439"/>
        <v>59.556284696286497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2.1275195498995041</v>
      </c>
      <c r="AH992" s="304">
        <f t="shared" ca="1" si="463"/>
        <v>-7.6275620971890215</v>
      </c>
    </row>
    <row r="993" spans="1:34" x14ac:dyDescent="0.2">
      <c r="A993" s="347">
        <f t="shared" ca="1" si="441"/>
        <v>1E-4</v>
      </c>
      <c r="B993" s="304">
        <f t="shared" ca="1" si="442"/>
        <v>35.127800000001109</v>
      </c>
      <c r="D993" s="306">
        <f t="shared" ca="1" si="443"/>
        <v>-0.80596261998705776</v>
      </c>
      <c r="E993" s="307">
        <f t="shared" ca="1" si="444"/>
        <v>-2.2251022055733829</v>
      </c>
      <c r="F993" s="304">
        <f t="shared" ca="1" si="445"/>
        <v>2.3665704236434495</v>
      </c>
      <c r="G993" s="306">
        <f t="shared" ca="1" si="446"/>
        <v>12.902998257832142</v>
      </c>
      <c r="H993" s="307">
        <f t="shared" ca="1" si="447"/>
        <v>-121.4308346933303</v>
      </c>
      <c r="I993" s="304">
        <f t="shared" ca="1" si="448"/>
        <v>122.11443394767274</v>
      </c>
      <c r="J993" s="306">
        <f t="shared" ca="1" si="449"/>
        <v>874.13727041639572</v>
      </c>
      <c r="K993" s="307">
        <f t="shared" ca="1" si="450"/>
        <v>-6.8626909449658182</v>
      </c>
      <c r="L993" s="304">
        <f t="shared" ca="1" si="435"/>
        <v>874.1642088635482</v>
      </c>
      <c r="M993" s="306">
        <f t="shared" ca="1" si="451"/>
        <v>-1.4649355454653077</v>
      </c>
      <c r="N993" s="304">
        <f t="shared" ca="1" si="452"/>
        <v>-83.93462401385726</v>
      </c>
      <c r="P993" s="310">
        <f t="shared" ca="1" si="453"/>
        <v>23</v>
      </c>
      <c r="Q993" s="304">
        <f t="shared" ca="1" si="454"/>
        <v>0</v>
      </c>
      <c r="R993" s="306">
        <f t="shared" ca="1" si="455"/>
        <v>0</v>
      </c>
      <c r="S993" s="307">
        <f t="shared" ca="1" si="456"/>
        <v>7.8079999999999892</v>
      </c>
      <c r="T993" s="304">
        <f t="shared" ca="1" si="436"/>
        <v>76.5964799999999</v>
      </c>
      <c r="U993" s="311">
        <f t="shared" ca="1" si="437"/>
        <v>0</v>
      </c>
      <c r="V993" s="306">
        <f t="shared" ca="1" si="438"/>
        <v>1.2258409682060032</v>
      </c>
      <c r="W993" s="304">
        <f t="shared" ca="1" si="439"/>
        <v>59.55656453539698</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2.1274845894475112</v>
      </c>
      <c r="AH993" s="304">
        <f t="shared" ca="1" si="463"/>
        <v>-7.6275979375367031</v>
      </c>
    </row>
    <row r="994" spans="1:34" x14ac:dyDescent="0.2">
      <c r="A994" s="347">
        <f t="shared" ca="1" si="441"/>
        <v>1E-4</v>
      </c>
      <c r="B994" s="304">
        <f t="shared" ca="1" si="442"/>
        <v>35.127900000001112</v>
      </c>
      <c r="D994" s="306">
        <f t="shared" ca="1" si="443"/>
        <v>-0.80595996854685192</v>
      </c>
      <c r="E994" s="307">
        <f t="shared" ca="1" si="444"/>
        <v>-2.2250658820210107</v>
      </c>
      <c r="F994" s="304">
        <f t="shared" ca="1" si="445"/>
        <v>2.3665353684730723</v>
      </c>
      <c r="G994" s="306">
        <f t="shared" ca="1" si="446"/>
        <v>12.902917661835287</v>
      </c>
      <c r="H994" s="307">
        <f t="shared" ca="1" si="447"/>
        <v>-121.4310571999185</v>
      </c>
      <c r="I994" s="304">
        <f t="shared" ca="1" si="448"/>
        <v>122.11464669267966</v>
      </c>
      <c r="J994" s="306">
        <f t="shared" ca="1" si="449"/>
        <v>874.13727041639572</v>
      </c>
      <c r="K994" s="307">
        <f t="shared" ca="1" si="450"/>
        <v>-6.874834039560481</v>
      </c>
      <c r="L994" s="304">
        <f t="shared" ca="1" si="435"/>
        <v>874.16430427814794</v>
      </c>
      <c r="M994" s="306">
        <f t="shared" ca="1" si="451"/>
        <v>-1.4649363943034535</v>
      </c>
      <c r="N994" s="304">
        <f t="shared" ca="1" si="452"/>
        <v>-83.934672648700499</v>
      </c>
      <c r="P994" s="310">
        <f t="shared" ca="1" si="453"/>
        <v>23</v>
      </c>
      <c r="Q994" s="304">
        <f t="shared" ca="1" si="454"/>
        <v>0</v>
      </c>
      <c r="R994" s="306">
        <f t="shared" ca="1" si="455"/>
        <v>0</v>
      </c>
      <c r="S994" s="307">
        <f t="shared" ca="1" si="456"/>
        <v>7.8079999999999892</v>
      </c>
      <c r="T994" s="304">
        <f t="shared" ca="1" si="436"/>
        <v>76.5964799999999</v>
      </c>
      <c r="U994" s="311">
        <f t="shared" ca="1" si="437"/>
        <v>0</v>
      </c>
      <c r="V994" s="306">
        <f t="shared" ca="1" si="438"/>
        <v>1.2258424567573658</v>
      </c>
      <c r="W994" s="304">
        <f t="shared" ca="1" si="439"/>
        <v>59.556844372183242</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2.1274496292775984</v>
      </c>
      <c r="AH994" s="304">
        <f t="shared" ca="1" si="463"/>
        <v>-7.6276337775867136</v>
      </c>
    </row>
    <row r="995" spans="1:34" x14ac:dyDescent="0.2">
      <c r="A995" s="347">
        <f t="shared" ca="1" si="441"/>
        <v>1E-4</v>
      </c>
      <c r="B995" s="304">
        <f t="shared" ca="1" si="442"/>
        <v>35.128000000001116</v>
      </c>
      <c r="D995" s="306">
        <f t="shared" ca="1" si="443"/>
        <v>-0.80595731707676033</v>
      </c>
      <c r="E995" s="307">
        <f t="shared" ca="1" si="444"/>
        <v>-2.2250295587703368</v>
      </c>
      <c r="F995" s="304">
        <f t="shared" ca="1" si="445"/>
        <v>2.3665003136174079</v>
      </c>
      <c r="G995" s="306">
        <f t="shared" ca="1" si="446"/>
        <v>12.902837066103579</v>
      </c>
      <c r="H995" s="307">
        <f t="shared" ca="1" si="447"/>
        <v>-121.43127970287438</v>
      </c>
      <c r="I995" s="304">
        <f t="shared" ca="1" si="448"/>
        <v>122.11485943419059</v>
      </c>
      <c r="J995" s="306">
        <f t="shared" ca="1" si="449"/>
        <v>874.13727041639572</v>
      </c>
      <c r="K995" s="307">
        <f t="shared" ca="1" si="450"/>
        <v>-6.8869771564056208</v>
      </c>
      <c r="L995" s="304">
        <f t="shared" ca="1" si="435"/>
        <v>874.16439986159344</v>
      </c>
      <c r="M995" s="306">
        <f t="shared" ca="1" si="451"/>
        <v>-1.4649372431333398</v>
      </c>
      <c r="N995" s="304">
        <f t="shared" ca="1" si="452"/>
        <v>-83.934721283070516</v>
      </c>
      <c r="P995" s="310">
        <f t="shared" ca="1" si="453"/>
        <v>23</v>
      </c>
      <c r="Q995" s="304">
        <f t="shared" ca="1" si="454"/>
        <v>0</v>
      </c>
      <c r="R995" s="306">
        <f t="shared" ca="1" si="455"/>
        <v>0</v>
      </c>
      <c r="S995" s="307">
        <f t="shared" ca="1" si="456"/>
        <v>7.8079999999999892</v>
      </c>
      <c r="T995" s="304">
        <f t="shared" ca="1" si="436"/>
        <v>76.5964799999999</v>
      </c>
      <c r="U995" s="311">
        <f t="shared" ca="1" si="437"/>
        <v>0</v>
      </c>
      <c r="V995" s="306">
        <f t="shared" ca="1" si="438"/>
        <v>1.2258439453132643</v>
      </c>
      <c r="W995" s="304">
        <f t="shared" ca="1" si="439"/>
        <v>59.557124206645327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2.127414669389764</v>
      </c>
      <c r="AH995" s="304">
        <f t="shared" ca="1" si="463"/>
        <v>-7.6276696173390528</v>
      </c>
    </row>
    <row r="996" spans="1:34" x14ac:dyDescent="0.2">
      <c r="A996" s="347">
        <f t="shared" ca="1" si="441"/>
        <v>1E-4</v>
      </c>
      <c r="B996" s="304">
        <f t="shared" ca="1" si="442"/>
        <v>35.128100000001119</v>
      </c>
      <c r="D996" s="306">
        <f t="shared" ca="1" si="443"/>
        <v>-0.80595466557677975</v>
      </c>
      <c r="E996" s="307">
        <f t="shared" ca="1" si="444"/>
        <v>-2.2249932358213558</v>
      </c>
      <c r="F996" s="304">
        <f t="shared" ca="1" si="445"/>
        <v>2.3664652590764494</v>
      </c>
      <c r="G996" s="306">
        <f t="shared" ca="1" si="446"/>
        <v>12.902756470637021</v>
      </c>
      <c r="H996" s="307">
        <f t="shared" ca="1" si="447"/>
        <v>-121.43150220219796</v>
      </c>
      <c r="I996" s="304">
        <f t="shared" ca="1" si="448"/>
        <v>122.11507217220556</v>
      </c>
      <c r="J996" s="306">
        <f t="shared" ca="1" si="449"/>
        <v>874.13727041639572</v>
      </c>
      <c r="K996" s="307">
        <f t="shared" ca="1" si="450"/>
        <v>-6.8991202955008744</v>
      </c>
      <c r="L996" s="304">
        <f t="shared" ca="1" si="435"/>
        <v>874.16449561388538</v>
      </c>
      <c r="M996" s="306">
        <f t="shared" ca="1" si="451"/>
        <v>-1.4649380919549664</v>
      </c>
      <c r="N996" s="304">
        <f t="shared" ca="1" si="452"/>
        <v>-83.934769916967269</v>
      </c>
      <c r="P996" s="310">
        <f t="shared" ca="1" si="453"/>
        <v>23</v>
      </c>
      <c r="Q996" s="304">
        <f t="shared" ca="1" si="454"/>
        <v>0</v>
      </c>
      <c r="R996" s="306">
        <f t="shared" ca="1" si="455"/>
        <v>0</v>
      </c>
      <c r="S996" s="307">
        <f t="shared" ca="1" si="456"/>
        <v>7.8079999999999892</v>
      </c>
      <c r="T996" s="304">
        <f t="shared" ca="1" si="436"/>
        <v>76.5964799999999</v>
      </c>
      <c r="U996" s="311">
        <f t="shared" ca="1" si="437"/>
        <v>0</v>
      </c>
      <c r="V996" s="306">
        <f t="shared" ca="1" si="438"/>
        <v>1.2258454338736986</v>
      </c>
      <c r="W996" s="304">
        <f t="shared" ca="1" si="439"/>
        <v>59.557404038783169</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2.1273797097840088</v>
      </c>
      <c r="AH996" s="304">
        <f t="shared" ca="1" si="463"/>
        <v>-7.6277054567937252</v>
      </c>
    </row>
    <row r="997" spans="1:34" x14ac:dyDescent="0.2">
      <c r="A997" s="347">
        <f t="shared" ca="1" si="441"/>
        <v>1E-4</v>
      </c>
      <c r="B997" s="304">
        <f t="shared" ca="1" si="442"/>
        <v>35.128200000001122</v>
      </c>
      <c r="D997" s="306">
        <f t="shared" ca="1" si="443"/>
        <v>-0.80595201404691486</v>
      </c>
      <c r="E997" s="307">
        <f t="shared" ca="1" si="444"/>
        <v>-2.2249569131740765</v>
      </c>
      <c r="F997" s="304">
        <f t="shared" ca="1" si="445"/>
        <v>2.3664302048502073</v>
      </c>
      <c r="G997" s="306">
        <f t="shared" ca="1" si="446"/>
        <v>12.902675875435616</v>
      </c>
      <c r="H997" s="307">
        <f t="shared" ca="1" si="447"/>
        <v>-121.43172469788928</v>
      </c>
      <c r="I997" s="304">
        <f t="shared" ca="1" si="448"/>
        <v>122.1152849067246</v>
      </c>
      <c r="J997" s="306">
        <f t="shared" ca="1" si="449"/>
        <v>874.13727041639572</v>
      </c>
      <c r="K997" s="307">
        <f t="shared" ca="1" si="450"/>
        <v>-6.9112634568458784</v>
      </c>
      <c r="L997" s="304">
        <f t="shared" ca="1" si="435"/>
        <v>874.1645915350249</v>
      </c>
      <c r="M997" s="306">
        <f t="shared" ca="1" si="451"/>
        <v>-1.4649389407683335</v>
      </c>
      <c r="N997" s="304">
        <f t="shared" ca="1" si="452"/>
        <v>-83.934818550390801</v>
      </c>
      <c r="P997" s="310">
        <f t="shared" ca="1" si="453"/>
        <v>23</v>
      </c>
      <c r="Q997" s="304">
        <f t="shared" ca="1" si="454"/>
        <v>0</v>
      </c>
      <c r="R997" s="306">
        <f t="shared" ca="1" si="455"/>
        <v>0</v>
      </c>
      <c r="S997" s="307">
        <f t="shared" ca="1" si="456"/>
        <v>7.8079999999999892</v>
      </c>
      <c r="T997" s="304">
        <f t="shared" ca="1" si="436"/>
        <v>76.5964799999999</v>
      </c>
      <c r="U997" s="311">
        <f t="shared" ca="1" si="437"/>
        <v>0</v>
      </c>
      <c r="V997" s="306">
        <f t="shared" ca="1" si="438"/>
        <v>1.2258469224386688</v>
      </c>
      <c r="W997" s="304">
        <f t="shared" ca="1" si="439"/>
        <v>59.557683868596826</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2.1273447504603364</v>
      </c>
      <c r="AH997" s="304">
        <f t="shared" ca="1" si="463"/>
        <v>-7.6277412959507238</v>
      </c>
    </row>
    <row r="998" spans="1:34" x14ac:dyDescent="0.2">
      <c r="A998" s="347">
        <f t="shared" ca="1" si="441"/>
        <v>1E-4</v>
      </c>
      <c r="B998" s="304">
        <f t="shared" ca="1" si="442"/>
        <v>35.128300000001126</v>
      </c>
      <c r="D998" s="306">
        <f t="shared" ca="1" si="443"/>
        <v>-0.8059493624871642</v>
      </c>
      <c r="E998" s="307">
        <f t="shared" ca="1" si="444"/>
        <v>-2.2249205908284901</v>
      </c>
      <c r="F998" s="304">
        <f t="shared" ca="1" si="445"/>
        <v>2.3663951509386729</v>
      </c>
      <c r="G998" s="306">
        <f t="shared" ca="1" si="446"/>
        <v>12.902595280499368</v>
      </c>
      <c r="H998" s="307">
        <f t="shared" ca="1" si="447"/>
        <v>-121.43194718994836</v>
      </c>
      <c r="I998" s="304">
        <f t="shared" ca="1" si="448"/>
        <v>122.11549763774774</v>
      </c>
      <c r="J998" s="306">
        <f t="shared" ca="1" si="449"/>
        <v>874.13727041639572</v>
      </c>
      <c r="K998" s="307">
        <f t="shared" ca="1" si="450"/>
        <v>-6.9234066404402705</v>
      </c>
      <c r="L998" s="304">
        <f t="shared" ca="1" si="435"/>
        <v>874.16468762501256</v>
      </c>
      <c r="M998" s="306">
        <f t="shared" ca="1" si="451"/>
        <v>-1.4649397895734413</v>
      </c>
      <c r="N998" s="304">
        <f t="shared" ca="1" si="452"/>
        <v>-83.934867183341112</v>
      </c>
      <c r="P998" s="310">
        <f t="shared" ca="1" si="453"/>
        <v>23</v>
      </c>
      <c r="Q998" s="304">
        <f t="shared" ca="1" si="454"/>
        <v>0</v>
      </c>
      <c r="R998" s="306">
        <f t="shared" ca="1" si="455"/>
        <v>0</v>
      </c>
      <c r="S998" s="307">
        <f t="shared" ca="1" si="456"/>
        <v>7.8079999999999892</v>
      </c>
      <c r="T998" s="304">
        <f t="shared" ca="1" si="436"/>
        <v>76.5964799999999</v>
      </c>
      <c r="U998" s="311">
        <f t="shared" ca="1" si="437"/>
        <v>0</v>
      </c>
      <c r="V998" s="306">
        <f t="shared" ca="1" si="438"/>
        <v>1.2258484110081742</v>
      </c>
      <c r="W998" s="304">
        <f t="shared" ca="1" si="439"/>
        <v>59.557963696086269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2.1273097914187424</v>
      </c>
      <c r="AH998" s="304">
        <f t="shared" ca="1" si="463"/>
        <v>-7.6277771348100547</v>
      </c>
    </row>
    <row r="999" spans="1:34" x14ac:dyDescent="0.2">
      <c r="A999" s="347">
        <f t="shared" ca="1" si="441"/>
        <v>1E-4</v>
      </c>
      <c r="B999" s="304">
        <f t="shared" ca="1" si="442"/>
        <v>35.128400000001129</v>
      </c>
      <c r="D999" s="306">
        <f t="shared" ca="1" si="443"/>
        <v>-0.80594671089752956</v>
      </c>
      <c r="E999" s="307">
        <f t="shared" ca="1" si="444"/>
        <v>-2.2248842687846029</v>
      </c>
      <c r="F999" s="304">
        <f t="shared" ca="1" si="445"/>
        <v>2.3663600973418526</v>
      </c>
      <c r="G999" s="306">
        <f t="shared" ca="1" si="446"/>
        <v>12.902514685828278</v>
      </c>
      <c r="H999" s="307">
        <f t="shared" ca="1" si="447"/>
        <v>-121.43216967837525</v>
      </c>
      <c r="I999" s="304">
        <f t="shared" ca="1" si="448"/>
        <v>122.11571036527499</v>
      </c>
      <c r="J999" s="306">
        <f t="shared" ca="1" si="449"/>
        <v>874.13727041639572</v>
      </c>
      <c r="K999" s="307">
        <f t="shared" ca="1" si="450"/>
        <v>-6.9355498462836866</v>
      </c>
      <c r="L999" s="304">
        <f t="shared" ca="1" si="435"/>
        <v>874.16478388384951</v>
      </c>
      <c r="M999" s="306">
        <f t="shared" ca="1" si="451"/>
        <v>-1.4649406383702899</v>
      </c>
      <c r="N999" s="304">
        <f t="shared" ca="1" si="452"/>
        <v>-83.934915815818201</v>
      </c>
      <c r="P999" s="310">
        <f t="shared" ca="1" si="453"/>
        <v>23</v>
      </c>
      <c r="Q999" s="304">
        <f t="shared" ca="1" si="454"/>
        <v>0</v>
      </c>
      <c r="R999" s="306">
        <f t="shared" ca="1" si="455"/>
        <v>0</v>
      </c>
      <c r="S999" s="307">
        <f t="shared" ca="1" si="456"/>
        <v>7.8079999999999892</v>
      </c>
      <c r="T999" s="304">
        <f t="shared" ca="1" si="436"/>
        <v>76.5964799999999</v>
      </c>
      <c r="U999" s="311">
        <f t="shared" ca="1" si="437"/>
        <v>0</v>
      </c>
      <c r="V999" s="306">
        <f t="shared" ca="1" si="438"/>
        <v>1.2258498995822156</v>
      </c>
      <c r="W999" s="304">
        <f t="shared" ca="1" si="439"/>
        <v>59.558243521251505</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2.1272748326592295</v>
      </c>
      <c r="AH999" s="304">
        <f t="shared" ca="1" si="463"/>
        <v>-7.6278129733717153</v>
      </c>
    </row>
    <row r="1000" spans="1:34" x14ac:dyDescent="0.2">
      <c r="A1000" s="347">
        <f t="shared" ca="1" si="441"/>
        <v>1E-4</v>
      </c>
      <c r="B1000" s="304">
        <f t="shared" ca="1" si="442"/>
        <v>35.128500000001132</v>
      </c>
      <c r="D1000" s="306">
        <f t="shared" ca="1" si="443"/>
        <v>-0.80594405927801049</v>
      </c>
      <c r="E1000" s="307">
        <f t="shared" ca="1" si="444"/>
        <v>-2.2248479470424112</v>
      </c>
      <c r="F1000" s="304">
        <f t="shared" ca="1" si="445"/>
        <v>2.3663250440597436</v>
      </c>
      <c r="G1000" s="306">
        <f t="shared" ca="1" si="446"/>
        <v>12.90243409142235</v>
      </c>
      <c r="H1000" s="307">
        <f t="shared" ca="1" si="447"/>
        <v>-121.43239216316995</v>
      </c>
      <c r="I1000" s="304">
        <f t="shared" ca="1" si="448"/>
        <v>122.11592308930641</v>
      </c>
      <c r="J1000" s="306">
        <f t="shared" ca="1" si="449"/>
        <v>874.13727041639572</v>
      </c>
      <c r="K1000" s="307">
        <f t="shared" ca="1" si="450"/>
        <v>-6.9476930743757643</v>
      </c>
      <c r="L1000" s="304">
        <f t="shared" ca="1" si="435"/>
        <v>874.16488031153631</v>
      </c>
      <c r="M1000" s="306">
        <f t="shared" ca="1" si="451"/>
        <v>-1.4649414871588795</v>
      </c>
      <c r="N1000" s="304">
        <f t="shared" ca="1" si="452"/>
        <v>-83.934964447822082</v>
      </c>
      <c r="P1000" s="310">
        <f t="shared" ca="1" si="453"/>
        <v>23</v>
      </c>
      <c r="Q1000" s="304">
        <f t="shared" ca="1" si="454"/>
        <v>0</v>
      </c>
      <c r="R1000" s="306">
        <f t="shared" ca="1" si="455"/>
        <v>0</v>
      </c>
      <c r="S1000" s="307">
        <f t="shared" ca="1" si="456"/>
        <v>7.8079999999999892</v>
      </c>
      <c r="T1000" s="304">
        <f t="shared" ca="1" si="436"/>
        <v>76.5964799999999</v>
      </c>
      <c r="U1000" s="311">
        <f t="shared" ca="1" si="437"/>
        <v>0</v>
      </c>
      <c r="V1000" s="306">
        <f t="shared" ca="1" si="438"/>
        <v>1.2258513881607926</v>
      </c>
      <c r="W1000" s="304">
        <f t="shared" ca="1" si="439"/>
        <v>59.558523344092528</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2.1272398741817975</v>
      </c>
      <c r="AH1000" s="304">
        <f t="shared" ca="1" si="463"/>
        <v>-7.6278488116357055</v>
      </c>
    </row>
    <row r="1001" spans="1:34" x14ac:dyDescent="0.2">
      <c r="A1001" s="347">
        <f t="shared" ca="1" si="441"/>
        <v>1E-4</v>
      </c>
      <c r="B1001" s="304">
        <f t="shared" ca="1" si="442"/>
        <v>35.128600000001136</v>
      </c>
      <c r="D1001" s="306">
        <f t="shared" ca="1" si="443"/>
        <v>-0.80594140762860722</v>
      </c>
      <c r="E1001" s="307">
        <f t="shared" ca="1" si="444"/>
        <v>-2.2248116256019177</v>
      </c>
      <c r="F1001" s="304">
        <f t="shared" ca="1" si="445"/>
        <v>2.3662899910923487</v>
      </c>
      <c r="G1001" s="306">
        <f t="shared" ca="1" si="446"/>
        <v>12.902353497281588</v>
      </c>
      <c r="H1001" s="307">
        <f t="shared" ca="1" si="447"/>
        <v>-121.43261464433252</v>
      </c>
      <c r="I1001" s="304">
        <f t="shared" ca="1" si="448"/>
        <v>122.11613580984201</v>
      </c>
      <c r="J1001" s="306">
        <f t="shared" ca="1" si="449"/>
        <v>874.13727041639572</v>
      </c>
      <c r="K1001" s="307">
        <f t="shared" ca="1" si="450"/>
        <v>-6.9598363247161394</v>
      </c>
      <c r="L1001" s="304">
        <f t="shared" ca="1" si="435"/>
        <v>874.1649769080741</v>
      </c>
      <c r="M1001" s="306">
        <f t="shared" ca="1" si="451"/>
        <v>-1.46494233593921</v>
      </c>
      <c r="N1001" s="304">
        <f t="shared" ca="1" si="452"/>
        <v>-83.935013079352743</v>
      </c>
      <c r="P1001" s="310">
        <f t="shared" ca="1" si="453"/>
        <v>23</v>
      </c>
      <c r="Q1001" s="304">
        <f t="shared" ca="1" si="454"/>
        <v>0</v>
      </c>
      <c r="R1001" s="306">
        <f t="shared" ca="1" si="455"/>
        <v>0</v>
      </c>
      <c r="S1001" s="307">
        <f t="shared" ca="1" si="456"/>
        <v>7.8079999999999892</v>
      </c>
      <c r="T1001" s="304">
        <f t="shared" ca="1" si="436"/>
        <v>76.5964799999999</v>
      </c>
      <c r="U1001" s="311">
        <f t="shared" ca="1" si="437"/>
        <v>0</v>
      </c>
      <c r="V1001" s="306">
        <f t="shared" ca="1" si="438"/>
        <v>1.225852876743905</v>
      </c>
      <c r="W1001" s="304">
        <f t="shared" ca="1" si="439"/>
        <v>59.558803164609344</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2.1272049159864492</v>
      </c>
      <c r="AH1001" s="304">
        <f t="shared" ca="1" si="463"/>
        <v>-7.6278846496020245</v>
      </c>
    </row>
    <row r="1002" spans="1:34" x14ac:dyDescent="0.2">
      <c r="A1002" s="347">
        <f t="shared" ca="1" si="441"/>
        <v>1E-4</v>
      </c>
      <c r="B1002" s="304">
        <f t="shared" ca="1" si="442"/>
        <v>35.128700000001139</v>
      </c>
      <c r="D1002" s="306">
        <f t="shared" ca="1" si="443"/>
        <v>-0.80593875594932318</v>
      </c>
      <c r="E1002" s="307">
        <f t="shared" ca="1" si="444"/>
        <v>-2.2247753044631207</v>
      </c>
      <c r="F1002" s="304">
        <f t="shared" ca="1" si="445"/>
        <v>2.3662549384396674</v>
      </c>
      <c r="G1002" s="306">
        <f t="shared" ca="1" si="446"/>
        <v>12.902272903405994</v>
      </c>
      <c r="H1002" s="307">
        <f t="shared" ca="1" si="447"/>
        <v>-121.43283712186296</v>
      </c>
      <c r="I1002" s="304">
        <f t="shared" ca="1" si="448"/>
        <v>122.11634852688179</v>
      </c>
      <c r="J1002" s="306">
        <f t="shared" ca="1" si="449"/>
        <v>874.13727041639572</v>
      </c>
      <c r="K1002" s="307">
        <f t="shared" ca="1" si="450"/>
        <v>-6.9719795973044496</v>
      </c>
      <c r="L1002" s="304">
        <f t="shared" ca="1" si="435"/>
        <v>874.16507367346367</v>
      </c>
      <c r="M1002" s="306">
        <f t="shared" ca="1" si="451"/>
        <v>-1.4649431847112815</v>
      </c>
      <c r="N1002" s="304">
        <f t="shared" ca="1" si="452"/>
        <v>-83.93506171041021</v>
      </c>
      <c r="P1002" s="310">
        <f t="shared" ca="1" si="453"/>
        <v>23</v>
      </c>
      <c r="Q1002" s="304">
        <f t="shared" ca="1" si="454"/>
        <v>0</v>
      </c>
      <c r="R1002" s="306">
        <f t="shared" ca="1" si="455"/>
        <v>0</v>
      </c>
      <c r="S1002" s="307">
        <f t="shared" ca="1" si="456"/>
        <v>7.8079999999999892</v>
      </c>
      <c r="T1002" s="304">
        <f t="shared" ca="1" si="436"/>
        <v>76.5964799999999</v>
      </c>
      <c r="U1002" s="311">
        <f t="shared" ca="1" si="437"/>
        <v>0</v>
      </c>
      <c r="V1002" s="306">
        <f t="shared" ca="1" si="438"/>
        <v>1.2258543653315528</v>
      </c>
      <c r="W1002" s="304">
        <f t="shared" ca="1" si="439"/>
        <v>59.559082982801918</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2.1271699580731802</v>
      </c>
      <c r="AH1002" s="304">
        <f t="shared" ca="1" si="463"/>
        <v>-7.627920487270675</v>
      </c>
    </row>
    <row r="1003" spans="1:34" x14ac:dyDescent="0.2">
      <c r="A1003" s="347">
        <f t="shared" ca="1" si="441"/>
        <v>1E-4</v>
      </c>
      <c r="B1003" s="304">
        <f t="shared" ca="1" si="442"/>
        <v>35.128800000001142</v>
      </c>
      <c r="D1003" s="306">
        <f t="shared" ca="1" si="443"/>
        <v>-0.8059361042401576</v>
      </c>
      <c r="E1003" s="307">
        <f t="shared" ca="1" si="444"/>
        <v>-2.2247389836260254</v>
      </c>
      <c r="F1003" s="304">
        <f t="shared" ca="1" si="445"/>
        <v>2.3662198861017045</v>
      </c>
      <c r="G1003" s="306">
        <f t="shared" ca="1" si="446"/>
        <v>12.90219230979557</v>
      </c>
      <c r="H1003" s="307">
        <f t="shared" ca="1" si="447"/>
        <v>-121.43305959576132</v>
      </c>
      <c r="I1003" s="304">
        <f t="shared" ca="1" si="448"/>
        <v>122.11656124042581</v>
      </c>
      <c r="J1003" s="306">
        <f t="shared" ca="1" si="449"/>
        <v>874.13727041639572</v>
      </c>
      <c r="K1003" s="307">
        <f t="shared" ca="1" si="450"/>
        <v>-6.9841228921403307</v>
      </c>
      <c r="L1003" s="304">
        <f t="shared" ca="1" si="435"/>
        <v>874.16517060770582</v>
      </c>
      <c r="M1003" s="306">
        <f t="shared" ca="1" si="451"/>
        <v>-1.4649440334750945</v>
      </c>
      <c r="N1003" s="304">
        <f t="shared" ca="1" si="452"/>
        <v>-83.935110340994498</v>
      </c>
      <c r="P1003" s="310">
        <f t="shared" ca="1" si="453"/>
        <v>23</v>
      </c>
      <c r="Q1003" s="304">
        <f t="shared" ca="1" si="454"/>
        <v>0</v>
      </c>
      <c r="R1003" s="306">
        <f t="shared" ca="1" si="455"/>
        <v>0</v>
      </c>
      <c r="S1003" s="307">
        <f t="shared" ca="1" si="456"/>
        <v>7.8079999999999892</v>
      </c>
      <c r="T1003" s="304">
        <f t="shared" ca="1" si="436"/>
        <v>76.5964799999999</v>
      </c>
      <c r="U1003" s="311">
        <f t="shared" ca="1" si="437"/>
        <v>0</v>
      </c>
      <c r="V1003" s="306">
        <f ca="1">Rho_moyen*(20000-Alt_rampe-pos_z)/(20000+Alt_rampe+pos_z)</f>
        <v>1.2258558539237361</v>
      </c>
      <c r="W1003" s="304">
        <f t="shared" ca="1" si="439"/>
        <v>59.559362798670264</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2.1271350004419975</v>
      </c>
      <c r="AH1003" s="304">
        <f t="shared" ca="1" si="463"/>
        <v>-7.6279563246416497</v>
      </c>
    </row>
    <row r="1004" spans="1:34" x14ac:dyDescent="0.2">
      <c r="A1004" s="348">
        <f t="shared" ca="1" si="441"/>
        <v>1E-4</v>
      </c>
      <c r="B1004" s="305">
        <f t="shared" ca="1" si="442"/>
        <v>35.128900000001146</v>
      </c>
      <c r="D1004" s="308">
        <f t="shared" ca="1" si="443"/>
        <v>-0.80593345250110915</v>
      </c>
      <c r="E1004" s="309">
        <f t="shared" ca="1" si="444"/>
        <v>-2.2247026630906293</v>
      </c>
      <c r="F1004" s="305">
        <f t="shared" ca="1" si="445"/>
        <v>2.366184834078457</v>
      </c>
      <c r="G1004" s="308">
        <f t="shared" ca="1" si="446"/>
        <v>12.902111716450319</v>
      </c>
      <c r="H1004" s="309">
        <f t="shared" ca="1" si="447"/>
        <v>-121.43328206602763</v>
      </c>
      <c r="I1004" s="305">
        <f t="shared" ca="1" si="448"/>
        <v>122.11677395047411</v>
      </c>
      <c r="J1004" s="308">
        <f t="shared" ca="1" si="449"/>
        <v>874.13727041639572</v>
      </c>
      <c r="K1004" s="309">
        <f t="shared" ca="1" si="450"/>
        <v>-6.9962662092234202</v>
      </c>
      <c r="L1004" s="305">
        <f t="shared" ca="1" si="435"/>
        <v>874.16526771080146</v>
      </c>
      <c r="M1004" s="308">
        <f t="shared" ca="1" si="451"/>
        <v>-1.4649448822306488</v>
      </c>
      <c r="N1004" s="305">
        <f t="shared" ca="1" si="452"/>
        <v>-83.935158971105608</v>
      </c>
      <c r="P1004" s="312">
        <f t="shared" ca="1" si="453"/>
        <v>23</v>
      </c>
      <c r="Q1004" s="305">
        <f t="shared" ca="1" si="454"/>
        <v>0</v>
      </c>
      <c r="R1004" s="308">
        <f t="shared" ca="1" si="455"/>
        <v>0</v>
      </c>
      <c r="S1004" s="309">
        <f t="shared" ca="1" si="456"/>
        <v>7.8079999999999892</v>
      </c>
      <c r="T1004" s="305">
        <f t="shared" ca="1" si="436"/>
        <v>76.5964799999999</v>
      </c>
      <c r="U1004" s="313">
        <f t="shared" ca="1" si="437"/>
        <v>0</v>
      </c>
      <c r="V1004" s="308">
        <f t="shared" ca="1" si="438"/>
        <v>1.2258573425204551</v>
      </c>
      <c r="W1004" s="305">
        <f ca="1">1/2*Rho*Sref*Cx*vit_xz^2</f>
        <v>59.559642612214446</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2.1271000430929012</v>
      </c>
      <c r="AH1004" s="305">
        <f t="shared" ca="1" si="463"/>
        <v>-7.6279921617149524</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76" t="s">
        <v>281</v>
      </c>
      <c r="D2" s="576"/>
      <c r="M2" s="75"/>
    </row>
    <row r="3" spans="1:13" ht="12.75" customHeight="1" x14ac:dyDescent="0.2">
      <c r="A3" s="56"/>
      <c r="B3" s="2"/>
      <c r="C3" s="576"/>
      <c r="D3" s="576"/>
      <c r="M3" s="75"/>
    </row>
    <row r="4" spans="1:13" x14ac:dyDescent="0.2">
      <c r="A4" s="56"/>
      <c r="B4" s="2"/>
      <c r="C4" s="580" t="str">
        <f>IF(Lang="Français","Abaques de performance",IF(Lang="English","Performance charts",""))</f>
        <v>Abaques de performance</v>
      </c>
      <c r="D4" s="580"/>
      <c r="M4" s="75"/>
    </row>
    <row r="5" spans="1:13" x14ac:dyDescent="0.2">
      <c r="A5" s="56"/>
      <c r="B5" s="2"/>
      <c r="C5" s="580" t="str">
        <f>IF(Lang="Français","Calcul analytique simple",IF(Lang="English","Analytical computation",""))</f>
        <v>Calcul analytique simple</v>
      </c>
      <c r="D5" s="580"/>
      <c r="M5" s="75"/>
    </row>
    <row r="6" spans="1:13" x14ac:dyDescent="0.2">
      <c r="A6" s="56"/>
      <c r="B6" s="87"/>
      <c r="C6" s="1"/>
      <c r="D6" s="1"/>
      <c r="M6" s="75"/>
    </row>
    <row r="7" spans="1:13" x14ac:dyDescent="0.2">
      <c r="A7" s="59"/>
      <c r="B7" s="6"/>
      <c r="C7" s="556" t="str">
        <f>IF(Lang="Français","Fusée",IF(Lang="English","Rocket",""))</f>
        <v>Fusée</v>
      </c>
      <c r="D7" s="556"/>
      <c r="M7" s="75"/>
    </row>
    <row r="8" spans="1:13" ht="15.75" x14ac:dyDescent="0.25">
      <c r="A8" s="59"/>
      <c r="B8" s="140" t="str">
        <f>IF(Lang="Français","Nom",IF(Lang="English","Name",""))</f>
        <v>Nom</v>
      </c>
      <c r="C8" s="577" t="str">
        <f>Nom</f>
        <v>SP02</v>
      </c>
      <c r="D8" s="577"/>
      <c r="M8" s="75"/>
    </row>
    <row r="9" spans="1:13" ht="15.75" x14ac:dyDescent="0.25">
      <c r="A9" s="59"/>
      <c r="B9" s="140" t="s">
        <v>4</v>
      </c>
      <c r="C9" s="577" t="str">
        <f>Club</f>
        <v>L'AéroIPSA</v>
      </c>
      <c r="D9" s="577"/>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MasseSans</f>
        <v>7.1559999999999997</v>
      </c>
      <c r="D11" s="664"/>
      <c r="M11" s="75"/>
    </row>
    <row r="12" spans="1:13" x14ac:dyDescent="0.2">
      <c r="A12" s="59"/>
      <c r="B12" s="140" t="str">
        <f>IF(Lang="Français","Masse totale",IF(Lang="English","Total mass",""))</f>
        <v>Masse totale</v>
      </c>
      <c r="C12" s="667" t="str">
        <f ca="1">MassePlein &amp; " kg ±" &amp; MasseSans &amp; " kg"</f>
        <v>8,841 kg ±7,156 kg</v>
      </c>
      <c r="D12" s="667"/>
      <c r="M12" s="75"/>
    </row>
    <row r="13" spans="1:13" x14ac:dyDescent="0.2">
      <c r="A13" s="59"/>
      <c r="B13" s="227" t="str">
        <f>IF(Lang="Français","Propulseur",IF(Lang="English","Motor",""))</f>
        <v>Propulseur</v>
      </c>
      <c r="C13" s="554" t="str">
        <f>Propu</f>
        <v>Barasinga (Pro54-5G C)</v>
      </c>
      <c r="D13" s="555"/>
      <c r="M13" s="75"/>
    </row>
    <row r="14" spans="1:13" x14ac:dyDescent="0.2">
      <c r="A14" s="59"/>
      <c r="B14" s="1"/>
      <c r="C14" s="1"/>
      <c r="D14" s="1"/>
      <c r="M14" s="75"/>
    </row>
    <row r="15" spans="1:13" x14ac:dyDescent="0.2">
      <c r="A15" s="74"/>
      <c r="C15" s="556" t="str">
        <f>IF(Lang="Français","Traînée Aérdynamique",IF(Lang="English","Drag",""))</f>
        <v>Traînée Aérdynamique</v>
      </c>
      <c r="D15" s="556"/>
      <c r="M15" s="75"/>
    </row>
    <row r="16" spans="1:13" x14ac:dyDescent="0.2">
      <c r="A16" s="74"/>
      <c r="B16" s="139" t="str">
        <f>IF(Lang="Français","Diamètre Ø",IF(Lang="English","Diameter Ø",""))</f>
        <v>Diamètre Ø</v>
      </c>
      <c r="C16" s="665">
        <f>D_ref</f>
        <v>94.331384015594537</v>
      </c>
      <c r="D16" s="665"/>
      <c r="M16" s="75"/>
    </row>
    <row r="17" spans="1:13" x14ac:dyDescent="0.2">
      <c r="A17" s="74"/>
      <c r="B17" s="140" t="s">
        <v>5</v>
      </c>
      <c r="C17" s="666">
        <f>Cx</f>
        <v>0.7</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3.4740000000000002</v>
      </c>
      <c r="E44" s="401">
        <f t="shared" ca="1" si="2"/>
        <v>2.9575000000000005</v>
      </c>
      <c r="F44" s="401">
        <f t="shared" ca="1" si="3"/>
        <v>2.4410000000000003</v>
      </c>
      <c r="G44" s="408">
        <f t="shared" ca="1" si="4"/>
        <v>184.05715705550071</v>
      </c>
      <c r="H44" s="404">
        <f t="shared" ca="1" si="5"/>
        <v>3.32014293428642E-4</v>
      </c>
      <c r="I44" s="404">
        <f t="shared" ca="1" si="6"/>
        <v>4.0226639607341612E-4</v>
      </c>
      <c r="J44" s="404">
        <f t="shared" ca="1" si="7"/>
        <v>1056.8435314795147</v>
      </c>
      <c r="K44" s="411">
        <f t="shared" ca="1" si="8"/>
        <v>528.73772959804114</v>
      </c>
      <c r="L44" s="414">
        <f t="shared" ca="1" si="9"/>
        <v>4192.6032979354004</v>
      </c>
      <c r="M44" s="417">
        <f t="shared" ca="1" si="10"/>
        <v>24.023463422765417</v>
      </c>
    </row>
    <row r="45" spans="1:13" x14ac:dyDescent="0.2">
      <c r="B45" s="426">
        <f t="shared" ca="1" si="0"/>
        <v>54</v>
      </c>
      <c r="C45" s="404">
        <f t="shared" ca="1" si="1"/>
        <v>9.8193227281520882E-4</v>
      </c>
      <c r="D45" s="401">
        <f ca="1">MpropuPlein+0.5*MasseSans</f>
        <v>5.2629999999999999</v>
      </c>
      <c r="E45" s="401">
        <f t="shared" ca="1" si="2"/>
        <v>4.7465000000000002</v>
      </c>
      <c r="F45" s="401">
        <f t="shared" ca="1" si="3"/>
        <v>4.2300000000000004</v>
      </c>
      <c r="G45" s="408">
        <f t="shared" ca="1" si="4"/>
        <v>110.98682228834792</v>
      </c>
      <c r="H45" s="404">
        <f t="shared" ca="1" si="5"/>
        <v>2.0687501797434085E-4</v>
      </c>
      <c r="I45" s="404">
        <f t="shared" ca="1" si="6"/>
        <v>2.3213528908160963E-4</v>
      </c>
      <c r="J45" s="404">
        <f t="shared" ca="1" si="7"/>
        <v>682.4864506002117</v>
      </c>
      <c r="K45" s="411">
        <f t="shared" ca="1" si="8"/>
        <v>363.29532408852629</v>
      </c>
      <c r="L45" s="414">
        <f t="shared" ca="1" si="9"/>
        <v>3733.7579267385991</v>
      </c>
      <c r="M45" s="417">
        <f t="shared" ca="1" si="10"/>
        <v>25.715977303579471</v>
      </c>
    </row>
    <row r="46" spans="1:13" x14ac:dyDescent="0.2">
      <c r="B46" s="426">
        <f t="shared" ca="1" si="0"/>
        <v>54</v>
      </c>
      <c r="C46" s="404">
        <f t="shared" ca="1" si="1"/>
        <v>9.8193227281520882E-4</v>
      </c>
      <c r="D46" s="401">
        <f ca="1">MpropuPlein+0.75*MasseSans</f>
        <v>7.0519999999999996</v>
      </c>
      <c r="E46" s="401">
        <f t="shared" ca="1" si="2"/>
        <v>6.5354999999999999</v>
      </c>
      <c r="F46" s="401">
        <f t="shared" ca="1" si="3"/>
        <v>6.0190000000000001</v>
      </c>
      <c r="G46" s="408">
        <f t="shared" ca="1" si="4"/>
        <v>77.920413433041617</v>
      </c>
      <c r="H46" s="404">
        <f t="shared" ca="1" si="5"/>
        <v>1.5024592958690365E-4</v>
      </c>
      <c r="I46" s="404">
        <f t="shared" ca="1" si="6"/>
        <v>1.6313877268901958E-4</v>
      </c>
      <c r="J46" s="404">
        <f t="shared" ca="1" si="7"/>
        <v>489.98186438931464</v>
      </c>
      <c r="K46" s="411">
        <f t="shared" ca="1" si="8"/>
        <v>266.46540476603809</v>
      </c>
      <c r="L46" s="414">
        <f t="shared" ca="1" si="9"/>
        <v>2879.6151508472808</v>
      </c>
      <c r="M46" s="417">
        <f t="shared" ca="1" si="10"/>
        <v>24.259840940519293</v>
      </c>
    </row>
    <row r="47" spans="1:13" x14ac:dyDescent="0.2">
      <c r="B47" s="426">
        <f t="shared" ca="1" si="0"/>
        <v>54</v>
      </c>
      <c r="C47" s="404">
        <f t="shared" ca="1" si="1"/>
        <v>9.8193227281520882E-4</v>
      </c>
      <c r="D47" s="401">
        <f ca="1">MpropuPlein+1*MasseSans</f>
        <v>8.8409999999999993</v>
      </c>
      <c r="E47" s="401">
        <f t="shared" ca="1" si="2"/>
        <v>8.3244999999999987</v>
      </c>
      <c r="F47" s="401">
        <f t="shared" ca="1" si="3"/>
        <v>7.8079999999999998</v>
      </c>
      <c r="G47" s="408">
        <f t="shared" ca="1" si="4"/>
        <v>59.066463089872485</v>
      </c>
      <c r="H47" s="404">
        <f t="shared" ca="1" si="5"/>
        <v>1.1795690705930795E-4</v>
      </c>
      <c r="I47" s="404">
        <f t="shared" ca="1" si="6"/>
        <v>1.2575976854702981E-4</v>
      </c>
      <c r="J47" s="404">
        <f t="shared" ca="1" si="7"/>
        <v>375.06361316863672</v>
      </c>
      <c r="K47" s="411">
        <f t="shared" ca="1" si="8"/>
        <v>205.92159522149302</v>
      </c>
      <c r="L47" s="414">
        <f t="shared" ca="1" si="9"/>
        <v>2101.0327891240649</v>
      </c>
      <c r="M47" s="417">
        <f t="shared" ca="1" si="10"/>
        <v>21.677769481162265</v>
      </c>
    </row>
    <row r="48" spans="1:13" x14ac:dyDescent="0.2">
      <c r="B48" s="426">
        <f t="shared" ca="1" si="0"/>
        <v>54</v>
      </c>
      <c r="C48" s="404">
        <f t="shared" ca="1" si="1"/>
        <v>9.8193227281520882E-4</v>
      </c>
      <c r="D48" s="401">
        <f ca="1">MpropuPlein+1.25*MasseSans</f>
        <v>10.63</v>
      </c>
      <c r="E48" s="401">
        <f t="shared" ca="1" si="2"/>
        <v>10.1135</v>
      </c>
      <c r="F48" s="401">
        <f t="shared" ca="1" si="3"/>
        <v>9.5970000000000013</v>
      </c>
      <c r="G48" s="408">
        <f t="shared" ca="1" si="4"/>
        <v>46.882748998036625</v>
      </c>
      <c r="H48" s="404">
        <f t="shared" ca="1" si="5"/>
        <v>9.7091241688358016E-5</v>
      </c>
      <c r="I48" s="404">
        <f t="shared" ca="1" si="6"/>
        <v>1.0231658568461067E-4</v>
      </c>
      <c r="J48" s="404">
        <f t="shared" ca="1" si="7"/>
        <v>299.20623561192389</v>
      </c>
      <c r="K48" s="411">
        <f t="shared" ca="1" si="8"/>
        <v>165.09320566415232</v>
      </c>
      <c r="L48" s="414">
        <f t="shared" ca="1" si="9"/>
        <v>1521.8462703765285</v>
      </c>
      <c r="M48" s="417">
        <f t="shared" ca="1" si="10"/>
        <v>19.051075439524183</v>
      </c>
    </row>
    <row r="49" spans="2:13" x14ac:dyDescent="0.2">
      <c r="B49" s="426">
        <f t="shared" ca="1" si="0"/>
        <v>54</v>
      </c>
      <c r="C49" s="404">
        <f t="shared" ca="1" si="1"/>
        <v>9.8193227281520882E-4</v>
      </c>
      <c r="D49" s="401">
        <f ca="1">MpropuPlein+1.5*MasseSans</f>
        <v>12.419</v>
      </c>
      <c r="E49" s="401">
        <f t="shared" ca="1" si="2"/>
        <v>11.9025</v>
      </c>
      <c r="F49" s="401">
        <f t="shared" ca="1" si="3"/>
        <v>11.386000000000001</v>
      </c>
      <c r="G49" s="408">
        <f t="shared" ca="1" si="4"/>
        <v>38.361570425678927</v>
      </c>
      <c r="H49" s="404">
        <f t="shared" ca="1" si="5"/>
        <v>8.2497985533728946E-5</v>
      </c>
      <c r="I49" s="404">
        <f t="shared" ca="1" si="6"/>
        <v>8.6240319059828621E-5</v>
      </c>
      <c r="J49" s="404">
        <f t="shared" ca="1" si="7"/>
        <v>245.54145530121315</v>
      </c>
      <c r="K49" s="411">
        <f t="shared" ca="1" si="8"/>
        <v>135.8756918862216</v>
      </c>
      <c r="L49" s="414">
        <f t="shared" ca="1" si="9"/>
        <v>1117.5398933055637</v>
      </c>
      <c r="M49" s="417">
        <f t="shared" ca="1" si="10"/>
        <v>16.756852425146775</v>
      </c>
    </row>
    <row r="50" spans="2:13" x14ac:dyDescent="0.2">
      <c r="B50" s="426">
        <f t="shared" ca="1" si="0"/>
        <v>54</v>
      </c>
      <c r="C50" s="404">
        <f t="shared" ca="1" si="1"/>
        <v>9.8193227281520882E-4</v>
      </c>
      <c r="D50" s="401">
        <f ca="1">MpropuPlein+1.75*MasseSans</f>
        <v>14.208</v>
      </c>
      <c r="E50" s="401">
        <f t="shared" ca="1" si="2"/>
        <v>13.6915</v>
      </c>
      <c r="F50" s="401">
        <f t="shared" ca="1" si="3"/>
        <v>13.175000000000001</v>
      </c>
      <c r="G50" s="408">
        <f t="shared" ca="1" si="4"/>
        <v>32.067231639458306</v>
      </c>
      <c r="H50" s="404">
        <f t="shared" ca="1" si="5"/>
        <v>7.1718385335077154E-5</v>
      </c>
      <c r="I50" s="404">
        <f t="shared" ca="1" si="6"/>
        <v>7.4529963781040507E-5</v>
      </c>
      <c r="J50" s="404">
        <f t="shared" ca="1" si="7"/>
        <v>205.63001883651629</v>
      </c>
      <c r="K50" s="411">
        <f t="shared" ca="1" si="8"/>
        <v>113.99728084487982</v>
      </c>
      <c r="L50" s="414">
        <f t="shared" ca="1" si="9"/>
        <v>837.29092906434062</v>
      </c>
      <c r="M50" s="417">
        <f t="shared" ca="1" si="10"/>
        <v>14.849255675159604</v>
      </c>
    </row>
    <row r="51" spans="2:13" x14ac:dyDescent="0.2">
      <c r="B51" s="427">
        <f t="shared" ca="1" si="0"/>
        <v>54</v>
      </c>
      <c r="C51" s="405">
        <f t="shared" ca="1" si="1"/>
        <v>9.8193227281520882E-4</v>
      </c>
      <c r="D51" s="402">
        <f ca="1">MpropuPlein+2*MasseSans</f>
        <v>15.997</v>
      </c>
      <c r="E51" s="402">
        <f t="shared" ca="1" si="2"/>
        <v>15.480499999999999</v>
      </c>
      <c r="F51" s="402">
        <f t="shared" ca="1" si="3"/>
        <v>14.964</v>
      </c>
      <c r="G51" s="409">
        <f t="shared" ca="1" si="4"/>
        <v>27.227700138344595</v>
      </c>
      <c r="H51" s="405">
        <f t="shared" ca="1" si="5"/>
        <v>6.3430268584038562E-5</v>
      </c>
      <c r="I51" s="405">
        <f t="shared" ca="1" si="6"/>
        <v>6.5619638653782999E-5</v>
      </c>
      <c r="J51" s="405">
        <f t="shared" ca="1" si="7"/>
        <v>174.80959753412196</v>
      </c>
      <c r="K51" s="412">
        <f t="shared" ca="1" si="8"/>
        <v>97.028604920799452</v>
      </c>
      <c r="L51" s="415">
        <f t="shared" ca="1" si="9"/>
        <v>640.15097294239251</v>
      </c>
      <c r="M51" s="418">
        <f t="shared" ca="1" si="10"/>
        <v>13.280671647594065</v>
      </c>
    </row>
    <row r="52" spans="2:13" x14ac:dyDescent="0.2">
      <c r="B52" s="425">
        <f t="shared" ref="B52:B60" si="11">D_ref</f>
        <v>94.331384015594537</v>
      </c>
      <c r="C52" s="403">
        <f t="shared" si="1"/>
        <v>2.9964458044763696E-3</v>
      </c>
      <c r="D52" s="400">
        <f ca="1">MpropuPlein+0*MasseSans</f>
        <v>1.6850000000000001</v>
      </c>
      <c r="E52" s="400">
        <f t="shared" ca="1" si="2"/>
        <v>1.1685000000000001</v>
      </c>
      <c r="F52" s="400">
        <f t="shared" ca="1" si="3"/>
        <v>0.65200000000000014</v>
      </c>
      <c r="G52" s="407">
        <f t="shared" ca="1" si="4"/>
        <v>480.87217115245477</v>
      </c>
      <c r="H52" s="403">
        <f t="shared" ca="1" si="5"/>
        <v>2.5643524214603074E-3</v>
      </c>
      <c r="I52" s="403">
        <f t="shared" ca="1" si="6"/>
        <v>4.595775773736762E-3</v>
      </c>
      <c r="J52" s="403">
        <f t="shared" ca="1" si="7"/>
        <v>1284.4395701788037</v>
      </c>
      <c r="K52" s="410">
        <f t="shared" ca="1" si="8"/>
        <v>432.73960905359797</v>
      </c>
      <c r="L52" s="413">
        <f t="shared" ca="1" si="9"/>
        <v>1772.4514825487752</v>
      </c>
      <c r="M52" s="416">
        <f t="shared" ca="1" si="10"/>
        <v>10.486932697479894</v>
      </c>
    </row>
    <row r="53" spans="2:13" x14ac:dyDescent="0.2">
      <c r="B53" s="426">
        <f t="shared" si="11"/>
        <v>94.331384015594537</v>
      </c>
      <c r="C53" s="404">
        <f t="shared" si="1"/>
        <v>2.9964458044763696E-3</v>
      </c>
      <c r="D53" s="401">
        <f ca="1">MpropuPlein+0.25*MasseSans</f>
        <v>3.4740000000000002</v>
      </c>
      <c r="E53" s="401">
        <f t="shared" ca="1" si="2"/>
        <v>2.9575000000000005</v>
      </c>
      <c r="F53" s="401">
        <f t="shared" ca="1" si="3"/>
        <v>2.4410000000000003</v>
      </c>
      <c r="G53" s="408">
        <f t="shared" ca="1" si="4"/>
        <v>184.05715705550071</v>
      </c>
      <c r="H53" s="404">
        <f t="shared" ca="1" si="5"/>
        <v>1.0131684884112828E-3</v>
      </c>
      <c r="I53" s="404">
        <f t="shared" ca="1" si="6"/>
        <v>1.2275484655781931E-3</v>
      </c>
      <c r="J53" s="404">
        <f t="shared" ca="1" si="7"/>
        <v>889.46462936847149</v>
      </c>
      <c r="K53" s="411">
        <f t="shared" ca="1" si="8"/>
        <v>389.49523129730068</v>
      </c>
      <c r="L53" s="414">
        <f t="shared" ca="1" si="9"/>
        <v>2109.3357230351735</v>
      </c>
      <c r="M53" s="417">
        <f t="shared" ca="1" si="10"/>
        <v>15.848265947129564</v>
      </c>
    </row>
    <row r="54" spans="2:13" x14ac:dyDescent="0.2">
      <c r="B54" s="426">
        <f t="shared" si="11"/>
        <v>94.331384015594537</v>
      </c>
      <c r="C54" s="404">
        <f t="shared" si="1"/>
        <v>2.9964458044763696E-3</v>
      </c>
      <c r="D54" s="401">
        <f ca="1">MpropuPlein+0.5*MasseSans</f>
        <v>5.2629999999999999</v>
      </c>
      <c r="E54" s="401">
        <f t="shared" ca="1" si="2"/>
        <v>4.7465000000000002</v>
      </c>
      <c r="F54" s="401">
        <f t="shared" ca="1" si="3"/>
        <v>4.2300000000000004</v>
      </c>
      <c r="G54" s="408">
        <f t="shared" ca="1" si="4"/>
        <v>110.98682228834792</v>
      </c>
      <c r="H54" s="404">
        <f t="shared" ca="1" si="5"/>
        <v>6.3129586105053603E-4</v>
      </c>
      <c r="I54" s="404">
        <f t="shared" ca="1" si="6"/>
        <v>7.0837962280765232E-4</v>
      </c>
      <c r="J54" s="404">
        <f t="shared" ca="1" si="7"/>
        <v>627.97608471985961</v>
      </c>
      <c r="K54" s="411">
        <f t="shared" ca="1" si="8"/>
        <v>310.23809582018015</v>
      </c>
      <c r="L54" s="414">
        <f t="shared" ca="1" si="9"/>
        <v>2091.299488238737</v>
      </c>
      <c r="M54" s="417">
        <f t="shared" ca="1" si="10"/>
        <v>18.083952078552649</v>
      </c>
    </row>
    <row r="55" spans="2:13" x14ac:dyDescent="0.2">
      <c r="B55" s="426">
        <f t="shared" si="11"/>
        <v>94.331384015594537</v>
      </c>
      <c r="C55" s="404">
        <f t="shared" si="1"/>
        <v>2.9964458044763696E-3</v>
      </c>
      <c r="D55" s="401">
        <f ca="1">MpropuPlein+0.75*MasseSans</f>
        <v>7.0519999999999996</v>
      </c>
      <c r="E55" s="401">
        <f t="shared" ca="1" si="2"/>
        <v>6.5354999999999999</v>
      </c>
      <c r="F55" s="401">
        <f t="shared" ca="1" si="3"/>
        <v>6.0190000000000001</v>
      </c>
      <c r="G55" s="408">
        <f t="shared" ca="1" si="4"/>
        <v>77.920413433041617</v>
      </c>
      <c r="H55" s="404">
        <f t="shared" ca="1" si="5"/>
        <v>4.5848761448647688E-4</v>
      </c>
      <c r="I55" s="404">
        <f t="shared" ca="1" si="6"/>
        <v>4.9783116871180756E-4</v>
      </c>
      <c r="J55" s="404">
        <f t="shared" ca="1" si="7"/>
        <v>467.74587810228849</v>
      </c>
      <c r="K55" s="411">
        <f t="shared" ca="1" si="8"/>
        <v>243.46642515111304</v>
      </c>
      <c r="L55" s="414">
        <f t="shared" ca="1" si="9"/>
        <v>1862.1096824530659</v>
      </c>
      <c r="M55" s="417">
        <f t="shared" ca="1" si="10"/>
        <v>18.583216594598227</v>
      </c>
    </row>
    <row r="56" spans="2:13" x14ac:dyDescent="0.2">
      <c r="B56" s="426">
        <f t="shared" si="11"/>
        <v>94.331384015594537</v>
      </c>
      <c r="C56" s="404">
        <f t="shared" si="1"/>
        <v>2.9964458044763696E-3</v>
      </c>
      <c r="D56" s="401">
        <f ca="1">MpropuPlein+1*MasseSans</f>
        <v>8.8409999999999993</v>
      </c>
      <c r="E56" s="401">
        <f t="shared" ca="1" si="2"/>
        <v>8.3244999999999987</v>
      </c>
      <c r="F56" s="401">
        <f t="shared" ca="1" si="3"/>
        <v>7.8079999999999998</v>
      </c>
      <c r="G56" s="408">
        <f t="shared" ca="1" si="4"/>
        <v>59.066463089872485</v>
      </c>
      <c r="H56" s="404">
        <f t="shared" ca="1" si="5"/>
        <v>3.5995504888898674E-4</v>
      </c>
      <c r="I56" s="404">
        <f t="shared" ca="1" si="6"/>
        <v>3.8376611225363343E-4</v>
      </c>
      <c r="J56" s="404">
        <f t="shared" ca="1" si="7"/>
        <v>364.41729730345565</v>
      </c>
      <c r="K56" s="411">
        <f t="shared" ca="1" si="8"/>
        <v>194.59124806680566</v>
      </c>
      <c r="L56" s="414">
        <f t="shared" ca="1" si="9"/>
        <v>1548.4513171083813</v>
      </c>
      <c r="M56" s="417">
        <f t="shared" ca="1" si="10"/>
        <v>17.981112374376096</v>
      </c>
    </row>
    <row r="57" spans="2:13" x14ac:dyDescent="0.2">
      <c r="B57" s="426">
        <f t="shared" si="11"/>
        <v>94.331384015594537</v>
      </c>
      <c r="C57" s="404">
        <f t="shared" si="1"/>
        <v>2.9964458044763696E-3</v>
      </c>
      <c r="D57" s="401">
        <f ca="1">MpropuPlein+1.25*MasseSans</f>
        <v>10.63</v>
      </c>
      <c r="E57" s="401">
        <f t="shared" ca="1" si="2"/>
        <v>10.1135</v>
      </c>
      <c r="F57" s="401">
        <f t="shared" ca="1" si="3"/>
        <v>9.5970000000000013</v>
      </c>
      <c r="G57" s="408">
        <f t="shared" ca="1" si="4"/>
        <v>46.882748998036625</v>
      </c>
      <c r="H57" s="404">
        <f t="shared" ca="1" si="5"/>
        <v>2.9628178221944624E-4</v>
      </c>
      <c r="I57" s="404">
        <f t="shared" ca="1" si="6"/>
        <v>3.1222734234410434E-4</v>
      </c>
      <c r="J57" s="404">
        <f t="shared" ca="1" si="7"/>
        <v>293.5087942882534</v>
      </c>
      <c r="K57" s="411">
        <f t="shared" ca="1" si="8"/>
        <v>158.9360084642307</v>
      </c>
      <c r="L57" s="414">
        <f t="shared" ca="1" si="9"/>
        <v>1238.3277967435083</v>
      </c>
      <c r="M57" s="417">
        <f t="shared" ca="1" si="10"/>
        <v>16.797619815192085</v>
      </c>
    </row>
    <row r="58" spans="2:13" x14ac:dyDescent="0.2">
      <c r="B58" s="426">
        <f t="shared" si="11"/>
        <v>94.331384015594537</v>
      </c>
      <c r="C58" s="404">
        <f t="shared" si="1"/>
        <v>2.9964458044763696E-3</v>
      </c>
      <c r="D58" s="401">
        <f ca="1">MpropuPlein+1.5*MasseSans</f>
        <v>12.419</v>
      </c>
      <c r="E58" s="401">
        <f t="shared" ca="1" si="2"/>
        <v>11.9025</v>
      </c>
      <c r="F58" s="401">
        <f t="shared" ca="1" si="3"/>
        <v>11.386000000000001</v>
      </c>
      <c r="G58" s="408">
        <f t="shared" ca="1" si="4"/>
        <v>38.361570425678927</v>
      </c>
      <c r="H58" s="404">
        <f t="shared" ca="1" si="5"/>
        <v>2.517492799392035E-4</v>
      </c>
      <c r="I58" s="404">
        <f t="shared" ca="1" si="6"/>
        <v>2.6316931358478563E-4</v>
      </c>
      <c r="J58" s="404">
        <f t="shared" ca="1" si="7"/>
        <v>242.23979117945439</v>
      </c>
      <c r="K58" s="411">
        <f t="shared" ca="1" si="8"/>
        <v>132.27509026614084</v>
      </c>
      <c r="L58" s="414">
        <f t="shared" ca="1" si="9"/>
        <v>973.40201223888346</v>
      </c>
      <c r="M58" s="417">
        <f t="shared" ca="1" si="10"/>
        <v>15.411678918324281</v>
      </c>
    </row>
    <row r="59" spans="2:13" x14ac:dyDescent="0.2">
      <c r="B59" s="426">
        <f t="shared" si="11"/>
        <v>94.331384015594537</v>
      </c>
      <c r="C59" s="404">
        <f t="shared" si="1"/>
        <v>2.9964458044763696E-3</v>
      </c>
      <c r="D59" s="401">
        <f ca="1">MpropuPlein+1.75*MasseSans</f>
        <v>14.208</v>
      </c>
      <c r="E59" s="401">
        <f t="shared" ca="1" si="2"/>
        <v>13.6915</v>
      </c>
      <c r="F59" s="401">
        <f t="shared" ca="1" si="3"/>
        <v>13.175000000000001</v>
      </c>
      <c r="G59" s="408">
        <f t="shared" ca="1" si="4"/>
        <v>32.067231639458306</v>
      </c>
      <c r="H59" s="404">
        <f t="shared" ca="1" si="5"/>
        <v>2.1885445747188911E-4</v>
      </c>
      <c r="I59" s="404">
        <f t="shared" ca="1" si="6"/>
        <v>2.2743421665854797E-4</v>
      </c>
      <c r="J59" s="404">
        <f t="shared" ca="1" si="7"/>
        <v>203.60085516674357</v>
      </c>
      <c r="K59" s="411">
        <f t="shared" ca="1" si="8"/>
        <v>111.77161600181233</v>
      </c>
      <c r="L59" s="414">
        <f t="shared" ca="1" si="9"/>
        <v>762.79248259238602</v>
      </c>
      <c r="M59" s="417">
        <f t="shared" ca="1" si="10"/>
        <v>14.042467117891391</v>
      </c>
    </row>
    <row r="60" spans="2:13" x14ac:dyDescent="0.2">
      <c r="B60" s="427">
        <f t="shared" si="11"/>
        <v>94.331384015594537</v>
      </c>
      <c r="C60" s="405">
        <f t="shared" si="1"/>
        <v>2.9964458044763696E-3</v>
      </c>
      <c r="D60" s="402">
        <f ca="1">MpropuPlein+2*MasseSans</f>
        <v>15.997</v>
      </c>
      <c r="E60" s="402">
        <f t="shared" ca="1" si="2"/>
        <v>15.480499999999999</v>
      </c>
      <c r="F60" s="402">
        <f t="shared" ca="1" si="3"/>
        <v>14.964</v>
      </c>
      <c r="G60" s="409">
        <f t="shared" ca="1" si="4"/>
        <v>27.227700138344595</v>
      </c>
      <c r="H60" s="405">
        <f t="shared" ca="1" si="5"/>
        <v>1.935625983964581E-4</v>
      </c>
      <c r="I60" s="405">
        <f t="shared" ca="1" si="6"/>
        <v>2.0024363836383116E-4</v>
      </c>
      <c r="J60" s="405">
        <f t="shared" ca="1" si="7"/>
        <v>173.50563517688187</v>
      </c>
      <c r="K60" s="412">
        <f t="shared" ca="1" si="8"/>
        <v>95.59284153437774</v>
      </c>
      <c r="L60" s="415">
        <f t="shared" ca="1" si="9"/>
        <v>600.56065763803622</v>
      </c>
      <c r="M60" s="418">
        <f t="shared" ca="1" si="10"/>
        <v>12.788473360908645</v>
      </c>
    </row>
    <row r="61" spans="2:13" x14ac:dyDescent="0.2">
      <c r="B61" s="425">
        <f t="shared" ref="B61:B69" si="12">D_ref*1.5</f>
        <v>141.4970760233918</v>
      </c>
      <c r="C61" s="403">
        <f t="shared" si="1"/>
        <v>6.7420030600718319E-3</v>
      </c>
      <c r="D61" s="400">
        <f ca="1">MpropuPlein+0*MasseSans</f>
        <v>1.6850000000000001</v>
      </c>
      <c r="E61" s="400">
        <f t="shared" ca="1" si="2"/>
        <v>1.1685000000000001</v>
      </c>
      <c r="F61" s="400">
        <f t="shared" ca="1" si="3"/>
        <v>0.65200000000000014</v>
      </c>
      <c r="G61" s="407">
        <f t="shared" ca="1" si="4"/>
        <v>480.87217115245477</v>
      </c>
      <c r="H61" s="403">
        <f t="shared" ca="1" si="5"/>
        <v>5.7697929482856923E-3</v>
      </c>
      <c r="I61" s="403">
        <f t="shared" ca="1" si="6"/>
        <v>1.0340495490907715E-2</v>
      </c>
      <c r="J61" s="403">
        <f t="shared" ca="1" si="7"/>
        <v>916.27148527159261</v>
      </c>
      <c r="K61" s="410">
        <f t="shared" ca="1" si="8"/>
        <v>288.68827903690323</v>
      </c>
      <c r="L61" s="413">
        <f t="shared" ca="1" si="9"/>
        <v>1133.2303457424821</v>
      </c>
      <c r="M61" s="416">
        <f t="shared" ca="1" si="10"/>
        <v>8.1881792456168494</v>
      </c>
    </row>
    <row r="62" spans="2:13" x14ac:dyDescent="0.2">
      <c r="B62" s="426">
        <f t="shared" si="12"/>
        <v>141.4970760233918</v>
      </c>
      <c r="C62" s="404">
        <f t="shared" si="1"/>
        <v>6.7420030600718319E-3</v>
      </c>
      <c r="D62" s="401">
        <f ca="1">MpropuPlein+0.25*MasseSans</f>
        <v>3.4740000000000002</v>
      </c>
      <c r="E62" s="401">
        <f t="shared" ca="1" si="2"/>
        <v>2.9575000000000005</v>
      </c>
      <c r="F62" s="401">
        <f t="shared" ca="1" si="3"/>
        <v>2.4410000000000003</v>
      </c>
      <c r="G62" s="408">
        <f t="shared" ca="1" si="4"/>
        <v>184.05715705550071</v>
      </c>
      <c r="H62" s="404">
        <f t="shared" ca="1" si="5"/>
        <v>2.2796290989253866E-3</v>
      </c>
      <c r="I62" s="404">
        <f t="shared" ca="1" si="6"/>
        <v>2.7619840475509344E-3</v>
      </c>
      <c r="J62" s="404">
        <f t="shared" ca="1" si="7"/>
        <v>720.20001236088774</v>
      </c>
      <c r="K62" s="411">
        <f t="shared" ca="1" si="8"/>
        <v>278.76998437861118</v>
      </c>
      <c r="L62" s="414">
        <f t="shared" ca="1" si="9"/>
        <v>1286.8680675782907</v>
      </c>
      <c r="M62" s="417">
        <f t="shared" ca="1" si="10"/>
        <v>11.853266556097932</v>
      </c>
    </row>
    <row r="63" spans="2:13" x14ac:dyDescent="0.2">
      <c r="B63" s="426">
        <f t="shared" si="12"/>
        <v>141.4970760233918</v>
      </c>
      <c r="C63" s="404">
        <f t="shared" si="1"/>
        <v>6.7420030600718319E-3</v>
      </c>
      <c r="D63" s="401">
        <f ca="1">MpropuPlein+0.5*MasseSans</f>
        <v>5.2629999999999999</v>
      </c>
      <c r="E63" s="401">
        <f t="shared" ca="1" si="2"/>
        <v>4.7465000000000002</v>
      </c>
      <c r="F63" s="401">
        <f t="shared" ca="1" si="3"/>
        <v>4.2300000000000004</v>
      </c>
      <c r="G63" s="408">
        <f t="shared" ca="1" si="4"/>
        <v>110.98682228834792</v>
      </c>
      <c r="H63" s="404">
        <f t="shared" ca="1" si="5"/>
        <v>1.4204156873637063E-3</v>
      </c>
      <c r="I63" s="404">
        <f t="shared" ca="1" si="6"/>
        <v>1.5938541513172179E-3</v>
      </c>
      <c r="J63" s="404">
        <f t="shared" ca="1" si="7"/>
        <v>555.08087332509911</v>
      </c>
      <c r="K63" s="411">
        <f t="shared" ca="1" si="8"/>
        <v>248.98293239842312</v>
      </c>
      <c r="L63" s="414">
        <f t="shared" ca="1" si="9"/>
        <v>1309.3612127833269</v>
      </c>
      <c r="M63" s="417">
        <f t="shared" ca="1" si="10"/>
        <v>13.710929458082333</v>
      </c>
    </row>
    <row r="64" spans="2:13" x14ac:dyDescent="0.2">
      <c r="B64" s="426">
        <f t="shared" si="12"/>
        <v>141.4970760233918</v>
      </c>
      <c r="C64" s="404">
        <f t="shared" si="1"/>
        <v>6.7420030600718319E-3</v>
      </c>
      <c r="D64" s="401">
        <f ca="1">MpropuPlein+0.75*MasseSans</f>
        <v>7.0519999999999996</v>
      </c>
      <c r="E64" s="401">
        <f t="shared" ca="1" si="2"/>
        <v>6.5354999999999999</v>
      </c>
      <c r="F64" s="401">
        <f t="shared" ca="1" si="3"/>
        <v>6.0190000000000001</v>
      </c>
      <c r="G64" s="408">
        <f t="shared" ca="1" si="4"/>
        <v>77.920413433041617</v>
      </c>
      <c r="H64" s="404">
        <f t="shared" ca="1" si="5"/>
        <v>1.0315971325945731E-3</v>
      </c>
      <c r="I64" s="404">
        <f t="shared" ca="1" si="6"/>
        <v>1.1201201296015669E-3</v>
      </c>
      <c r="J64" s="404">
        <f t="shared" ca="1" si="7"/>
        <v>433.72164798789095</v>
      </c>
      <c r="K64" s="411">
        <f t="shared" ca="1" si="8"/>
        <v>211.34220095440432</v>
      </c>
      <c r="L64" s="414">
        <f t="shared" ca="1" si="9"/>
        <v>1240.9050132338066</v>
      </c>
      <c r="M64" s="417">
        <f t="shared" ca="1" si="10"/>
        <v>14.59819234710602</v>
      </c>
    </row>
    <row r="65" spans="2:13" x14ac:dyDescent="0.2">
      <c r="B65" s="426">
        <f t="shared" si="12"/>
        <v>141.4970760233918</v>
      </c>
      <c r="C65" s="404">
        <f t="shared" si="1"/>
        <v>6.7420030600718319E-3</v>
      </c>
      <c r="D65" s="401">
        <f ca="1">MpropuPlein+1*MasseSans</f>
        <v>8.8409999999999993</v>
      </c>
      <c r="E65" s="401">
        <f t="shared" ca="1" si="2"/>
        <v>8.3244999999999987</v>
      </c>
      <c r="F65" s="401">
        <f t="shared" ca="1" si="3"/>
        <v>7.8079999999999998</v>
      </c>
      <c r="G65" s="408">
        <f t="shared" ca="1" si="4"/>
        <v>59.066463089872485</v>
      </c>
      <c r="H65" s="404">
        <f t="shared" ca="1" si="5"/>
        <v>8.0989886000022021E-4</v>
      </c>
      <c r="I65" s="404">
        <f t="shared" ca="1" si="6"/>
        <v>8.6347375257067518E-4</v>
      </c>
      <c r="J65" s="404">
        <f t="shared" ca="1" si="7"/>
        <v>346.94145216284278</v>
      </c>
      <c r="K65" s="411">
        <f t="shared" ca="1" si="8"/>
        <v>177.07117778369263</v>
      </c>
      <c r="L65" s="414">
        <f t="shared" ca="1" si="9"/>
        <v>1113.8222316475267</v>
      </c>
      <c r="M65" s="417">
        <f t="shared" ca="1" si="10"/>
        <v>14.769749205971433</v>
      </c>
    </row>
    <row r="66" spans="2:13" x14ac:dyDescent="0.2">
      <c r="B66" s="426">
        <f t="shared" si="12"/>
        <v>141.4970760233918</v>
      </c>
      <c r="C66" s="404">
        <f t="shared" si="1"/>
        <v>6.7420030600718319E-3</v>
      </c>
      <c r="D66" s="401">
        <f ca="1">MpropuPlein+1.25*MasseSans</f>
        <v>10.63</v>
      </c>
      <c r="E66" s="401">
        <f t="shared" ca="1" si="2"/>
        <v>10.1135</v>
      </c>
      <c r="F66" s="401">
        <f t="shared" ca="1" si="3"/>
        <v>9.5970000000000013</v>
      </c>
      <c r="G66" s="408">
        <f t="shared" ca="1" si="4"/>
        <v>46.882748998036625</v>
      </c>
      <c r="H66" s="404">
        <f t="shared" ca="1" si="5"/>
        <v>6.6663400999375402E-4</v>
      </c>
      <c r="I66" s="404">
        <f t="shared" ca="1" si="6"/>
        <v>7.0251152027423478E-4</v>
      </c>
      <c r="J66" s="404">
        <f t="shared" ca="1" si="7"/>
        <v>283.77560428472492</v>
      </c>
      <c r="K66" s="411">
        <f t="shared" ca="1" si="8"/>
        <v>148.84147984585707</v>
      </c>
      <c r="L66" s="414">
        <f t="shared" ca="1" si="9"/>
        <v>960.13089789925016</v>
      </c>
      <c r="M66" s="417">
        <f t="shared" ca="1" si="10"/>
        <v>14.428476810387579</v>
      </c>
    </row>
    <row r="67" spans="2:13" x14ac:dyDescent="0.2">
      <c r="B67" s="426">
        <f t="shared" si="12"/>
        <v>141.4970760233918</v>
      </c>
      <c r="C67" s="404">
        <f t="shared" si="1"/>
        <v>6.7420030600718319E-3</v>
      </c>
      <c r="D67" s="401">
        <f ca="1">MpropuPlein+1.5*MasseSans</f>
        <v>12.419</v>
      </c>
      <c r="E67" s="401">
        <f t="shared" ca="1" si="2"/>
        <v>11.9025</v>
      </c>
      <c r="F67" s="401">
        <f t="shared" ca="1" si="3"/>
        <v>11.386000000000001</v>
      </c>
      <c r="G67" s="408">
        <f t="shared" ca="1" si="4"/>
        <v>38.361570425678927</v>
      </c>
      <c r="H67" s="404">
        <f t="shared" ca="1" si="5"/>
        <v>5.6643587986320791E-4</v>
      </c>
      <c r="I67" s="404">
        <f t="shared" ca="1" si="6"/>
        <v>5.9213095556576775E-4</v>
      </c>
      <c r="J67" s="404">
        <f t="shared" ca="1" si="7"/>
        <v>236.46012409222587</v>
      </c>
      <c r="K67" s="411">
        <f t="shared" ca="1" si="8"/>
        <v>126.15556866291543</v>
      </c>
      <c r="L67" s="414">
        <f t="shared" ca="1" si="9"/>
        <v>804.97626778812253</v>
      </c>
      <c r="M67" s="417">
        <f t="shared" ca="1" si="10"/>
        <v>13.763263235927459</v>
      </c>
    </row>
    <row r="68" spans="2:13" x14ac:dyDescent="0.2">
      <c r="B68" s="426">
        <f t="shared" si="12"/>
        <v>141.4970760233918</v>
      </c>
      <c r="C68" s="404">
        <f t="shared" si="1"/>
        <v>6.7420030600718319E-3</v>
      </c>
      <c r="D68" s="401">
        <f ca="1">MpropuPlein+1.75*MasseSans</f>
        <v>14.208</v>
      </c>
      <c r="E68" s="401">
        <f t="shared" ca="1" si="2"/>
        <v>13.6915</v>
      </c>
      <c r="F68" s="401">
        <f t="shared" ca="1" si="3"/>
        <v>13.175000000000001</v>
      </c>
      <c r="G68" s="408">
        <f t="shared" ca="1" si="4"/>
        <v>32.067231639458306</v>
      </c>
      <c r="H68" s="404">
        <f t="shared" ca="1" si="5"/>
        <v>4.9242252931175053E-4</v>
      </c>
      <c r="I68" s="404">
        <f t="shared" ca="1" si="6"/>
        <v>5.1172698748173299E-4</v>
      </c>
      <c r="J68" s="404">
        <f t="shared" ca="1" si="7"/>
        <v>199.9921506429051</v>
      </c>
      <c r="K68" s="411">
        <f t="shared" ca="1" si="8"/>
        <v>107.89921696012691</v>
      </c>
      <c r="L68" s="414">
        <f t="shared" ca="1" si="9"/>
        <v>663.67497625560986</v>
      </c>
      <c r="M68" s="417">
        <f t="shared" ca="1" si="10"/>
        <v>12.933231530984781</v>
      </c>
    </row>
    <row r="69" spans="2:13" x14ac:dyDescent="0.2">
      <c r="B69" s="427">
        <f t="shared" si="12"/>
        <v>141.4970760233918</v>
      </c>
      <c r="C69" s="405">
        <f t="shared" si="1"/>
        <v>6.7420030600718319E-3</v>
      </c>
      <c r="D69" s="402">
        <f ca="1">MpropuPlein+2*MasseSans</f>
        <v>15.997</v>
      </c>
      <c r="E69" s="402">
        <f t="shared" ca="1" si="2"/>
        <v>15.480499999999999</v>
      </c>
      <c r="F69" s="402">
        <f t="shared" ca="1" si="3"/>
        <v>14.964</v>
      </c>
      <c r="G69" s="409">
        <f t="shared" ca="1" si="4"/>
        <v>27.227700138344595</v>
      </c>
      <c r="H69" s="405">
        <f t="shared" ca="1" si="5"/>
        <v>4.3551584639203077E-4</v>
      </c>
      <c r="I69" s="405">
        <f t="shared" ca="1" si="6"/>
        <v>4.5054818631862014E-4</v>
      </c>
      <c r="J69" s="405">
        <f t="shared" ca="1" si="7"/>
        <v>171.16162056968383</v>
      </c>
      <c r="K69" s="412">
        <f t="shared" ca="1" si="8"/>
        <v>93.054590814809657</v>
      </c>
      <c r="L69" s="415">
        <f t="shared" ca="1" si="9"/>
        <v>542.7344781793347</v>
      </c>
      <c r="M69" s="418">
        <f t="shared" ca="1" si="10"/>
        <v>12.052975271328286</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76" t="s">
        <v>178</v>
      </c>
      <c r="D2" s="576"/>
    </row>
    <row r="3" spans="3:8" x14ac:dyDescent="0.2">
      <c r="C3" s="576"/>
      <c r="D3" s="576"/>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Barasinga (Pro54-5G C)</v>
      </c>
      <c r="G5" t="s">
        <v>459</v>
      </c>
      <c r="H5">
        <f>MasseSans</f>
        <v>7.1559999999999997</v>
      </c>
      <c r="N5" s="75"/>
      <c r="O5" s="6"/>
      <c r="P5" s="273"/>
      <c r="Q5" s="436"/>
      <c r="R5" s="48"/>
      <c r="S5" s="48"/>
      <c r="T5" s="48"/>
      <c r="U5" s="48"/>
    </row>
    <row r="6" spans="2:21" x14ac:dyDescent="0.2">
      <c r="B6" s="74"/>
      <c r="D6" t="s">
        <v>455</v>
      </c>
      <c r="E6" s="2" t="str">
        <f>Trajecto!H34</f>
        <v>Brun/Orange…</v>
      </c>
      <c r="G6" t="s">
        <v>460</v>
      </c>
      <c r="H6">
        <f>D_ref</f>
        <v>94.331384015594537</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0.51200000000000001</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7.1559999999999997</v>
      </c>
      <c r="F11" s="246" t="s">
        <v>123</v>
      </c>
      <c r="G11" s="246" t="s">
        <v>125</v>
      </c>
      <c r="H11" s="668">
        <f ca="1">Vsortie_de_rampe</f>
        <v>26.025005554205222</v>
      </c>
      <c r="I11" s="669"/>
      <c r="J11" s="76"/>
      <c r="N11" s="75"/>
      <c r="P11" s="48"/>
      <c r="Q11" s="436"/>
      <c r="R11" s="48"/>
      <c r="S11" s="48"/>
      <c r="T11" s="48"/>
      <c r="U11" s="440">
        <f>IF(RIGHT(Nb_diam,1)=",", "", X_j)</f>
        <v>932</v>
      </c>
    </row>
    <row r="12" spans="2:21" ht="13.5" thickBot="1" x14ac:dyDescent="0.25">
      <c r="B12" s="74"/>
      <c r="C12" s="12"/>
      <c r="D12" s="276"/>
      <c r="E12" s="244"/>
      <c r="F12" s="6" t="s">
        <v>123</v>
      </c>
      <c r="G12" s="6" t="s">
        <v>126</v>
      </c>
      <c r="H12" s="670">
        <f>Finesse</f>
        <v>21.753099685898498</v>
      </c>
      <c r="I12" s="671"/>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0">
        <f>Cn</f>
        <v>30.03262911205999</v>
      </c>
      <c r="I13" s="671"/>
      <c r="J13" s="76"/>
      <c r="N13" s="75"/>
      <c r="O13" s="6"/>
      <c r="P13" s="48"/>
      <c r="Q13" s="436"/>
      <c r="R13" s="48"/>
      <c r="S13" s="48"/>
      <c r="T13" s="48"/>
      <c r="U13" s="440">
        <f>IF(RIGHT(Nb_diam,1)=",", "", X_r)</f>
        <v>2002</v>
      </c>
    </row>
    <row r="14" spans="2:21" x14ac:dyDescent="0.2">
      <c r="B14" s="74"/>
      <c r="C14" s="12"/>
      <c r="D14" s="276" t="s">
        <v>143</v>
      </c>
      <c r="E14" s="244">
        <f>L_rampe</f>
        <v>4</v>
      </c>
      <c r="F14" s="6" t="s">
        <v>123</v>
      </c>
      <c r="G14" s="6" t="s">
        <v>127</v>
      </c>
      <c r="H14" s="247">
        <f ca="1">MS_min</f>
        <v>2.0246816059764923</v>
      </c>
      <c r="I14" s="254">
        <f ca="1">MS_max</f>
        <v>2.8554202586721704</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60.806511742301979</v>
      </c>
      <c r="I15" s="254">
        <f ca="1">MS_Cn_max</f>
        <v>85.755777587763689</v>
      </c>
      <c r="J15" s="76"/>
      <c r="K15" s="76"/>
      <c r="N15" s="75"/>
      <c r="P15" s="48"/>
      <c r="Q15" s="436"/>
      <c r="R15" s="48"/>
      <c r="S15" s="48"/>
      <c r="T15" s="48"/>
    </row>
    <row r="16" spans="2:21" x14ac:dyDescent="0.2">
      <c r="B16" s="74"/>
      <c r="C16" s="12"/>
      <c r="D16" s="276" t="s">
        <v>145</v>
      </c>
      <c r="E16" s="244">
        <f>Q_ail</f>
        <v>4</v>
      </c>
      <c r="F16" s="6" t="s">
        <v>128</v>
      </c>
      <c r="G16" s="6" t="s">
        <v>129</v>
      </c>
      <c r="H16" s="247">
        <f ca="1">V_para</f>
        <v>14.59339206068057</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15.6</v>
      </c>
      <c r="I17" s="671"/>
      <c r="J17" s="258"/>
      <c r="N17" s="75"/>
      <c r="P17" s="434" t="s">
        <v>342</v>
      </c>
      <c r="Q17" s="440">
        <f>IF(RIGHT(Nb_diam,1)=",", "", D2j)</f>
        <v>104</v>
      </c>
      <c r="R17" s="48"/>
      <c r="S17" s="48"/>
      <c r="T17" s="48"/>
      <c r="U17" s="436"/>
    </row>
    <row r="18" spans="2:21" x14ac:dyDescent="0.2">
      <c r="B18" s="74"/>
      <c r="C18" s="12"/>
      <c r="D18" s="276" t="s">
        <v>148</v>
      </c>
      <c r="E18" s="244">
        <f ca="1">XpropuRef-Long_propu</f>
        <v>1564</v>
      </c>
      <c r="F18" s="12" t="s">
        <v>130</v>
      </c>
      <c r="G18" s="12" t="s">
        <v>427</v>
      </c>
      <c r="H18" s="579">
        <f ca="1">T_para-Combustion-Depotage</f>
        <v>15.6</v>
      </c>
      <c r="I18" s="674"/>
      <c r="N18" s="75"/>
      <c r="P18" s="48"/>
      <c r="Q18" s="436"/>
      <c r="R18" s="48"/>
      <c r="S18" s="48"/>
    </row>
    <row r="19" spans="2:21" x14ac:dyDescent="0.2">
      <c r="B19" s="74"/>
      <c r="C19" s="531"/>
      <c r="D19" s="269"/>
      <c r="E19" s="271"/>
      <c r="F19" s="519" t="s">
        <v>132</v>
      </c>
      <c r="G19" s="274" t="s">
        <v>426</v>
      </c>
      <c r="H19" s="675">
        <f ca="1">Portee_balistique</f>
        <v>874.13727041639572</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1090</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2052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2052</v>
      </c>
      <c r="E25" s="527" t="s">
        <v>444</v>
      </c>
      <c r="F25" s="528">
        <f>p_ail</f>
        <v>190</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94.331384015594537</v>
      </c>
      <c r="E26" s="527" t="s">
        <v>445</v>
      </c>
      <c r="F26" s="528">
        <f>E_ail</f>
        <v>145</v>
      </c>
      <c r="G26" s="526">
        <f>E_can</f>
        <v>105</v>
      </c>
      <c r="I26" s="529" t="s">
        <v>451</v>
      </c>
      <c r="J26" s="528">
        <f>X_j</f>
        <v>932</v>
      </c>
      <c r="K26" s="526">
        <f>X_r</f>
        <v>2002</v>
      </c>
      <c r="N26" s="75"/>
      <c r="O26" s="273"/>
      <c r="P26" s="436"/>
      <c r="Q26" s="48"/>
      <c r="R26" s="48"/>
      <c r="S26" s="48"/>
      <c r="T26" s="226"/>
      <c r="U26" s="436"/>
    </row>
    <row r="27" spans="2:21" x14ac:dyDescent="0.2">
      <c r="B27" s="74"/>
      <c r="C27" s="526" t="s">
        <v>439</v>
      </c>
      <c r="D27" s="526">
        <f>Long_ogive</f>
        <v>252</v>
      </c>
      <c r="E27" s="527" t="s">
        <v>446</v>
      </c>
      <c r="F27" s="528">
        <f>X_ail</f>
        <v>2002</v>
      </c>
      <c r="G27" s="526">
        <f>X_can</f>
        <v>932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120</v>
      </c>
    </row>
    <row r="31" spans="2:21" ht="13.5" thickBot="1" x14ac:dyDescent="0.25">
      <c r="B31" s="74"/>
      <c r="C31" s="83">
        <f>Beta_rampe</f>
        <v>80</v>
      </c>
      <c r="D31" s="84">
        <f ca="1">Portee_balistique</f>
        <v>874.13727041639572</v>
      </c>
      <c r="E31" s="677">
        <f ca="1">T_para+Dt_para</f>
        <v>109.46846396177261</v>
      </c>
      <c r="F31" s="677"/>
      <c r="G31" s="677"/>
      <c r="H31" s="678">
        <f ca="1">Altitude_culmi</f>
        <v>1373.1093346555149</v>
      </c>
      <c r="I31" s="678"/>
      <c r="J31" s="85">
        <f ca="1">Temps_culmi</f>
        <v>16.39999999999992</v>
      </c>
      <c r="K31" s="86">
        <f ca="1">Vit_culmi</f>
        <v>25.995258949874362</v>
      </c>
      <c r="L31" s="84">
        <f ca="1">Acc_max</f>
        <v>91.403675051839869</v>
      </c>
      <c r="M31" s="86">
        <f ca="1">Vit_max</f>
        <v>186.97416251772825</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94.331384015594537</v>
      </c>
      <c r="F40" s="265"/>
      <c r="G40" s="265"/>
      <c r="H40" s="261" t="s">
        <v>198</v>
      </c>
      <c r="I40" s="261" t="s">
        <v>199</v>
      </c>
      <c r="J40" s="262" t="s">
        <v>200</v>
      </c>
      <c r="N40" s="75"/>
    </row>
    <row r="41" spans="2:21" x14ac:dyDescent="0.2">
      <c r="B41" s="74"/>
      <c r="D41" s="276" t="s">
        <v>147</v>
      </c>
      <c r="E41" s="6">
        <f>Long_ogive</f>
        <v>252</v>
      </c>
      <c r="F41" s="2"/>
      <c r="G41" s="2" t="s">
        <v>201</v>
      </c>
      <c r="H41" s="6">
        <f>MasseSans</f>
        <v>7.1559999999999997</v>
      </c>
      <c r="I41" s="6">
        <f ca="1">MasseVide</f>
        <v>7.8079999999999998</v>
      </c>
      <c r="J41" s="244">
        <f ca="1">MassePlein</f>
        <v>8.8409999999999993</v>
      </c>
      <c r="N41" s="75"/>
    </row>
    <row r="42" spans="2:21" x14ac:dyDescent="0.2">
      <c r="B42" s="74"/>
      <c r="D42" s="276" t="s">
        <v>150</v>
      </c>
      <c r="E42" s="6">
        <f>X_ail-m_ail</f>
        <v>1792</v>
      </c>
      <c r="F42" s="255"/>
      <c r="G42" s="255" t="s">
        <v>218</v>
      </c>
      <c r="H42" s="263">
        <f>XcgSans</f>
        <v>1090</v>
      </c>
      <c r="I42" s="263">
        <f ca="1">XcgVide</f>
        <v>1149.6219262295081</v>
      </c>
      <c r="J42" s="245">
        <f ca="1">XcgPlein</f>
        <v>1227.9866530935417</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68">
        <f ca="1">Vsortie_de_rampe</f>
        <v>26.025005554205222</v>
      </c>
      <c r="I44" s="669"/>
      <c r="N44" s="75"/>
    </row>
    <row r="45" spans="2:21" x14ac:dyDescent="0.2">
      <c r="B45" s="74"/>
      <c r="D45" s="276" t="str">
        <f>IF(Lang="Français","Flèche        'p'",IF(Lang="English","Offset         'p'",""))</f>
        <v>Flèche        'p'</v>
      </c>
      <c r="E45" s="244">
        <f>p_ail</f>
        <v>190</v>
      </c>
      <c r="F45" s="6" t="s">
        <v>203</v>
      </c>
      <c r="G45" s="6" t="s">
        <v>208</v>
      </c>
      <c r="H45" s="670">
        <f>Finesse</f>
        <v>21.753099685898498</v>
      </c>
      <c r="I45" s="671"/>
      <c r="N45" s="75"/>
    </row>
    <row r="46" spans="2:21" x14ac:dyDescent="0.2">
      <c r="B46" s="74"/>
      <c r="D46" s="276" t="str">
        <f>IF(Lang="Français","Envergure   'E'",IF(Lang="English","Span          'E'",""))</f>
        <v>Envergure   'E'</v>
      </c>
      <c r="E46" s="244">
        <f>E_ail</f>
        <v>145</v>
      </c>
      <c r="F46" s="6" t="s">
        <v>204</v>
      </c>
      <c r="G46" s="6" t="s">
        <v>209</v>
      </c>
      <c r="H46" s="670">
        <f>Cn</f>
        <v>30.03262911205999</v>
      </c>
      <c r="I46" s="671"/>
      <c r="N46" s="75"/>
    </row>
    <row r="47" spans="2:21" x14ac:dyDescent="0.2">
      <c r="B47" s="74"/>
      <c r="D47" s="276" t="s">
        <v>144</v>
      </c>
      <c r="E47" s="244">
        <f>ep_ail</f>
        <v>4</v>
      </c>
      <c r="F47" s="6" t="s">
        <v>205</v>
      </c>
      <c r="G47" s="6" t="s">
        <v>210</v>
      </c>
      <c r="H47" s="247">
        <f ca="1">MS_min</f>
        <v>2.0246816059764923</v>
      </c>
      <c r="I47" s="254">
        <f ca="1">MS_max</f>
        <v>2.8554202586721704</v>
      </c>
      <c r="N47" s="75"/>
    </row>
    <row r="48" spans="2:21" x14ac:dyDescent="0.2">
      <c r="B48" s="74"/>
      <c r="D48" s="276" t="s">
        <v>145</v>
      </c>
      <c r="E48" s="244">
        <f>Q_ail</f>
        <v>4</v>
      </c>
      <c r="F48" s="274" t="s">
        <v>206</v>
      </c>
      <c r="G48" s="274" t="s">
        <v>211</v>
      </c>
      <c r="H48" s="256">
        <f ca="1">MS_Cn_min</f>
        <v>60.806511742301979</v>
      </c>
      <c r="I48" s="264">
        <f ca="1">MS_Cn_max</f>
        <v>85.755777587763689</v>
      </c>
      <c r="N48" s="75"/>
    </row>
    <row r="49" spans="2:14" x14ac:dyDescent="0.2">
      <c r="B49" s="74"/>
      <c r="D49" s="276" t="s">
        <v>148</v>
      </c>
      <c r="E49" s="244">
        <f ca="1">XpropuRef-Long_propu</f>
        <v>1564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2052</v>
      </c>
      <c r="G51" s="276" t="s">
        <v>212</v>
      </c>
      <c r="H51" s="6">
        <f>Sref</f>
        <v>9.3087948792451754E-3</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16.39999999999992</v>
      </c>
      <c r="I53" s="259"/>
      <c r="J53" s="268"/>
      <c r="N53" s="75"/>
    </row>
    <row r="54" spans="2:14" x14ac:dyDescent="0.2">
      <c r="B54" s="74"/>
      <c r="G54" s="278" t="s">
        <v>216</v>
      </c>
      <c r="H54" s="242">
        <f ca="1">Altitude_culmi</f>
        <v>1373.1093346555149</v>
      </c>
      <c r="I54" s="259"/>
      <c r="J54" s="268"/>
      <c r="N54" s="75"/>
    </row>
    <row r="55" spans="2:14" x14ac:dyDescent="0.2">
      <c r="B55" s="74"/>
      <c r="C55" s="275" t="s">
        <v>233</v>
      </c>
      <c r="D55" s="249" t="s">
        <v>60</v>
      </c>
      <c r="E55" s="243">
        <f>Long_tot</f>
        <v>2052</v>
      </c>
      <c r="G55" s="278" t="s">
        <v>217</v>
      </c>
      <c r="H55" s="248">
        <f ca="1">Vit_culmi</f>
        <v>25.995258949874362</v>
      </c>
      <c r="I55" s="259"/>
      <c r="J55" s="268"/>
      <c r="N55" s="75"/>
    </row>
    <row r="56" spans="2:14" x14ac:dyDescent="0.2">
      <c r="B56" s="74"/>
      <c r="C56" s="276"/>
      <c r="D56" s="2" t="s">
        <v>219</v>
      </c>
      <c r="E56" s="244">
        <f>MAX(D_ref,D_ail,D_og,(RIGHT(Nb_diam,1)=",")*MAX(D1j,D1r,D2j,D2r))</f>
        <v>104</v>
      </c>
      <c r="G56" s="278" t="s">
        <v>133</v>
      </c>
      <c r="H56" s="242">
        <f ca="1">Portee_balistique</f>
        <v>874.13727041639572</v>
      </c>
      <c r="I56" s="259"/>
      <c r="J56" s="268"/>
      <c r="N56" s="75"/>
    </row>
    <row r="57" spans="2:14" x14ac:dyDescent="0.2">
      <c r="B57" s="74"/>
      <c r="C57" s="276"/>
      <c r="D57" s="2" t="s">
        <v>220</v>
      </c>
      <c r="E57" s="244">
        <f>E_ail*2+D_ail</f>
        <v>394</v>
      </c>
      <c r="G57" s="278" t="s">
        <v>214</v>
      </c>
      <c r="H57" s="242">
        <f ca="1">T_balistique</f>
        <v>35.100000000000186</v>
      </c>
      <c r="I57" s="259"/>
      <c r="J57" s="268"/>
      <c r="N57" s="75"/>
    </row>
    <row r="58" spans="2:14" x14ac:dyDescent="0.2">
      <c r="B58" s="74"/>
      <c r="C58" s="276"/>
      <c r="D58" s="2" t="s">
        <v>221</v>
      </c>
      <c r="E58" s="244">
        <f ca="1">MassePlein</f>
        <v>8.8409999999999993</v>
      </c>
      <c r="G58" s="278" t="s">
        <v>137</v>
      </c>
      <c r="H58" s="248">
        <f ca="1">Vit_max</f>
        <v>186.97416251772825</v>
      </c>
      <c r="I58" s="259"/>
      <c r="J58" s="268"/>
      <c r="N58" s="75"/>
    </row>
    <row r="59" spans="2:14" x14ac:dyDescent="0.2">
      <c r="B59" s="74"/>
      <c r="C59" s="277" t="s">
        <v>234</v>
      </c>
      <c r="D59" s="255" t="s">
        <v>145</v>
      </c>
      <c r="E59" s="260">
        <f>Q_ail</f>
        <v>4</v>
      </c>
      <c r="G59" s="278" t="s">
        <v>136</v>
      </c>
      <c r="H59" s="242">
        <f ca="1">Acc_max</f>
        <v>91.403675051839869</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1616.1997822666324</v>
      </c>
      <c r="F62" s="280">
        <f ca="1">E62/9.81</f>
        <v>164.7502326469554</v>
      </c>
      <c r="H62" s="2"/>
      <c r="I62" s="2"/>
      <c r="J62" s="2"/>
      <c r="K62" s="2"/>
      <c r="N62" s="75"/>
    </row>
    <row r="63" spans="2:14" x14ac:dyDescent="0.2">
      <c r="B63" s="74"/>
      <c r="C63" s="276"/>
      <c r="D63" s="2" t="s">
        <v>223</v>
      </c>
      <c r="E63" s="242">
        <f ca="1">2*Acc_max*Masse_ail</f>
        <v>30.74819628743893</v>
      </c>
      <c r="F63" s="248">
        <f ca="1">E63/9.81</f>
        <v>3.1343727102384227</v>
      </c>
      <c r="G63" s="246" t="s">
        <v>229</v>
      </c>
      <c r="H63" s="288">
        <f>S_ail*(ep_ail/1000)*2000</f>
        <v>0.16819999999999999</v>
      </c>
      <c r="I63" s="2"/>
      <c r="J63" s="2"/>
      <c r="K63" s="2"/>
      <c r="N63" s="75"/>
    </row>
    <row r="64" spans="2:14" x14ac:dyDescent="0.2">
      <c r="B64" s="74"/>
      <c r="C64" s="277"/>
      <c r="D64" s="255" t="s">
        <v>224</v>
      </c>
      <c r="E64" s="263">
        <f ca="1">0.104*S_ail*Vit_max^2</f>
        <v>76.442087266433518</v>
      </c>
      <c r="F64" s="281">
        <f ca="1">E64/9.81</f>
        <v>7.7922616989228866</v>
      </c>
      <c r="G64" s="274" t="s">
        <v>228</v>
      </c>
      <c r="H64" s="289">
        <f>(E_ail*(m_ail+n_ail)/2)/10^6</f>
        <v>2.1024999999999999E-2</v>
      </c>
      <c r="I64" s="2"/>
      <c r="J64" s="2"/>
      <c r="K64" s="2"/>
      <c r="N64" s="75"/>
    </row>
    <row r="65" spans="2:14" x14ac:dyDescent="0.2">
      <c r="B65" s="74"/>
      <c r="C65" s="282" t="s">
        <v>242</v>
      </c>
      <c r="D65" s="285" t="s">
        <v>240</v>
      </c>
      <c r="E65" s="286">
        <f ca="1">2*Acc_max*H65</f>
        <v>808.09989113331619</v>
      </c>
      <c r="F65" s="286">
        <f ca="1">E65/9.81</f>
        <v>82.375116323477698</v>
      </c>
      <c r="G65" s="287" t="s">
        <v>241</v>
      </c>
      <c r="H65" s="279">
        <f ca="1">E58/2</f>
        <v>4.4204999999999997</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15.6</v>
      </c>
      <c r="I67" s="251">
        <f ca="1">Temps_culmi</f>
        <v>16.39999999999992</v>
      </c>
      <c r="J67" s="2"/>
      <c r="K67" s="2"/>
      <c r="N67" s="75"/>
    </row>
    <row r="68" spans="2:14" x14ac:dyDescent="0.2">
      <c r="B68" s="74"/>
      <c r="C68" s="6"/>
      <c r="D68" s="2"/>
      <c r="E68" s="2"/>
      <c r="F68" s="275" t="s">
        <v>231</v>
      </c>
      <c r="G68" s="249" t="s">
        <v>129</v>
      </c>
      <c r="H68" s="250">
        <f ca="1">V_para</f>
        <v>14.59339206068057</v>
      </c>
      <c r="I68" s="251">
        <f>V_satellite</f>
        <v>12.655562623057198</v>
      </c>
      <c r="J68" s="2"/>
      <c r="K68" s="2"/>
      <c r="N68" s="75"/>
    </row>
    <row r="69" spans="2:14" x14ac:dyDescent="0.2">
      <c r="B69" s="74"/>
      <c r="C69" s="6"/>
      <c r="D69" s="2"/>
      <c r="E69" s="2"/>
      <c r="F69" s="276"/>
      <c r="G69" s="2" t="s">
        <v>237</v>
      </c>
      <c r="H69" s="247">
        <f>S_para</f>
        <v>0.51200000000000001</v>
      </c>
      <c r="I69" s="253">
        <f>S_satellite</f>
        <v>0.1</v>
      </c>
      <c r="J69" s="2"/>
      <c r="K69" s="2"/>
      <c r="N69" s="75"/>
    </row>
    <row r="70" spans="2:14" x14ac:dyDescent="0.2">
      <c r="B70" s="74"/>
      <c r="C70" s="226"/>
      <c r="D70" s="2"/>
      <c r="F70" s="276"/>
      <c r="G70" s="2" t="s">
        <v>236</v>
      </c>
      <c r="H70" s="247">
        <f ca="1">V_ouverture</f>
        <v>27.439518447810151</v>
      </c>
      <c r="I70" s="253">
        <f ca="1">V_ouv_sat</f>
        <v>158.25107369680703</v>
      </c>
      <c r="N70" s="75"/>
    </row>
    <row r="71" spans="2:14" x14ac:dyDescent="0.2">
      <c r="B71" s="74"/>
      <c r="C71" s="226"/>
      <c r="F71" s="276"/>
      <c r="G71" s="2" t="s">
        <v>201</v>
      </c>
      <c r="H71" s="247">
        <f ca="1">m_vide</f>
        <v>6.8079999999999998</v>
      </c>
      <c r="I71" s="253">
        <f>m_satellite</f>
        <v>1</v>
      </c>
      <c r="N71" s="75"/>
    </row>
    <row r="72" spans="2:14" x14ac:dyDescent="0.2">
      <c r="B72" s="74"/>
      <c r="C72" s="226"/>
      <c r="F72" s="276"/>
      <c r="G72" s="2" t="s">
        <v>238</v>
      </c>
      <c r="H72" s="283">
        <f ca="1">1/2*Rho_moyen*S_para*V_ouverture^2</f>
        <v>236.11796134232304</v>
      </c>
      <c r="I72" s="284">
        <f ca="1">1/2*Rho_moyen*S_satellite*V_ouv_sat^2</f>
        <v>1533.9083924792753</v>
      </c>
      <c r="N72" s="75"/>
    </row>
    <row r="73" spans="2:14" x14ac:dyDescent="0.2">
      <c r="B73" s="74"/>
      <c r="D73" s="2"/>
      <c r="F73" s="277"/>
      <c r="G73" s="255" t="s">
        <v>239</v>
      </c>
      <c r="H73" s="256">
        <f ca="1">H72/9.81</f>
        <v>24.069109209207241</v>
      </c>
      <c r="I73" s="257">
        <f ca="1">I72/9.81</f>
        <v>156.36171177158769</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932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2002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1792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190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1564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7.1559999999999997</v>
      </c>
      <c r="F107" s="244">
        <f ca="1">MassePlein</f>
        <v>8.8409999999999993</v>
      </c>
      <c r="N107" s="75"/>
    </row>
    <row r="108" spans="2:14" x14ac:dyDescent="0.2">
      <c r="B108" s="74"/>
      <c r="D108" s="431" t="s">
        <v>352</v>
      </c>
      <c r="E108" s="274">
        <f>XcgSans</f>
        <v>1090</v>
      </c>
      <c r="F108" s="260">
        <f ca="1">XcgPlein</f>
        <v>1227.9866530935417</v>
      </c>
      <c r="N108" s="75"/>
    </row>
    <row r="109" spans="2:14" x14ac:dyDescent="0.2">
      <c r="B109" s="74"/>
      <c r="N109" s="75"/>
    </row>
    <row r="110" spans="2:14" x14ac:dyDescent="0.2">
      <c r="B110" s="74"/>
      <c r="D110" s="438" t="s">
        <v>355</v>
      </c>
      <c r="E110" s="439">
        <f ca="1">MasseVide</f>
        <v>7.8079999999999998</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16.39999999999992</v>
      </c>
      <c r="I112" s="259"/>
      <c r="J112" s="268"/>
      <c r="N112" s="75"/>
    </row>
    <row r="113" spans="2:14" ht="12.75" customHeight="1" x14ac:dyDescent="0.25">
      <c r="B113" s="74"/>
      <c r="D113" s="435" t="s">
        <v>357</v>
      </c>
      <c r="E113" s="48"/>
      <c r="G113" s="278" t="s">
        <v>216</v>
      </c>
      <c r="H113" s="242">
        <f ca="1">Altitude_culmi</f>
        <v>1373.1093346555149</v>
      </c>
      <c r="I113" s="259"/>
      <c r="J113" s="268"/>
      <c r="N113" s="75"/>
    </row>
    <row r="114" spans="2:14" ht="12.75" customHeight="1" x14ac:dyDescent="0.25">
      <c r="B114" s="74"/>
      <c r="D114" s="48"/>
      <c r="E114" s="48"/>
      <c r="F114" s="435"/>
      <c r="G114" s="278" t="s">
        <v>217</v>
      </c>
      <c r="H114" s="248">
        <f ca="1">Vit_culmi</f>
        <v>25.995258949874362</v>
      </c>
      <c r="I114" s="259"/>
      <c r="J114" s="268"/>
      <c r="N114" s="75"/>
    </row>
    <row r="115" spans="2:14" x14ac:dyDescent="0.2">
      <c r="B115" s="74"/>
      <c r="C115" s="429" t="s">
        <v>358</v>
      </c>
      <c r="D115" s="249"/>
      <c r="E115" s="446">
        <v>0.1</v>
      </c>
      <c r="G115" s="278" t="s">
        <v>133</v>
      </c>
      <c r="H115" s="242">
        <f ca="1">Portee_balistique</f>
        <v>874.13727041639572</v>
      </c>
      <c r="I115" s="259"/>
      <c r="J115" s="268"/>
      <c r="N115" s="75"/>
    </row>
    <row r="116" spans="2:14" ht="12.75" customHeight="1" x14ac:dyDescent="0.2">
      <c r="B116" s="74"/>
      <c r="C116" s="431" t="s">
        <v>359</v>
      </c>
      <c r="D116" s="255"/>
      <c r="E116" s="447">
        <f>E_ail*(m_ail+n_ail)/2</f>
        <v>21025</v>
      </c>
      <c r="G116" s="278" t="s">
        <v>137</v>
      </c>
      <c r="H116" s="248">
        <f ca="1">Vit_max</f>
        <v>186.97416251772825</v>
      </c>
      <c r="I116" s="259"/>
      <c r="J116" s="268"/>
      <c r="N116" s="75"/>
    </row>
    <row r="117" spans="2:14" ht="12.75" customHeight="1" x14ac:dyDescent="0.2">
      <c r="B117" s="74"/>
      <c r="D117" s="48"/>
      <c r="E117" s="48"/>
      <c r="F117" s="48"/>
      <c r="G117" s="278" t="s">
        <v>136</v>
      </c>
      <c r="H117" s="242">
        <f ca="1">Acc_max</f>
        <v>91.403675051839869</v>
      </c>
      <c r="I117" s="259"/>
      <c r="J117" s="268"/>
      <c r="N117" s="75"/>
    </row>
    <row r="118" spans="2:14" x14ac:dyDescent="0.2">
      <c r="B118" s="74"/>
      <c r="C118" s="429" t="s">
        <v>360</v>
      </c>
      <c r="D118" s="249"/>
      <c r="E118" s="457"/>
      <c r="F118" s="458">
        <f>J90/100</f>
        <v>17.920000000000002</v>
      </c>
      <c r="G118" s="276" t="s">
        <v>5</v>
      </c>
      <c r="H118" s="6">
        <f>Cx</f>
        <v>0.7</v>
      </c>
      <c r="I118" s="259"/>
      <c r="J118" s="268"/>
      <c r="N118" s="75"/>
    </row>
    <row r="119" spans="2:14" x14ac:dyDescent="0.2">
      <c r="B119" s="74"/>
      <c r="C119" s="437" t="s">
        <v>361</v>
      </c>
      <c r="D119" s="2"/>
      <c r="E119" s="459">
        <f ca="1">2*Acc_max*MasseSans</f>
        <v>1308.1693973419322</v>
      </c>
      <c r="F119" s="460">
        <f ca="1">E119/g</f>
        <v>133.35060115616025</v>
      </c>
      <c r="G119" s="269" t="s">
        <v>222</v>
      </c>
      <c r="H119" s="270"/>
      <c r="I119" s="270"/>
      <c r="J119" s="271"/>
      <c r="N119" s="75"/>
    </row>
    <row r="120" spans="2:14" x14ac:dyDescent="0.2">
      <c r="B120" s="74"/>
      <c r="C120" s="437" t="s">
        <v>362</v>
      </c>
      <c r="D120" s="2"/>
      <c r="E120" s="459">
        <f ca="1">2*Acc_max*E115</f>
        <v>18.280735010367973</v>
      </c>
      <c r="F120" s="460">
        <f ca="1">E120/g</f>
        <v>1.8634796136970411</v>
      </c>
      <c r="N120" s="75"/>
    </row>
    <row r="121" spans="2:14" x14ac:dyDescent="0.2">
      <c r="B121" s="74"/>
      <c r="C121" s="431" t="s">
        <v>363</v>
      </c>
      <c r="D121" s="255"/>
      <c r="E121" s="452">
        <f ca="1">0.104*E116/1000000*Vit_max^2</f>
        <v>76.442087266433518</v>
      </c>
      <c r="F121" s="453">
        <f ca="1">E121/g</f>
        <v>7.7922616989228866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0.51200000000000001</v>
      </c>
      <c r="G127" s="48"/>
      <c r="J127" s="48"/>
      <c r="N127" s="75"/>
    </row>
    <row r="128" spans="2:14" x14ac:dyDescent="0.2">
      <c r="B128" s="74"/>
      <c r="C128" s="681" t="s">
        <v>368</v>
      </c>
      <c r="D128" s="682"/>
      <c r="E128" s="450">
        <f ca="1">0.5*Rho_moyen*S_para*Vit_culmi^2</f>
        <v>211.91629379635287</v>
      </c>
      <c r="F128" s="451">
        <f ca="1">E128/g</f>
        <v>21.602068684643513</v>
      </c>
      <c r="H128" s="48"/>
      <c r="I128" s="48"/>
      <c r="J128" s="48"/>
      <c r="K128" s="48"/>
      <c r="N128" s="75"/>
    </row>
    <row r="129" spans="2:14" x14ac:dyDescent="0.2">
      <c r="B129" s="74"/>
      <c r="C129" s="679" t="s">
        <v>369</v>
      </c>
      <c r="D129" s="680"/>
      <c r="E129" s="452">
        <f ca="1">E128/E126*2</f>
        <v>105.95814689817644</v>
      </c>
      <c r="F129" s="453">
        <f ca="1">E129/g</f>
        <v>10.801034342321756</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18.634796136970412</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2026-04-04T14:07:50Z</dcterms:modified>
</cp:coreProperties>
</file>